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10245" windowHeight="7875"/>
  </bookViews>
  <sheets>
    <sheet name="WalcottNDD" sheetId="1" r:id="rId1"/>
    <sheet name="WalcottCalcs" sheetId="2" r:id="rId2"/>
    <sheet name="WapelloNDD" sheetId="4" r:id="rId3"/>
    <sheet name="WapelloCalcs" sheetId="5" r:id="rId4"/>
    <sheet name="WaterlooNDD" sheetId="6" r:id="rId5"/>
    <sheet name="WaterlooCalcs" sheetId="7" r:id="rId6"/>
  </sheets>
  <definedNames>
    <definedName name="_xlnm._FilterDatabase" localSheetId="0" hidden="1">WalcottNDD!$A$1:$N$1</definedName>
  </definedNames>
  <calcPr calcId="162913"/>
</workbook>
</file>

<file path=xl/calcChain.xml><?xml version="1.0" encoding="utf-8"?>
<calcChain xmlns="http://schemas.openxmlformats.org/spreadsheetml/2006/main">
  <c r="M48" i="7" l="1"/>
  <c r="L48" i="7"/>
  <c r="K48" i="7"/>
  <c r="J48" i="7"/>
  <c r="I48" i="7"/>
  <c r="G48" i="7"/>
  <c r="F48" i="7"/>
  <c r="E48" i="7"/>
  <c r="D48" i="7"/>
  <c r="C48" i="7"/>
  <c r="M47" i="7"/>
  <c r="L47" i="7"/>
  <c r="K47" i="7"/>
  <c r="J47" i="7"/>
  <c r="I47" i="7"/>
  <c r="G47" i="7"/>
  <c r="F47" i="7"/>
  <c r="E47" i="7"/>
  <c r="D47" i="7"/>
  <c r="C47" i="7"/>
  <c r="M45" i="7"/>
  <c r="L45" i="7"/>
  <c r="K45" i="7"/>
  <c r="J45" i="7"/>
  <c r="I45" i="7"/>
  <c r="G45" i="7"/>
  <c r="F45" i="7"/>
  <c r="E45" i="7"/>
  <c r="D45" i="7"/>
  <c r="C45" i="7"/>
  <c r="M44" i="7"/>
  <c r="L44" i="7"/>
  <c r="K44" i="7"/>
  <c r="J44" i="7"/>
  <c r="I44" i="7"/>
  <c r="G44" i="7"/>
  <c r="F44" i="7"/>
  <c r="E44" i="7"/>
  <c r="D44" i="7"/>
  <c r="C44" i="7"/>
  <c r="M42" i="7"/>
  <c r="L42" i="7"/>
  <c r="K42" i="7"/>
  <c r="J42" i="7"/>
  <c r="I42" i="7"/>
  <c r="G42" i="7"/>
  <c r="F42" i="7"/>
  <c r="E42" i="7"/>
  <c r="D42" i="7"/>
  <c r="C42" i="7"/>
  <c r="M41" i="7"/>
  <c r="L41" i="7"/>
  <c r="K41" i="7"/>
  <c r="J41" i="7"/>
  <c r="I41" i="7"/>
  <c r="G41" i="7"/>
  <c r="F41" i="7"/>
  <c r="E41" i="7"/>
  <c r="D41" i="7"/>
  <c r="C41" i="7"/>
  <c r="M39" i="7"/>
  <c r="L39" i="7"/>
  <c r="K39" i="7"/>
  <c r="J39" i="7"/>
  <c r="I39" i="7"/>
  <c r="G39" i="7"/>
  <c r="F39" i="7"/>
  <c r="E39" i="7"/>
  <c r="D39" i="7"/>
  <c r="C39" i="7"/>
  <c r="M38" i="7"/>
  <c r="L38" i="7"/>
  <c r="K38" i="7"/>
  <c r="J38" i="7"/>
  <c r="I38" i="7"/>
  <c r="G38" i="7"/>
  <c r="F38" i="7"/>
  <c r="E38" i="7"/>
  <c r="D38" i="7"/>
  <c r="C38" i="7"/>
  <c r="M36" i="7"/>
  <c r="L36" i="7"/>
  <c r="K36" i="7"/>
  <c r="J36" i="7"/>
  <c r="I36" i="7"/>
  <c r="G36" i="7"/>
  <c r="F36" i="7"/>
  <c r="E36" i="7"/>
  <c r="D36" i="7"/>
  <c r="C36" i="7"/>
  <c r="M34" i="7"/>
  <c r="L34" i="7"/>
  <c r="K34" i="7"/>
  <c r="J34" i="7"/>
  <c r="I34" i="7"/>
  <c r="G34" i="7"/>
  <c r="F34" i="7"/>
  <c r="E34" i="7"/>
  <c r="D34" i="7"/>
  <c r="C34" i="7"/>
  <c r="M22" i="7"/>
  <c r="L22" i="7"/>
  <c r="K22" i="7"/>
  <c r="J22" i="7"/>
  <c r="I22" i="7"/>
  <c r="G22" i="7"/>
  <c r="F22" i="7"/>
  <c r="E22" i="7"/>
  <c r="D22" i="7"/>
  <c r="C22" i="7"/>
  <c r="M21" i="7"/>
  <c r="L21" i="7"/>
  <c r="K21" i="7"/>
  <c r="J21" i="7"/>
  <c r="I21" i="7"/>
  <c r="G21" i="7"/>
  <c r="F21" i="7"/>
  <c r="E21" i="7"/>
  <c r="D21" i="7"/>
  <c r="C21" i="7"/>
  <c r="M19" i="7"/>
  <c r="L19" i="7"/>
  <c r="K19" i="7"/>
  <c r="J19" i="7"/>
  <c r="I19" i="7"/>
  <c r="G19" i="7"/>
  <c r="F19" i="7"/>
  <c r="E19" i="7"/>
  <c r="D19" i="7"/>
  <c r="C19" i="7"/>
  <c r="M18" i="7"/>
  <c r="L18" i="7"/>
  <c r="K18" i="7"/>
  <c r="J18" i="7"/>
  <c r="I18" i="7"/>
  <c r="G18" i="7"/>
  <c r="F18" i="7"/>
  <c r="E18" i="7"/>
  <c r="D18" i="7"/>
  <c r="C18" i="7"/>
  <c r="M16" i="7"/>
  <c r="L16" i="7"/>
  <c r="K16" i="7"/>
  <c r="J16" i="7"/>
  <c r="I16" i="7"/>
  <c r="G16" i="7"/>
  <c r="F16" i="7"/>
  <c r="E16" i="7"/>
  <c r="D16" i="7"/>
  <c r="C16" i="7"/>
  <c r="M15" i="7"/>
  <c r="L15" i="7"/>
  <c r="K15" i="7"/>
  <c r="J15" i="7"/>
  <c r="I15" i="7"/>
  <c r="G15" i="7"/>
  <c r="F15" i="7"/>
  <c r="E15" i="7"/>
  <c r="D15" i="7"/>
  <c r="C15" i="7"/>
  <c r="M13" i="7"/>
  <c r="L13" i="7"/>
  <c r="K13" i="7"/>
  <c r="J13" i="7"/>
  <c r="I13" i="7"/>
  <c r="G13" i="7"/>
  <c r="F13" i="7"/>
  <c r="E13" i="7"/>
  <c r="D13" i="7"/>
  <c r="C13" i="7"/>
  <c r="M12" i="7"/>
  <c r="L12" i="7"/>
  <c r="K12" i="7"/>
  <c r="J12" i="7"/>
  <c r="I12" i="7"/>
  <c r="G12" i="7"/>
  <c r="F12" i="7"/>
  <c r="E12" i="7"/>
  <c r="D12" i="7"/>
  <c r="C12" i="7"/>
  <c r="M10" i="7"/>
  <c r="L10" i="7"/>
  <c r="K10" i="7"/>
  <c r="J10" i="7"/>
  <c r="I10" i="7"/>
  <c r="G10" i="7"/>
  <c r="F10" i="7"/>
  <c r="E10" i="7"/>
  <c r="D10" i="7"/>
  <c r="C10" i="7"/>
  <c r="M8" i="7"/>
  <c r="L8" i="7"/>
  <c r="N8" i="7" s="1"/>
  <c r="K8" i="7"/>
  <c r="J8" i="7"/>
  <c r="I8" i="7"/>
  <c r="G8" i="7"/>
  <c r="F8" i="7"/>
  <c r="Q8" i="7" s="1"/>
  <c r="E8" i="7"/>
  <c r="D8" i="7"/>
  <c r="C8" i="7"/>
  <c r="B3" i="7"/>
  <c r="B2" i="7"/>
  <c r="N48" i="7"/>
  <c r="Q48" i="7"/>
  <c r="H47" i="7"/>
  <c r="O47" i="7"/>
  <c r="N45" i="7"/>
  <c r="P45" i="7"/>
  <c r="H44" i="7"/>
  <c r="H42" i="7"/>
  <c r="N41" i="7"/>
  <c r="O41" i="7"/>
  <c r="H39" i="7"/>
  <c r="N38" i="7"/>
  <c r="N36" i="7"/>
  <c r="N34" i="7"/>
  <c r="H34" i="7"/>
  <c r="N22" i="7"/>
  <c r="Q22" i="7"/>
  <c r="N21" i="7"/>
  <c r="N19" i="7"/>
  <c r="O19" i="7"/>
  <c r="Q18" i="7"/>
  <c r="Q25" i="7" s="1"/>
  <c r="Q26" i="7" s="1"/>
  <c r="N16" i="7"/>
  <c r="O16" i="7"/>
  <c r="N15" i="7"/>
  <c r="Q15" i="7"/>
  <c r="N12" i="7"/>
  <c r="O12" i="7"/>
  <c r="N10" i="7"/>
  <c r="E2" i="7" l="1"/>
  <c r="O10" i="7"/>
  <c r="O13" i="7"/>
  <c r="O22" i="7"/>
  <c r="H22" i="7"/>
  <c r="Q13" i="7"/>
  <c r="O18" i="7"/>
  <c r="O21" i="7"/>
  <c r="O34" i="7"/>
  <c r="O45" i="7"/>
  <c r="O48" i="7"/>
  <c r="O36" i="7"/>
  <c r="O39" i="7"/>
  <c r="Q39" i="7"/>
  <c r="P41" i="7"/>
  <c r="Q42" i="7"/>
  <c r="O44" i="7"/>
  <c r="O8" i="7"/>
  <c r="H8" i="7"/>
  <c r="O15" i="7"/>
  <c r="Q16" i="7"/>
  <c r="Q19" i="7"/>
  <c r="Q34" i="7"/>
  <c r="O38" i="7"/>
  <c r="O42" i="7"/>
  <c r="P42" i="7"/>
  <c r="Q27" i="7"/>
  <c r="Q28" i="7" s="1"/>
  <c r="N13" i="7"/>
  <c r="H15" i="7"/>
  <c r="N18" i="7"/>
  <c r="H19" i="7"/>
  <c r="Q47" i="7"/>
  <c r="P10" i="7"/>
  <c r="P12" i="7"/>
  <c r="P13" i="7"/>
  <c r="P18" i="7"/>
  <c r="P36" i="7"/>
  <c r="P38" i="7"/>
  <c r="Q53" i="7"/>
  <c r="Q54" i="7" s="1"/>
  <c r="P47" i="7"/>
  <c r="Q44" i="7"/>
  <c r="Q51" i="7" s="1"/>
  <c r="Q52" i="7" s="1"/>
  <c r="P16" i="7"/>
  <c r="P21" i="7"/>
  <c r="Q21" i="7"/>
  <c r="P39" i="7"/>
  <c r="Q41" i="7"/>
  <c r="P44" i="7"/>
  <c r="Q45" i="7"/>
  <c r="P8" i="7"/>
  <c r="P15" i="7"/>
  <c r="P19" i="7"/>
  <c r="P22" i="7"/>
  <c r="P34" i="7"/>
  <c r="N39" i="7"/>
  <c r="H41" i="7"/>
  <c r="N42" i="7"/>
  <c r="N44" i="7"/>
  <c r="H45" i="7"/>
  <c r="N47" i="7"/>
  <c r="H48" i="7"/>
  <c r="P48" i="7"/>
  <c r="Q23" i="7"/>
  <c r="Q24" i="7" s="1"/>
  <c r="Q49" i="7"/>
  <c r="Q50" i="7" s="1"/>
  <c r="H10" i="7"/>
  <c r="H12" i="7"/>
  <c r="H13" i="7"/>
  <c r="H16" i="7"/>
  <c r="H18" i="7"/>
  <c r="H21" i="7"/>
  <c r="H36" i="7"/>
  <c r="H38" i="7"/>
  <c r="M48" i="5" l="1"/>
  <c r="L48" i="5"/>
  <c r="K48" i="5"/>
  <c r="J48" i="5"/>
  <c r="I48" i="5"/>
  <c r="G48" i="5"/>
  <c r="F48" i="5"/>
  <c r="E48" i="5"/>
  <c r="D48" i="5"/>
  <c r="C48" i="5"/>
  <c r="M47" i="5"/>
  <c r="L47" i="5"/>
  <c r="K47" i="5"/>
  <c r="J47" i="5"/>
  <c r="I47" i="5"/>
  <c r="G47" i="5"/>
  <c r="F47" i="5"/>
  <c r="E47" i="5"/>
  <c r="D47" i="5"/>
  <c r="C47" i="5"/>
  <c r="M45" i="5"/>
  <c r="L45" i="5"/>
  <c r="K45" i="5"/>
  <c r="J45" i="5"/>
  <c r="I45" i="5"/>
  <c r="G45" i="5"/>
  <c r="F45" i="5"/>
  <c r="E45" i="5"/>
  <c r="D45" i="5"/>
  <c r="C45" i="5"/>
  <c r="M44" i="5"/>
  <c r="L44" i="5"/>
  <c r="K44" i="5"/>
  <c r="J44" i="5"/>
  <c r="I44" i="5"/>
  <c r="G44" i="5"/>
  <c r="F44" i="5"/>
  <c r="E44" i="5"/>
  <c r="D44" i="5"/>
  <c r="C44" i="5"/>
  <c r="M42" i="5"/>
  <c r="L42" i="5"/>
  <c r="K42" i="5"/>
  <c r="J42" i="5"/>
  <c r="I42" i="5"/>
  <c r="G42" i="5"/>
  <c r="F42" i="5"/>
  <c r="E42" i="5"/>
  <c r="D42" i="5"/>
  <c r="C42" i="5"/>
  <c r="M41" i="5"/>
  <c r="L41" i="5"/>
  <c r="K41" i="5"/>
  <c r="J41" i="5"/>
  <c r="I41" i="5"/>
  <c r="G41" i="5"/>
  <c r="F41" i="5"/>
  <c r="E41" i="5"/>
  <c r="D41" i="5"/>
  <c r="C41" i="5"/>
  <c r="M39" i="5"/>
  <c r="L39" i="5"/>
  <c r="K39" i="5"/>
  <c r="J39" i="5"/>
  <c r="I39" i="5"/>
  <c r="G39" i="5"/>
  <c r="F39" i="5"/>
  <c r="E39" i="5"/>
  <c r="D39" i="5"/>
  <c r="C39" i="5"/>
  <c r="M38" i="5"/>
  <c r="L38" i="5"/>
  <c r="K38" i="5"/>
  <c r="J38" i="5"/>
  <c r="I38" i="5"/>
  <c r="G38" i="5"/>
  <c r="F38" i="5"/>
  <c r="E38" i="5"/>
  <c r="D38" i="5"/>
  <c r="C38" i="5"/>
  <c r="M36" i="5"/>
  <c r="L36" i="5"/>
  <c r="K36" i="5"/>
  <c r="J36" i="5"/>
  <c r="I36" i="5"/>
  <c r="G36" i="5"/>
  <c r="F36" i="5"/>
  <c r="E36" i="5"/>
  <c r="D36" i="5"/>
  <c r="C36" i="5"/>
  <c r="M34" i="5"/>
  <c r="L34" i="5"/>
  <c r="K34" i="5"/>
  <c r="J34" i="5"/>
  <c r="I34" i="5"/>
  <c r="G34" i="5"/>
  <c r="F34" i="5"/>
  <c r="E34" i="5"/>
  <c r="D34" i="5"/>
  <c r="C34" i="5"/>
  <c r="M22" i="5"/>
  <c r="L22" i="5"/>
  <c r="K22" i="5"/>
  <c r="J22" i="5"/>
  <c r="I22" i="5"/>
  <c r="G22" i="5"/>
  <c r="F22" i="5"/>
  <c r="E22" i="5"/>
  <c r="D22" i="5"/>
  <c r="C22" i="5"/>
  <c r="M21" i="5"/>
  <c r="L21" i="5"/>
  <c r="K21" i="5"/>
  <c r="J21" i="5"/>
  <c r="I21" i="5"/>
  <c r="G21" i="5"/>
  <c r="F21" i="5"/>
  <c r="E21" i="5"/>
  <c r="D21" i="5"/>
  <c r="C21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G18" i="5"/>
  <c r="F18" i="5"/>
  <c r="E18" i="5"/>
  <c r="D18" i="5"/>
  <c r="C18" i="5"/>
  <c r="M16" i="5"/>
  <c r="L16" i="5"/>
  <c r="K16" i="5"/>
  <c r="J16" i="5"/>
  <c r="I16" i="5"/>
  <c r="G16" i="5"/>
  <c r="F16" i="5"/>
  <c r="E16" i="5"/>
  <c r="D16" i="5"/>
  <c r="C16" i="5"/>
  <c r="M15" i="5"/>
  <c r="L15" i="5"/>
  <c r="K15" i="5"/>
  <c r="J15" i="5"/>
  <c r="I15" i="5"/>
  <c r="G15" i="5"/>
  <c r="F15" i="5"/>
  <c r="E15" i="5"/>
  <c r="D15" i="5"/>
  <c r="C15" i="5"/>
  <c r="M13" i="5"/>
  <c r="L13" i="5"/>
  <c r="K13" i="5"/>
  <c r="J13" i="5"/>
  <c r="I13" i="5"/>
  <c r="G13" i="5"/>
  <c r="F13" i="5"/>
  <c r="E13" i="5"/>
  <c r="D13" i="5"/>
  <c r="C13" i="5"/>
  <c r="M12" i="5"/>
  <c r="L12" i="5"/>
  <c r="K12" i="5"/>
  <c r="J12" i="5"/>
  <c r="I12" i="5"/>
  <c r="G12" i="5"/>
  <c r="F12" i="5"/>
  <c r="E12" i="5"/>
  <c r="D12" i="5"/>
  <c r="C12" i="5"/>
  <c r="M10" i="5"/>
  <c r="L10" i="5"/>
  <c r="K10" i="5"/>
  <c r="J10" i="5"/>
  <c r="I10" i="5"/>
  <c r="G10" i="5"/>
  <c r="F10" i="5"/>
  <c r="P10" i="5" s="1"/>
  <c r="E10" i="5"/>
  <c r="D10" i="5"/>
  <c r="C10" i="5"/>
  <c r="M8" i="5"/>
  <c r="L8" i="5"/>
  <c r="K8" i="5"/>
  <c r="J8" i="5"/>
  <c r="I8" i="5"/>
  <c r="G8" i="5"/>
  <c r="F8" i="5"/>
  <c r="H8" i="5" s="1"/>
  <c r="E8" i="5"/>
  <c r="D8" i="5"/>
  <c r="O8" i="5" s="1"/>
  <c r="C8" i="5"/>
  <c r="B3" i="5"/>
  <c r="B2" i="5"/>
  <c r="N48" i="5"/>
  <c r="Q48" i="5"/>
  <c r="N47" i="5"/>
  <c r="P47" i="5"/>
  <c r="Q45" i="5"/>
  <c r="Q53" i="5" s="1"/>
  <c r="Q54" i="5" s="1"/>
  <c r="N45" i="5"/>
  <c r="O45" i="5"/>
  <c r="H45" i="5"/>
  <c r="N44" i="5"/>
  <c r="Q44" i="5"/>
  <c r="O44" i="5"/>
  <c r="N42" i="5"/>
  <c r="O42" i="5"/>
  <c r="N41" i="5"/>
  <c r="P41" i="5"/>
  <c r="O39" i="5"/>
  <c r="N39" i="5"/>
  <c r="P39" i="5"/>
  <c r="O38" i="5"/>
  <c r="N38" i="5"/>
  <c r="P38" i="5"/>
  <c r="O36" i="5"/>
  <c r="N36" i="5"/>
  <c r="P36" i="5"/>
  <c r="Q34" i="5"/>
  <c r="P34" i="5"/>
  <c r="H34" i="5"/>
  <c r="O34" i="5"/>
  <c r="P22" i="5"/>
  <c r="H22" i="5"/>
  <c r="Q22" i="5"/>
  <c r="O22" i="5"/>
  <c r="N21" i="5"/>
  <c r="Q21" i="5"/>
  <c r="Q25" i="5" s="1"/>
  <c r="Q26" i="5" s="1"/>
  <c r="O21" i="5"/>
  <c r="O19" i="5"/>
  <c r="H19" i="5"/>
  <c r="N18" i="5"/>
  <c r="P18" i="5"/>
  <c r="N16" i="5"/>
  <c r="O16" i="5"/>
  <c r="P16" i="5"/>
  <c r="N15" i="5"/>
  <c r="P15" i="5"/>
  <c r="N13" i="5"/>
  <c r="N12" i="5"/>
  <c r="P12" i="5"/>
  <c r="N10" i="5"/>
  <c r="O10" i="5"/>
  <c r="E2" i="5"/>
  <c r="O15" i="5" l="1"/>
  <c r="Q19" i="5"/>
  <c r="Q27" i="5" s="1"/>
  <c r="Q28" i="5" s="1"/>
  <c r="P21" i="5"/>
  <c r="O47" i="5"/>
  <c r="Q8" i="5"/>
  <c r="P8" i="5"/>
  <c r="O13" i="5"/>
  <c r="P19" i="5"/>
  <c r="O12" i="5"/>
  <c r="P13" i="5"/>
  <c r="O18" i="5"/>
  <c r="O41" i="5"/>
  <c r="P42" i="5"/>
  <c r="O48" i="5"/>
  <c r="H48" i="5"/>
  <c r="Q18" i="5"/>
  <c r="N8" i="5"/>
  <c r="H10" i="5"/>
  <c r="H12" i="5"/>
  <c r="H13" i="5"/>
  <c r="H15" i="5"/>
  <c r="H16" i="5"/>
  <c r="H18" i="5"/>
  <c r="N19" i="5"/>
  <c r="H21" i="5"/>
  <c r="N22" i="5"/>
  <c r="N34" i="5"/>
  <c r="H36" i="5"/>
  <c r="H38" i="5"/>
  <c r="H39" i="5"/>
  <c r="H41" i="5"/>
  <c r="H42" i="5"/>
  <c r="H44" i="5"/>
  <c r="P44" i="5"/>
  <c r="Q47" i="5"/>
  <c r="Q51" i="5" s="1"/>
  <c r="Q52" i="5" s="1"/>
  <c r="P45" i="5"/>
  <c r="P48" i="5"/>
  <c r="Q49" i="5"/>
  <c r="Q50" i="5" s="1"/>
  <c r="Q23" i="5"/>
  <c r="Q24" i="5" s="1"/>
  <c r="H47" i="5"/>
  <c r="C19" i="2" l="1"/>
  <c r="C18" i="2"/>
  <c r="C16" i="2"/>
  <c r="C15" i="2"/>
  <c r="C13" i="2"/>
  <c r="C12" i="2"/>
  <c r="C10" i="2"/>
  <c r="C8" i="2"/>
  <c r="M48" i="2" l="1"/>
  <c r="M47" i="2"/>
  <c r="L48" i="2"/>
  <c r="L47" i="2"/>
  <c r="K48" i="2"/>
  <c r="K47" i="2"/>
  <c r="J48" i="2"/>
  <c r="J47" i="2"/>
  <c r="I48" i="2"/>
  <c r="I47" i="2"/>
  <c r="G48" i="2"/>
  <c r="G47" i="2"/>
  <c r="F48" i="2"/>
  <c r="F47" i="2"/>
  <c r="E48" i="2"/>
  <c r="E47" i="2"/>
  <c r="D48" i="2"/>
  <c r="D47" i="2"/>
  <c r="C48" i="2"/>
  <c r="C47" i="2"/>
  <c r="J21" i="2"/>
  <c r="J22" i="2"/>
  <c r="I22" i="2"/>
  <c r="I21" i="2"/>
  <c r="G22" i="2"/>
  <c r="G21" i="2"/>
  <c r="F22" i="2"/>
  <c r="F21" i="2"/>
  <c r="D22" i="2"/>
  <c r="D21" i="2"/>
  <c r="C22" i="2"/>
  <c r="C21" i="2"/>
  <c r="E22" i="2"/>
  <c r="E21" i="2"/>
  <c r="M22" i="2"/>
  <c r="M21" i="2"/>
  <c r="L22" i="2"/>
  <c r="L21" i="2"/>
  <c r="K22" i="2"/>
  <c r="K21" i="2"/>
  <c r="T48" i="2" l="1"/>
  <c r="T47" i="2"/>
  <c r="T22" i="2"/>
  <c r="T21" i="2"/>
  <c r="I19" i="2" l="1"/>
  <c r="T19" i="2" s="1"/>
  <c r="I18" i="2"/>
  <c r="T18" i="2" s="1"/>
  <c r="I16" i="2"/>
  <c r="T16" i="2" s="1"/>
  <c r="I15" i="2"/>
  <c r="T15" i="2" s="1"/>
  <c r="K13" i="2"/>
  <c r="I12" i="2"/>
  <c r="T12" i="2" s="1"/>
  <c r="I10" i="2"/>
  <c r="T10" i="2" s="1"/>
  <c r="I8" i="2"/>
  <c r="T8" i="2" s="1"/>
  <c r="N47" i="2" l="1"/>
  <c r="N48" i="2"/>
  <c r="H22" i="2"/>
  <c r="H21" i="2"/>
  <c r="Q22" i="2"/>
  <c r="Q21" i="2"/>
  <c r="P22" i="2"/>
  <c r="P21" i="2"/>
  <c r="O21" i="2"/>
  <c r="O22" i="2"/>
  <c r="N22" i="2"/>
  <c r="N21" i="2"/>
  <c r="Q47" i="2"/>
  <c r="P47" i="2"/>
  <c r="H47" i="2"/>
  <c r="M19" i="2"/>
  <c r="L19" i="2"/>
  <c r="N19" i="2" s="1"/>
  <c r="K19" i="2"/>
  <c r="J19" i="2"/>
  <c r="G19" i="2"/>
  <c r="F19" i="2"/>
  <c r="H19" i="2" s="1"/>
  <c r="E19" i="2"/>
  <c r="D19" i="2"/>
  <c r="Q48" i="2" l="1"/>
  <c r="O48" i="2"/>
  <c r="O47" i="2"/>
  <c r="H48" i="2"/>
  <c r="P48" i="2"/>
  <c r="O19" i="2"/>
  <c r="Q19" i="2"/>
  <c r="P19" i="2"/>
  <c r="C34" i="2" l="1"/>
  <c r="M45" i="2" l="1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E42" i="2"/>
  <c r="D42" i="2"/>
  <c r="C42" i="2"/>
  <c r="M41" i="2"/>
  <c r="L41" i="2"/>
  <c r="N41" i="2" s="1"/>
  <c r="K41" i="2"/>
  <c r="J41" i="2"/>
  <c r="I41" i="2"/>
  <c r="G41" i="2"/>
  <c r="F41" i="2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T34" i="2" s="1"/>
  <c r="G34" i="2"/>
  <c r="F34" i="2"/>
  <c r="H34" i="2" s="1"/>
  <c r="E34" i="2"/>
  <c r="D34" i="2"/>
  <c r="M18" i="2"/>
  <c r="L18" i="2"/>
  <c r="N18" i="2" s="1"/>
  <c r="K18" i="2"/>
  <c r="J18" i="2"/>
  <c r="G18" i="2"/>
  <c r="F18" i="2"/>
  <c r="E18" i="2"/>
  <c r="D18" i="2"/>
  <c r="M16" i="2"/>
  <c r="L16" i="2"/>
  <c r="N16" i="2" s="1"/>
  <c r="K16" i="2"/>
  <c r="J16" i="2"/>
  <c r="G16" i="2"/>
  <c r="F16" i="2"/>
  <c r="E16" i="2"/>
  <c r="D16" i="2"/>
  <c r="M15" i="2"/>
  <c r="L15" i="2"/>
  <c r="N15" i="2" s="1"/>
  <c r="K15" i="2"/>
  <c r="J15" i="2"/>
  <c r="G15" i="2"/>
  <c r="F15" i="2"/>
  <c r="E15" i="2"/>
  <c r="D15" i="2"/>
  <c r="M13" i="2"/>
  <c r="L13" i="2"/>
  <c r="N13" i="2" s="1"/>
  <c r="J13" i="2"/>
  <c r="I13" i="2"/>
  <c r="T13" i="2" s="1"/>
  <c r="G13" i="2"/>
  <c r="F13" i="2"/>
  <c r="H13" i="2" s="1"/>
  <c r="E13" i="2"/>
  <c r="D13" i="2"/>
  <c r="M12" i="2"/>
  <c r="L12" i="2"/>
  <c r="N12" i="2" s="1"/>
  <c r="K12" i="2"/>
  <c r="J12" i="2"/>
  <c r="G12" i="2"/>
  <c r="F12" i="2"/>
  <c r="E12" i="2"/>
  <c r="D12" i="2"/>
  <c r="M10" i="2"/>
  <c r="L10" i="2"/>
  <c r="N10" i="2" s="1"/>
  <c r="K10" i="2"/>
  <c r="J10" i="2"/>
  <c r="G10" i="2"/>
  <c r="F10" i="2"/>
  <c r="E10" i="2"/>
  <c r="D10" i="2"/>
  <c r="M8" i="2"/>
  <c r="L8" i="2"/>
  <c r="N8" i="2" s="1"/>
  <c r="K8" i="2"/>
  <c r="J8" i="2"/>
  <c r="G8" i="2"/>
  <c r="F8" i="2"/>
  <c r="H8" i="2" s="1"/>
  <c r="E8" i="2"/>
  <c r="D8" i="2"/>
  <c r="B3" i="2"/>
  <c r="B2" i="2"/>
  <c r="O45" i="2"/>
  <c r="N45" i="2"/>
  <c r="Q45" i="2"/>
  <c r="O44" i="2"/>
  <c r="N42" i="2"/>
  <c r="H42" i="2"/>
  <c r="H41" i="2"/>
  <c r="T36" i="2" l="1"/>
  <c r="T39" i="2"/>
  <c r="T42" i="2"/>
  <c r="T45" i="2"/>
  <c r="T38" i="2"/>
  <c r="T41" i="2"/>
  <c r="T44" i="2"/>
  <c r="Q41" i="2"/>
  <c r="P38" i="2"/>
  <c r="H15" i="2"/>
  <c r="Q15" i="2"/>
  <c r="O42" i="2"/>
  <c r="P44" i="2"/>
  <c r="Q42" i="2"/>
  <c r="O39" i="2"/>
  <c r="Q34" i="2"/>
  <c r="O16" i="2"/>
  <c r="O38" i="2"/>
  <c r="Q39" i="2"/>
  <c r="N39" i="2"/>
  <c r="O36" i="2"/>
  <c r="E2" i="2"/>
  <c r="O8" i="2"/>
  <c r="P10" i="2"/>
  <c r="O12" i="2"/>
  <c r="P13" i="2"/>
  <c r="O15" i="2"/>
  <c r="Q16" i="2"/>
  <c r="O18" i="2"/>
  <c r="O34" i="2"/>
  <c r="Q36" i="2"/>
  <c r="O41" i="2"/>
  <c r="O10" i="2"/>
  <c r="Q12" i="2"/>
  <c r="O13" i="2"/>
  <c r="P18" i="2"/>
  <c r="Q10" i="2"/>
  <c r="P36" i="2"/>
  <c r="P16" i="2"/>
  <c r="P8" i="2"/>
  <c r="P15" i="2"/>
  <c r="P34" i="2"/>
  <c r="H12" i="2"/>
  <c r="P12" i="2"/>
  <c r="Q13" i="2"/>
  <c r="H10" i="2"/>
  <c r="H16" i="2"/>
  <c r="Q18" i="2"/>
  <c r="H36" i="2"/>
  <c r="Q38" i="2"/>
  <c r="P42" i="2"/>
  <c r="Q44" i="2"/>
  <c r="P41" i="2"/>
  <c r="Q8" i="2"/>
  <c r="H39" i="2"/>
  <c r="P39" i="2"/>
  <c r="H45" i="2"/>
  <c r="P45" i="2"/>
  <c r="H18" i="2"/>
  <c r="H38" i="2"/>
  <c r="H44" i="2"/>
</calcChain>
</file>

<file path=xl/sharedStrings.xml><?xml version="1.0" encoding="utf-8"?>
<sst xmlns="http://schemas.openxmlformats.org/spreadsheetml/2006/main" count="11336" uniqueCount="145">
  <si>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</si>
  <si>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</si>
  <si>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</si>
  <si>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</si>
  <si>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</si>
  <si>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</si>
  <si>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</si>
  <si>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</si>
  <si>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</si>
  <si>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</si>
  <si>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</si>
  <si>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</si>
  <si>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NITROGEN, TOTAL (AS N)</t>
  </si>
  <si>
    <t>MONITORING ONLY</t>
  </si>
  <si>
    <t>MG/L</t>
  </si>
  <si>
    <t>LBS/DAY</t>
  </si>
  <si>
    <t>FINAL EFFLUENT</t>
  </si>
  <si>
    <t>PHOSPHORUS, TOTAL (AS P)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</si>
  <si>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</si>
  <si>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</si>
  <si>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</si>
  <si>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</si>
  <si>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</si>
  <si>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</si>
  <si>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</si>
  <si>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</si>
  <si>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</si>
  <si>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</si>
  <si>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</si>
  <si>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</si>
  <si>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</si>
  <si>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</si>
  <si>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</si>
  <si>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</si>
  <si>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</si>
  <si>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</si>
  <si>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</si>
  <si>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</si>
  <si>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</si>
  <si>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</si>
  <si>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</si>
  <si>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</si>
  <si>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</si>
  <si>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</si>
  <si>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</si>
  <si>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</si>
  <si>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5/1/14 - 4/30/15</t>
  </si>
  <si>
    <t>5/1/15 - 4/30/16</t>
  </si>
  <si>
    <t>5/1/16 - 4/30/17</t>
  </si>
  <si>
    <t>2017 (1/1/17-12/31/17)</t>
  </si>
  <si>
    <t>5/1/17 - 4/30/18</t>
  </si>
  <si>
    <t>std dev reporting yr</t>
  </si>
  <si>
    <t>CV reporting year</t>
  </si>
  <si>
    <t>std dev calendar yr</t>
  </si>
  <si>
    <t>CV calendar year</t>
  </si>
  <si>
    <t>std dev all</t>
  </si>
  <si>
    <t>CV all</t>
  </si>
  <si>
    <t>Average lbs of P removed</t>
  </si>
  <si>
    <t>Original Mon Locat</t>
  </si>
  <si>
    <t>Orig Daily Value</t>
  </si>
  <si>
    <t>Count of Samples Raw higher than final</t>
  </si>
  <si>
    <t>% of Samples Raw higher than final</t>
  </si>
  <si>
    <t>2018 (1/1/18-12/31/18)</t>
  </si>
  <si>
    <t>5/1/18 - 4/30/19</t>
  </si>
  <si>
    <t>Redacted</t>
  </si>
  <si>
    <t>COUNTIFS(Redacted!$E:$E,"&gt;=5/1/2014",Redacted!$E:$E,"&lt;=4/30/2015",Redacted!$C:$C,"NITROGEN, TOTAL (AS N)")</t>
  </si>
  <si>
    <t>COUNTIF(Redacted!C:C,"NITROGEN, TOTAL (AS N)")</t>
  </si>
  <si>
    <t>COUNTIFS(Redacted!$E:$E,"&gt;=1/1/2015",Redacted!$E:$E,"&lt;=12/31/2015",Redacted!$C:$C,"NITROGEN, TOTAL (AS N)")</t>
  </si>
  <si>
    <t>COUNTIFS(Redacted!$E:$E,"&gt;=5/1/2015",Redacted!$E:$E,"&lt;=4/30/2016",Redacted!$C:$C,"NITROGEN, TOTAL (AS N)")</t>
  </si>
  <si>
    <t>COUNTIFS(Redacted!$E:$E,"&gt;=1/1/2016",Redacted!$E:$E,"&lt;=12/31/2016",Redacted!$C:$C,"NITROGEN, TOTAL (AS N)")</t>
  </si>
  <si>
    <t>COUNTIFS(Redacted!$E:$E,"&gt;=5/1/2016",Redacted!$E:$E,"&lt;=4/30/2017",Redacted!$C:$C,"NITROGEN, TOTAL (AS N)")</t>
  </si>
  <si>
    <t>COUNTIFS(Redacted!$E:$E,"&gt;=1/1/2017",Redacted!$E:$E,"&lt;=12/31/2017",Redacted!$C:$C,"NITROGEN, TOTAL (AS N)")</t>
  </si>
  <si>
    <t>COUNTIFS(Redacted!$E:$E,"&gt;=5/1/2017",Redacted!$E:$E,"&lt;=4/30/2018",Redacted!$C:$C,"NITROGEN, TOTAL (AS N)")</t>
  </si>
  <si>
    <t>COUNTIFS(Redacted!$E:$E,"&gt;=1/1/2018",Redacted!$E:$E,"&lt;=12/31/2018",Redacted!$C:$C,"NITROGEN, TOTAL (AS N)")</t>
  </si>
  <si>
    <t>COUNTIFS(Redacted!$E:$E,"&gt;=5/1/2018",Redacted!$E:$E,"&lt;=4/30/2019",Redacted!$C:$C,"NITROGEN, TOTAL (AS N)")</t>
  </si>
  <si>
    <t>COUNTIF(Redacted!C:C,"PHOSPHORUS, TOTAL (AS P)")</t>
  </si>
  <si>
    <t>COUNTIFS(Redacted!$E:$E,"&gt;=5/1/2014",Redacted!$E:$E,"&lt;=4/30/2015",Redacted!$C:$C,"PHOSPHORUS, TOTAL (AS P)")</t>
  </si>
  <si>
    <t>COUNTIFS(Redacted!$E:$E,"&gt;=1/1/2015",Redacted!$E:$E,"&lt;=12/31/2015",Redacted!$C:$C,"PHOSPHORUS, TOTAL (AS P)")</t>
  </si>
  <si>
    <t>COUNTIFS(Redacted!$E:$E,"&gt;=5/1/2015",Redacted!$E:$E,"&lt;=4/30/2016",Redacted!$C:$C,"PHOSPHORUS, TOTAL (AS P)")</t>
  </si>
  <si>
    <t>COUNTIFS(Redacted!$E:$E,"&gt;=1/1/2016",Redacted!$E:$E,"&lt;=12/31/2016",Redacted!$C:$C,"PHOSPHORUS, TOTAL (AS P)")</t>
  </si>
  <si>
    <t>COUNTIFS(Redacted!$E:$E,"&gt;=5/1/2016",Redacted!$E:$E,"&lt;=4/30/2017",Redacted!$C:$C,"PHOSPHORUS, TOTAL (AS P)")</t>
  </si>
  <si>
    <t>COUNTIFS(Redacted!$E:$E,"&gt;=1/1/2017",Redacted!$E:$E,"&lt;=12/31/2017",Redacted!$C:$C,"PHOSPHORUS, TOTAL (AS P)")</t>
  </si>
  <si>
    <t>COUNTIFS(Redacted!$E:$E,"&gt;=5/1/2017",Redacted!$E:$E,"&lt;=4/30/2018",Redacted!$C:$C,"PHOSPHORUS, TOTAL (AS P)")</t>
  </si>
  <si>
    <t>COUNTIFS(Redacted!$E:$E,"&gt;=1/1/2018",Redacted!$E:$E,"&lt;=12/31/2018",Redacted!$C:$C,"PHOSPHORUS, TOTAL (AS P)")</t>
  </si>
  <si>
    <t>COUNTIFS(Redacted!$E:$E,"&gt;=5/1/2018",Redacted!$E:$E,"&lt;=4/30/2019",Redacted!$C:$C,"PHOSPHORUS, TOTAL (AS P)")</t>
  </si>
  <si>
    <t>COUNTIFS(NDD!C:C,"NITROGEN, TOTAL (AS N)",NDD!H:H,"RAW WASTE",NDD!O:O,"h")</t>
  </si>
  <si>
    <t>COUNTIFS(NDD!$E:$E,"&gt;=5/1/2014",NDD!$E:$E,"&lt;=4/30/2015",NDD!$C:$C,"NITROGEN, TOTAL (AS N)",NDD!$H:$H,"RAW WASTE",NDD!O:O,"h")</t>
  </si>
  <si>
    <t>COUNTIFS(NDD!$E:$E,"&gt;=1/1/2015",NDD!$E:$E,"&lt;=12/31/2015",NDD!$C:$C,"NITROGEN, TOTAL (AS N)",NDD!$H:$H,"RAW WASTE",NDD!O:O,"h")</t>
  </si>
  <si>
    <t>COUNTIFS(NDD!$E:$E,"&gt;=5/1/2015",NDD!$E:$E,"&lt;=4/30/2016",NDD!$C:$C,"NITROGEN, TOTAL (AS N)",NDD!$H:$H,"RAW WASTE",NDD!O:O,"h")</t>
  </si>
  <si>
    <t>COUNTIFS(NDD!$E:$E,"&gt;=1/1/2016",NDD!$E:$E,"&lt;=12/31/2016",NDD!$C:$C,"NITROGEN, TOTAL (AS N)",NDD!$H:$H,"RAW WASTE",NDD!O:O,"h")</t>
  </si>
  <si>
    <t>COUNTIFS(NDD!$E:$E,"&gt;=5/1/2016",NDD!$E:$E,"&lt;=4/30/2017",NDD!$C:$C,"NITROGEN, TOTAL (AS N)",NDD!$H:$H,"RAW WASTE",NDD!O:O,"h")</t>
  </si>
  <si>
    <t>COUNTIFS(NDD!$E:$E,"&gt;=1/1/2017",NDD!$E:$E,"&lt;=12/31/2017",NDD!$C:$C,"NITROGEN, TOTAL (AS N)",NDD!$H:$H,"RAW WASTE",NDD!O:O,"h")</t>
  </si>
  <si>
    <t>COUNTIFS(NDD!$E:$E,"&gt;=5/1/2017",NDD!$E:$E,"&lt;=4/30/2018",NDD!$C:$C,"NITROGEN, TOTAL (AS N)",NDD!$H:$H,"RAW WASTE",NDD!O:O,"h")</t>
  </si>
  <si>
    <t>COUNTIFS(NDD!$E:$E,"&gt;=1/1/2018",NDD!$E:$E,"&lt;=12/31/2018",NDD!$C:$C,"NITROGEN, TOTAL (AS N)",NDD!$H:$H,"RAW WASTE",NDD!O:O,"h")</t>
  </si>
  <si>
    <t>COUNTIFS(NDD!$E:$E,"&gt;=5/1/2018",NDD!$E:$E,"&lt;=4/30/2019",NDD!$C:$C,"NITROGEN, TOTAL (AS N)",NDD!$H:$H,"RAW WASTE",NDD!O:O,"h")</t>
  </si>
  <si>
    <t>COUNTIFS(NDD!C:C,"PHOSPHORUS, TOTAL (AS P)",NDD!H:H,"RAW WASTE",NDD!O:O,"h")</t>
  </si>
  <si>
    <t>COUNTIFS(NDD!$E:$E,"&gt;=5/1/2014",NDD!$E:$E,"&lt;=4/30/2015",NDD!$C:$C,"PHOSPHORUS, TOTAL (AS P)",NDD!$H:$H,"RAW WASTE",NDD!O:O,"h")</t>
  </si>
  <si>
    <t>COUNTIFS(NDD!$E:$E,"&gt;=1/1/2015",NDD!$E:$E,"&lt;=12/31/2015",NDD!$C:$C,"PHOSPHORUS, TOTAL (AS P)",NDD!$H:$H,"RAW WASTE",NDD!O:O,"h")</t>
  </si>
  <si>
    <t>COUNTIFS(NDD!$E:$E,"&gt;=5/1/2015",NDD!$E:$E,"&lt;=4/30/2016",NDD!$C:$C,"PHOSPHORUS, TOTAL (AS P)",NDD!$H:$H,"RAW WASTE",NDD!O:O,"h")</t>
  </si>
  <si>
    <t>COUNTIFS(NDD!$E:$E,"&gt;=1/1/2016",NDD!$E:$E,"&lt;=12/31/2016",NDD!$C:$C,"PHOSPHORUS, TOTAL (AS P)",NDD!$H:$H,"RAW WASTE",NDD!O:O,"h")</t>
  </si>
  <si>
    <t>COUNTIFS(NDD!$E:$E,"&gt;=5/1/2016",NDD!$E:$E,"&lt;=4/30/2017",NDD!$C:$C,"PHOSPHORUS, TOTAL (AS P)",NDD!$H:$H,"RAW WASTE",NDD!O:O,"h")</t>
  </si>
  <si>
    <t>COUNTIFS(NDD!$E:$E,"&gt;=1/1/2017",NDD!$E:$E,"&lt;=12/31/2017",NDD!$C:$C,"PHOSPHORUS, TOTAL (AS P)",NDD!$H:$H,"RAW WASTE",NDD!O:O,"h")</t>
  </si>
  <si>
    <t>COUNTIFS(NDD!$E:$E,"&gt;=5/1/2017",NDD!$E:$E,"&lt;=4/30/2018",NDD!$C:$C,"PHOSPHORUS, TOTAL (AS P)",NDD!$H:$H,"RAW WASTE",NDD!O:O,"h")</t>
  </si>
  <si>
    <t>COUNTIFS(NDD!$E:$E,"&gt;=1/1/2018",NDD!$E:$E,"&lt;=12/31/2018",NDD!$C:$C,"PHOSPHORUS, TOTAL (AS P)",NDD!$H:$H,"RAW WASTE",NDD!O:O,"h")</t>
  </si>
  <si>
    <t>COUNTIFS(NDD!$E:$E,"&gt;=5/1/2018",NDD!$E:$E,"&lt;=4/30/2019",NDD!$C:$C,"PHOSPHORUS, TOTAL (AS P)",NDD!$H:$H,"RAW WASTE",NDD!O:O,"h")</t>
  </si>
  <si>
    <t>STDEV.P(Q10,Q13,Q16,Q19)</t>
  </si>
  <si>
    <t>(Q23/(AVERAGE(Q10,Q13,Q16,Q19)))</t>
  </si>
  <si>
    <t>STDEV.P(Q10:Q19)</t>
  </si>
  <si>
    <t>Q27/(AVERAGE(Q10:Q19))</t>
  </si>
  <si>
    <t>STDEV.P(Q36,Q39,Q42,Q45)</t>
  </si>
  <si>
    <t>(Q49/(AVERAGE(Q36,Q39,Q42,Q45)))</t>
  </si>
  <si>
    <t>STDEV.P(Q36:Q45)</t>
  </si>
  <si>
    <t>Q53/(AVERAGE(Q36:Q45))</t>
  </si>
  <si>
    <t>STDEV.P(Q12,Q15,Q18)</t>
  </si>
  <si>
    <t>Q25/(AVERAGE(Q12,Q15,Q18))</t>
  </si>
  <si>
    <t>STDEV.P(Q38,Q41,Q44)</t>
  </si>
  <si>
    <t>Q51/(AVERAGE(Q38,Q41,Q44))</t>
  </si>
  <si>
    <t>Walcott</t>
  </si>
  <si>
    <t>-</t>
  </si>
  <si>
    <t>not yet reissued under NRS</t>
  </si>
  <si>
    <t>7085001</t>
  </si>
  <si>
    <t>WALCOTT CITY OF STP (SOUTH)</t>
  </si>
  <si>
    <t>1 EVERY 3 MONTHS</t>
  </si>
  <si>
    <t>ACTIVATED SLUDGE</t>
  </si>
  <si>
    <t>DISCHARGE FROM AN ACTIVATED SLUDGE WWTF.</t>
  </si>
  <si>
    <t>no redactions</t>
  </si>
  <si>
    <t>5879001</t>
  </si>
  <si>
    <t>WAPELLO CITY OF STP</t>
  </si>
  <si>
    <t>RAW WASTE</t>
  </si>
  <si>
    <t>1 TIME PER WEEK</t>
  </si>
  <si>
    <t>AERATED LAGOON</t>
  </si>
  <si>
    <t>CONT DISCHARGE FROM 3 CELL LAGOON WWTF TO THE RIVER.</t>
  </si>
  <si>
    <t>CONT DISCHARGE FROM 3 CELL LAGOON WWTF TO THE WETLANDS</t>
  </si>
  <si>
    <t>EFFLUENT AFTER DISINFECTION</t>
  </si>
  <si>
    <t>Wapello</t>
  </si>
  <si>
    <t>2017 - TN: redacted days w/ zero final values</t>
  </si>
  <si>
    <t>Mon Locat
Adjusted</t>
  </si>
  <si>
    <t>Description
Adjusted</t>
  </si>
  <si>
    <t>0790001</t>
  </si>
  <si>
    <t>WATERLOO</t>
  </si>
  <si>
    <t>TOTAL TREATMENT FACILITY DIFFUSER DISCHARGE.</t>
  </si>
  <si>
    <t>MONITORING &amp; LIMITS</t>
  </si>
  <si>
    <t>TOTAL TREATMENT FACILITY SHORELINE STREAM FLOW &gt;= 8500 CFS</t>
  </si>
  <si>
    <t>Waterloo</t>
  </si>
  <si>
    <t>2016 &amp; 2017 - TN &amp; TP - redacted days w/ raw or final only  Did not use data from sattelite outfalls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</si>
</sst>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m/d/yyyy"/>
    <numFmt numFmtId="165" formatCode="[$-10409]0.00;\(0.00\)"/>
    <numFmt numFmtId="166" formatCode="0.0"/>
    <numFmt numFmtId="167" formatCode="0.0%"/>
    <numFmt numFmtId="168" formatCode="#,##0.0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Tahoma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0"/>
      <name val="Tahoma"/>
      <family val="2"/>
    </font>
    <font>
      <sz val="8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rgb="FFC00000"/>
      <name val="Calibri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1">
    <xf numFmtId="0" fontId="0" fillId="0" borderId="0"/>
  </cellStyleXfs>
  <cellXfs count="272"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9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7" fontId="11" fillId="0" borderId="10" xfId="0" applyNumberFormat="1" applyFont="1" applyFill="1" applyBorder="1" applyAlignment="1">
      <alignment horizontal="center" vertical="center"/>
    </xf>
    <xf numFmtId="167" fontId="11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8" xfId="0" applyFont="1" applyFill="1" applyBorder="1"/>
    <xf numFmtId="14" fontId="5" fillId="0" borderId="10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7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7" fontId="9" fillId="0" borderId="7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7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167" fontId="17" fillId="0" borderId="4" xfId="0" applyNumberFormat="1" applyFont="1" applyFill="1" applyBorder="1" applyAlignment="1">
      <alignment horizontal="center" vertical="center"/>
    </xf>
    <xf numFmtId="167" fontId="17" fillId="0" borderId="7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" fontId="7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3" borderId="7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1" fontId="18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9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167" fontId="19" fillId="0" borderId="10" xfId="0" applyNumberFormat="1" applyFont="1" applyFill="1" applyBorder="1" applyAlignment="1">
      <alignment horizontal="center" vertical="center"/>
    </xf>
    <xf numFmtId="167" fontId="19" fillId="0" borderId="9" xfId="0" applyNumberFormat="1" applyFont="1" applyFill="1" applyBorder="1" applyAlignment="1">
      <alignment horizontal="center" vertical="center"/>
    </xf>
    <xf numFmtId="3" fontId="18" fillId="0" borderId="18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3" fontId="10" fillId="0" borderId="18" xfId="0" applyNumberFormat="1" applyFont="1" applyFill="1" applyBorder="1" applyAlignment="1">
      <alignment horizontal="center" vertical="center"/>
    </xf>
    <xf numFmtId="167" fontId="6" fillId="0" borderId="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1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7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6" borderId="4" xfId="0" applyNumberFormat="1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167" fontId="6" fillId="6" borderId="4" xfId="0" applyNumberFormat="1" applyFont="1" applyFill="1" applyBorder="1" applyAlignment="1">
      <alignment horizontal="center" vertical="center"/>
    </xf>
    <xf numFmtId="167" fontId="6" fillId="6" borderId="7" xfId="0" applyNumberFormat="1" applyFont="1" applyFill="1" applyBorder="1" applyAlignment="1">
      <alignment horizontal="center" vertical="center"/>
    </xf>
    <xf numFmtId="3" fontId="7" fillId="6" borderId="19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166" fontId="16" fillId="0" borderId="4" xfId="0" applyNumberFormat="1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166" fontId="7" fillId="3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0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166" fontId="10" fillId="0" borderId="10" xfId="0" applyNumberFormat="1" applyFont="1" applyFill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1" fontId="7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5" borderId="9" xfId="0" applyNumberFormat="1" applyFont="1" applyFill="1" applyBorder="1" applyAlignment="1">
      <alignment horizontal="center" vertical="center"/>
    </xf>
    <xf numFmtId="166" fontId="7" fillId="5" borderId="10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67" fontId="6" fillId="5" borderId="10" xfId="0" applyNumberFormat="1" applyFont="1" applyFill="1" applyBorder="1" applyAlignment="1">
      <alignment horizontal="center" vertical="center"/>
    </xf>
    <xf numFmtId="167" fontId="6" fillId="5" borderId="9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/>
    </xf>
    <xf numFmtId="1" fontId="20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7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7" fontId="21" fillId="0" borderId="4" xfId="0" applyNumberFormat="1" applyFont="1" applyFill="1" applyBorder="1" applyAlignment="1">
      <alignment horizontal="center" vertical="center"/>
    </xf>
    <xf numFmtId="167" fontId="21" fillId="0" borderId="7" xfId="0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66" fontId="5" fillId="0" borderId="0" xfId="0" applyNumberFormat="1" applyFont="1" applyFill="1" applyBorder="1"/>
    <xf numFmtId="0" fontId="5" fillId="0" borderId="20" xfId="0" applyFont="1" applyFill="1" applyBorder="1"/>
    <xf numFmtId="167" fontId="6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7" fontId="6" fillId="0" borderId="9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>
      <alignment vertical="top" wrapText="1" readingOrder="1"/>
    </xf>
    <xf numFmtId="0" fontId="12" fillId="2" borderId="29" xfId="0" applyNumberFormat="1" applyFont="1" applyFill="1" applyBorder="1" applyAlignment="1">
      <alignment horizontal="left" vertical="top" wrapText="1" readingOrder="1"/>
    </xf>
    <xf numFmtId="0" fontId="13" fillId="0" borderId="29" xfId="0" applyFont="1" applyFill="1" applyBorder="1"/>
    <xf numFmtId="0" fontId="2" fillId="0" borderId="29" xfId="0" applyFont="1" applyFill="1" applyBorder="1"/>
    <xf numFmtId="0" fontId="22" fillId="0" borderId="29" xfId="0" applyFont="1" applyFill="1" applyBorder="1"/>
    <xf numFmtId="9" fontId="5" fillId="0" borderId="0" xfId="0" applyNumberFormat="1" applyFont="1" applyFill="1" applyBorder="1"/>
    <xf numFmtId="9" fontId="7" fillId="0" borderId="0" xfId="0" applyNumberFormat="1" applyFont="1" applyFill="1" applyBorder="1"/>
    <xf numFmtId="9" fontId="8" fillId="0" borderId="6" xfId="0" applyNumberFormat="1" applyFont="1" applyFill="1" applyBorder="1"/>
    <xf numFmtId="9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30" xfId="0" applyNumberFormat="1" applyFont="1" applyFill="1" applyBorder="1" applyAlignment="1" applyProtection="1">
      <alignment horizontal="center" vertical="center" wrapText="1" readingOrder="1"/>
      <protection locked="0"/>
    </xf>
    <xf numFmtId="9" fontId="10" fillId="0" borderId="31" xfId="0" applyNumberFormat="1" applyFont="1" applyBorder="1" applyAlignment="1" applyProtection="1">
      <alignment horizontal="center" vertical="center" wrapText="1" readingOrder="1"/>
      <protection locked="0"/>
    </xf>
    <xf numFmtId="9" fontId="7" fillId="5" borderId="31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9" fontId="20" fillId="0" borderId="30" xfId="0" applyNumberFormat="1" applyFont="1" applyBorder="1" applyAlignment="1" applyProtection="1">
      <alignment horizontal="center" vertical="center" wrapText="1" readingOrder="1"/>
      <protection locked="0"/>
    </xf>
    <xf numFmtId="1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Font="1" applyFill="1" applyBorder="1" applyAlignment="1">
      <alignment horizontal="left"/>
    </xf>
    <xf numFmtId="1" fontId="23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3" fillId="0" borderId="7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166" fontId="23" fillId="0" borderId="7" xfId="0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167" fontId="24" fillId="0" borderId="7" xfId="0" applyNumberFormat="1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7" fillId="8" borderId="28" xfId="0" applyFont="1" applyFill="1" applyBorder="1" applyAlignment="1">
      <alignment horizontal="left"/>
    </xf>
    <xf numFmtId="1" fontId="7" fillId="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8" borderId="22" xfId="0" applyNumberFormat="1" applyFont="1" applyFill="1" applyBorder="1" applyAlignment="1">
      <alignment horizontal="center" vertical="center"/>
    </xf>
    <xf numFmtId="3" fontId="7" fillId="8" borderId="23" xfId="0" applyNumberFormat="1" applyFont="1" applyFill="1" applyBorder="1" applyAlignment="1">
      <alignment horizontal="center" vertical="center"/>
    </xf>
    <xf numFmtId="3" fontId="7" fillId="8" borderId="22" xfId="0" applyNumberFormat="1" applyFont="1" applyFill="1" applyBorder="1" applyAlignment="1">
      <alignment horizontal="center" vertical="center"/>
    </xf>
    <xf numFmtId="167" fontId="6" fillId="8" borderId="23" xfId="0" applyNumberFormat="1" applyFont="1" applyFill="1" applyBorder="1" applyAlignment="1">
      <alignment horizontal="center" vertical="center"/>
    </xf>
    <xf numFmtId="167" fontId="6" fillId="8" borderId="22" xfId="0" applyNumberFormat="1" applyFont="1" applyFill="1" applyBorder="1" applyAlignment="1">
      <alignment horizontal="center" vertical="center"/>
    </xf>
    <xf numFmtId="3" fontId="7" fillId="8" borderId="2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7" borderId="30" xfId="0" applyFont="1" applyFill="1" applyBorder="1" applyAlignment="1">
      <alignment horizontal="left"/>
    </xf>
    <xf numFmtId="1" fontId="7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7" borderId="7" xfId="0" applyNumberFormat="1" applyFont="1" applyFill="1" applyBorder="1" applyAlignment="1">
      <alignment horizontal="center" vertical="center"/>
    </xf>
    <xf numFmtId="166" fontId="7" fillId="7" borderId="4" xfId="0" applyNumberFormat="1" applyFont="1" applyFill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167" fontId="6" fillId="7" borderId="4" xfId="0" applyNumberFormat="1" applyFont="1" applyFill="1" applyBorder="1" applyAlignment="1">
      <alignment horizontal="center" vertical="center"/>
    </xf>
    <xf numFmtId="167" fontId="6" fillId="7" borderId="7" xfId="0" applyNumberFormat="1" applyFont="1" applyFill="1" applyBorder="1" applyAlignment="1">
      <alignment horizontal="center" vertical="center"/>
    </xf>
    <xf numFmtId="3" fontId="7" fillId="7" borderId="19" xfId="0" applyNumberFormat="1" applyFont="1" applyFill="1" applyBorder="1" applyAlignment="1">
      <alignment horizontal="center" vertical="center"/>
    </xf>
    <xf numFmtId="9" fontId="7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1" fontId="16" fillId="0" borderId="8" xfId="0" applyNumberFormat="1" applyFont="1" applyBorder="1" applyAlignment="1" applyProtection="1">
      <alignment horizontal="center" vertical="center" wrapText="1" readingOrder="1"/>
      <protection locked="0"/>
    </xf>
    <xf numFmtId="9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" fontId="23" fillId="0" borderId="8" xfId="0" applyNumberFormat="1" applyFont="1" applyBorder="1" applyAlignment="1" applyProtection="1">
      <alignment horizontal="center" vertical="center" wrapText="1" readingOrder="1"/>
      <protection locked="0"/>
    </xf>
    <xf numFmtId="9" fontId="23" fillId="0" borderId="31" xfId="0" applyNumberFormat="1" applyFont="1" applyBorder="1" applyAlignment="1" applyProtection="1">
      <alignment horizontal="center" vertical="center" wrapText="1" readingOrder="1"/>
      <protection locked="0"/>
    </xf>
    <xf numFmtId="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" xfId="0" applyNumberFormat="1" applyFont="1" applyBorder="1" applyAlignment="1" applyProtection="1">
      <alignment horizontal="center" vertical="center" wrapText="1" readingOrder="1"/>
      <protection locked="0"/>
    </xf>
    <xf numFmtId="9" fontId="18" fillId="0" borderId="7" xfId="0" applyNumberFormat="1" applyFont="1" applyBorder="1" applyAlignment="1" applyProtection="1">
      <alignment horizontal="center" vertical="center" wrapText="1" readingOrder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1" fontId="7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" fontId="7" fillId="3" borderId="30" xfId="0" applyNumberFormat="1" applyFont="1" applyFill="1" applyBorder="1" applyAlignment="1" applyProtection="1">
      <alignment horizontal="center" vertical="center" wrapText="1" readingOrder="1"/>
      <protection locked="0"/>
    </xf>
    <xf numFmtId="1" fontId="18" fillId="0" borderId="31" xfId="0" applyNumberFormat="1" applyFont="1" applyBorder="1" applyAlignment="1" applyProtection="1">
      <alignment horizontal="center" vertical="center" wrapText="1" readingOrder="1"/>
      <protection locked="0"/>
    </xf>
    <xf numFmtId="1" fontId="10" fillId="0" borderId="31" xfId="0" applyNumberFormat="1" applyFont="1" applyBorder="1" applyAlignment="1" applyProtection="1">
      <alignment horizontal="center" vertical="center" wrapText="1" readingOrder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 readingOrder="1"/>
      <protection locked="0"/>
    </xf>
    <xf numFmtId="1" fontId="7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" fontId="20" fillId="0" borderId="30" xfId="0" applyNumberFormat="1" applyFont="1" applyBorder="1" applyAlignment="1" applyProtection="1">
      <alignment horizontal="center" vertical="center" wrapText="1" readingOrder="1"/>
      <protection locked="0"/>
    </xf>
    <xf numFmtId="1" fontId="7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1" fontId="23" fillId="0" borderId="30" xfId="0" applyNumberFormat="1" applyFont="1" applyBorder="1" applyAlignment="1" applyProtection="1">
      <alignment horizontal="center" vertical="center" wrapText="1" readingOrder="1"/>
      <protection locked="0"/>
    </xf>
    <xf numFmtId="1" fontId="7" fillId="8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0" borderId="4" xfId="0" applyNumberFormat="1" applyFont="1" applyFill="1" applyBorder="1" applyAlignment="1">
      <alignment horizontal="center" vertical="center"/>
    </xf>
    <xf numFmtId="166" fontId="7" fillId="8" borderId="23" xfId="0" applyNumberFormat="1" applyFont="1" applyFill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9" fontId="9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Fill="1" applyBorder="1"/>
    <xf numFmtId="167" fontId="6" fillId="0" borderId="9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 wrapText="1"/>
    </xf>
    <xf numFmtId="167" fontId="6" fillId="0" borderId="9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right"/>
    </xf>
    <xf numFmtId="14" fontId="5" fillId="0" borderId="11" xfId="0" applyNumberFormat="1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vertical="top" wrapText="1" readingOrder="1"/>
    </xf>
    <xf numFmtId="0" fontId="12" fillId="2" borderId="34" xfId="0" applyNumberFormat="1" applyFont="1" applyFill="1" applyBorder="1" applyAlignment="1">
      <alignment horizontal="left" vertical="top" wrapText="1" readingOrder="1"/>
    </xf>
    <xf numFmtId="0" fontId="13" fillId="0" borderId="34" xfId="0" applyFont="1" applyFill="1" applyBorder="1"/>
    <xf numFmtId="0" fontId="2" fillId="0" borderId="34" xfId="0" applyFont="1" applyFill="1" applyBorder="1"/>
    <xf numFmtId="0" fontId="1" fillId="0" borderId="34" xfId="0" applyFont="1" applyFill="1" applyBorder="1"/>
    <xf numFmtId="0" fontId="26" fillId="0" borderId="34" xfId="0" applyNumberFormat="1" applyFont="1" applyFill="1" applyBorder="1" applyAlignment="1">
      <alignment vertical="top" wrapText="1" readingOrder="1"/>
    </xf>
    <xf numFmtId="164" fontId="26" fillId="0" borderId="34" xfId="0" applyNumberFormat="1" applyFont="1" applyFill="1" applyBorder="1" applyAlignment="1">
      <alignment horizontal="left" vertical="top" wrapText="1" readingOrder="1"/>
    </xf>
    <xf numFmtId="165" fontId="26" fillId="0" borderId="34" xfId="0" applyNumberFormat="1" applyFont="1" applyFill="1" applyBorder="1" applyAlignment="1">
      <alignment horizontal="left" vertical="top" wrapText="1" readingOrder="1"/>
    </xf>
    <xf numFmtId="0" fontId="26" fillId="0" borderId="34" xfId="0" applyNumberFormat="1" applyFont="1" applyFill="1" applyBorder="1" applyAlignment="1">
      <alignment horizontal="left" vertical="top" wrapText="1" readingOrder="1"/>
    </xf>
    <xf numFmtId="168" fontId="8" fillId="0" borderId="4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/>
    <xf numFmtId="0" fontId="26" fillId="0" borderId="29" xfId="0" applyNumberFormat="1" applyFont="1" applyFill="1" applyBorder="1" applyAlignment="1">
      <alignment vertical="top" wrapText="1" readingOrder="1"/>
    </xf>
    <xf numFmtId="164" fontId="26" fillId="0" borderId="29" xfId="0" applyNumberFormat="1" applyFont="1" applyFill="1" applyBorder="1" applyAlignment="1">
      <alignment horizontal="left" vertical="top" wrapText="1" readingOrder="1"/>
    </xf>
    <xf numFmtId="165" fontId="26" fillId="0" borderId="29" xfId="0" applyNumberFormat="1" applyFont="1" applyFill="1" applyBorder="1" applyAlignment="1">
      <alignment horizontal="left" vertical="top" wrapText="1" readingOrder="1"/>
    </xf>
    <xf numFmtId="0" fontId="26" fillId="0" borderId="29" xfId="0" applyNumberFormat="1" applyFont="1" applyFill="1" applyBorder="1" applyAlignment="1">
      <alignment horizontal="left" vertical="top" wrapText="1" readingOrder="1"/>
    </xf>
    <xf numFmtId="3" fontId="26" fillId="0" borderId="29" xfId="0" applyNumberFormat="1" applyFont="1" applyFill="1" applyBorder="1" applyAlignment="1">
      <alignment horizontal="left" vertical="top" wrapText="1" readingOrder="1"/>
    </xf>
    <xf numFmtId="3" fontId="12" fillId="2" borderId="29" xfId="0" applyNumberFormat="1" applyFont="1" applyFill="1" applyBorder="1" applyAlignment="1">
      <alignment vertical="top" wrapText="1" readingOrder="1"/>
    </xf>
    <xf numFmtId="3" fontId="25" fillId="0" borderId="29" xfId="0" applyNumberFormat="1" applyFont="1" applyFill="1" applyBorder="1" applyAlignment="1">
      <alignment horizontal="left" vertical="top" wrapText="1" readingOrder="1"/>
    </xf>
    <xf numFmtId="3" fontId="16" fillId="0" borderId="4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left"/>
    </xf>
    <xf numFmtId="3" fontId="23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pane ySplit="1" topLeftCell="A2" activePane="bottomLeft" state="frozen"/>
      <selection pane="bottomLeft" activeCell="A8" sqref="A8"/>
    </sheetView>
  </sheetViews>
  <sheetFormatPr defaultRowHeight="11.25" x14ac:dyDescent="0.2"/>
  <cols>
    <col min="1" max="1" width="7.5703125" style="137" customWidth="1"/>
    <col min="2" max="2" width="24.42578125" style="137" customWidth="1"/>
    <col min="3" max="3" width="22.7109375" style="137" customWidth="1"/>
    <col min="4" max="4" width="16.28515625" style="137" customWidth="1"/>
    <col min="5" max="5" width="10" style="137" customWidth="1"/>
    <col min="6" max="6" width="7.85546875" style="137" customWidth="1"/>
    <col min="7" max="7" width="8.5703125" style="137" customWidth="1"/>
    <col min="8" max="8" width="13.85546875" style="137" customWidth="1"/>
    <col min="9" max="9" width="4.42578125" style="137" customWidth="1"/>
    <col min="10" max="10" width="16" style="137" customWidth="1"/>
    <col min="11" max="11" width="16.85546875" style="137" customWidth="1"/>
    <col min="12" max="12" width="38.140625" style="137" customWidth="1"/>
    <col min="13" max="13" width="22.5703125" style="137" customWidth="1"/>
    <col min="14" max="16384" width="9.140625" style="137"/>
  </cols>
  <sheetData>
    <row r="1" spans="1:14" s="136" customFormat="1" ht="21" x14ac:dyDescent="0.2">
      <c r="A1" s="134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134" t="s">
        <v>5</v>
      </c>
      <c r="G1" s="134" t="s">
        <v>6</v>
      </c>
      <c r="H1" s="134" t="s">
        <v>7</v>
      </c>
      <c r="I1" s="135" t="s">
        <v>8</v>
      </c>
      <c r="J1" s="135" t="s">
        <v>9</v>
      </c>
      <c r="K1" s="135" t="s">
        <v>10</v>
      </c>
      <c r="L1" s="134" t="s">
        <v>11</v>
      </c>
      <c r="M1" s="134" t="s">
        <v>58</v>
      </c>
      <c r="N1" s="134" t="s">
        <v>59</v>
      </c>
    </row>
    <row r="2" spans="1:14" x14ac:dyDescent="0.2">
      <c r="A2" s="2" t="s">
        <v>120</v>
      </c>
      <c r="B2" s="2" t="s">
        <v>121</v>
      </c>
      <c r="C2" s="2" t="s">
        <v>12</v>
      </c>
      <c r="D2" s="2" t="s">
        <v>13</v>
      </c>
      <c r="E2" s="3">
        <v>43375</v>
      </c>
      <c r="F2" s="4">
        <v>7.18</v>
      </c>
      <c r="G2" s="5" t="s">
        <v>14</v>
      </c>
      <c r="H2" s="2" t="s">
        <v>16</v>
      </c>
      <c r="I2" s="5">
        <v>2</v>
      </c>
      <c r="J2" s="5" t="s">
        <v>122</v>
      </c>
      <c r="K2" s="5" t="s">
        <v>123</v>
      </c>
      <c r="L2" s="2" t="s">
        <v>124</v>
      </c>
    </row>
    <row r="3" spans="1:14" x14ac:dyDescent="0.2">
      <c r="A3" s="2" t="s">
        <v>120</v>
      </c>
      <c r="B3" s="2" t="s">
        <v>121</v>
      </c>
      <c r="C3" s="2" t="s">
        <v>12</v>
      </c>
      <c r="D3" s="2" t="s">
        <v>13</v>
      </c>
      <c r="E3" s="3">
        <v>43375</v>
      </c>
      <c r="F3" s="4">
        <v>20.359608000000001</v>
      </c>
      <c r="G3" s="5" t="s">
        <v>15</v>
      </c>
      <c r="H3" s="2" t="s">
        <v>16</v>
      </c>
      <c r="I3" s="5">
        <v>2</v>
      </c>
      <c r="J3" s="5" t="s">
        <v>122</v>
      </c>
      <c r="K3" s="5" t="s">
        <v>123</v>
      </c>
      <c r="L3" s="2" t="s">
        <v>124</v>
      </c>
    </row>
    <row r="4" spans="1:14" x14ac:dyDescent="0.2">
      <c r="A4" s="2" t="s">
        <v>120</v>
      </c>
      <c r="B4" s="2" t="s">
        <v>121</v>
      </c>
      <c r="C4" s="2" t="s">
        <v>12</v>
      </c>
      <c r="D4" s="2" t="s">
        <v>13</v>
      </c>
      <c r="E4" s="3">
        <v>43284</v>
      </c>
      <c r="F4" s="4">
        <v>8.84</v>
      </c>
      <c r="G4" s="5" t="s">
        <v>14</v>
      </c>
      <c r="H4" s="2" t="s">
        <v>16</v>
      </c>
      <c r="I4" s="5">
        <v>2</v>
      </c>
      <c r="J4" s="5" t="s">
        <v>122</v>
      </c>
      <c r="K4" s="5" t="s">
        <v>123</v>
      </c>
      <c r="L4" s="2" t="s">
        <v>124</v>
      </c>
    </row>
    <row r="5" spans="1:14" x14ac:dyDescent="0.2">
      <c r="A5" s="2" t="s">
        <v>120</v>
      </c>
      <c r="B5" s="2" t="s">
        <v>121</v>
      </c>
      <c r="C5" s="2" t="s">
        <v>12</v>
      </c>
      <c r="D5" s="2" t="s">
        <v>13</v>
      </c>
      <c r="E5" s="3">
        <v>43284</v>
      </c>
      <c r="F5" s="4">
        <v>11.943547199999999</v>
      </c>
      <c r="G5" s="5" t="s">
        <v>15</v>
      </c>
      <c r="H5" s="2" t="s">
        <v>16</v>
      </c>
      <c r="I5" s="5">
        <v>2</v>
      </c>
      <c r="J5" s="5" t="s">
        <v>122</v>
      </c>
      <c r="K5" s="5" t="s">
        <v>123</v>
      </c>
      <c r="L5" s="2" t="s">
        <v>124</v>
      </c>
    </row>
    <row r="6" spans="1:14" x14ac:dyDescent="0.2">
      <c r="A6" s="2" t="s">
        <v>120</v>
      </c>
      <c r="B6" s="2" t="s">
        <v>121</v>
      </c>
      <c r="C6" s="2" t="s">
        <v>12</v>
      </c>
      <c r="D6" s="2" t="s">
        <v>13</v>
      </c>
      <c r="E6" s="3">
        <v>43193</v>
      </c>
      <c r="F6" s="4">
        <v>4.3</v>
      </c>
      <c r="G6" s="5" t="s">
        <v>14</v>
      </c>
      <c r="H6" s="2" t="s">
        <v>16</v>
      </c>
      <c r="I6" s="5">
        <v>2</v>
      </c>
      <c r="J6" s="5" t="s">
        <v>122</v>
      </c>
      <c r="K6" s="5" t="s">
        <v>123</v>
      </c>
      <c r="L6" s="2" t="s">
        <v>124</v>
      </c>
    </row>
    <row r="7" spans="1:14" x14ac:dyDescent="0.2">
      <c r="A7" s="2" t="s">
        <v>120</v>
      </c>
      <c r="B7" s="2" t="s">
        <v>121</v>
      </c>
      <c r="C7" s="2" t="s">
        <v>12</v>
      </c>
      <c r="D7" s="2" t="s">
        <v>13</v>
      </c>
      <c r="E7" s="3">
        <v>43193</v>
      </c>
      <c r="F7" s="4">
        <v>8.5351560000000006</v>
      </c>
      <c r="G7" s="5" t="s">
        <v>15</v>
      </c>
      <c r="H7" s="2" t="s">
        <v>16</v>
      </c>
      <c r="I7" s="5">
        <v>2</v>
      </c>
      <c r="J7" s="5" t="s">
        <v>122</v>
      </c>
      <c r="K7" s="5" t="s">
        <v>123</v>
      </c>
      <c r="L7" s="2" t="s">
        <v>124</v>
      </c>
    </row>
    <row r="8" spans="1:14" s="138" customFormat="1" x14ac:dyDescent="0.2">
      <c r="A8" s="2" t="s">
        <v>120</v>
      </c>
      <c r="B8" s="2" t="s">
        <v>121</v>
      </c>
      <c r="C8" s="2" t="s">
        <v>12</v>
      </c>
      <c r="D8" s="2" t="s">
        <v>13</v>
      </c>
      <c r="E8" s="3">
        <v>43102</v>
      </c>
      <c r="F8" s="4">
        <v>5.33</v>
      </c>
      <c r="G8" s="5" t="s">
        <v>14</v>
      </c>
      <c r="H8" s="2" t="s">
        <v>16</v>
      </c>
      <c r="I8" s="5">
        <v>2</v>
      </c>
      <c r="J8" s="5" t="s">
        <v>122</v>
      </c>
      <c r="K8" s="5" t="s">
        <v>123</v>
      </c>
      <c r="L8" s="2" t="s">
        <v>124</v>
      </c>
    </row>
    <row r="9" spans="1:14" s="138" customFormat="1" x14ac:dyDescent="0.2">
      <c r="A9" s="2" t="s">
        <v>120</v>
      </c>
      <c r="B9" s="2" t="s">
        <v>121</v>
      </c>
      <c r="C9" s="2" t="s">
        <v>12</v>
      </c>
      <c r="D9" s="2" t="s">
        <v>13</v>
      </c>
      <c r="E9" s="3">
        <v>43102</v>
      </c>
      <c r="F9" s="4">
        <v>4.6230288000000002</v>
      </c>
      <c r="G9" s="5" t="s">
        <v>15</v>
      </c>
      <c r="H9" s="2" t="s">
        <v>16</v>
      </c>
      <c r="I9" s="5">
        <v>2</v>
      </c>
      <c r="J9" s="5" t="s">
        <v>122</v>
      </c>
      <c r="K9" s="5" t="s">
        <v>123</v>
      </c>
      <c r="L9" s="2" t="s">
        <v>124</v>
      </c>
    </row>
    <row r="10" spans="1:14" x14ac:dyDescent="0.2">
      <c r="A10" s="2" t="s">
        <v>120</v>
      </c>
      <c r="B10" s="2" t="s">
        <v>121</v>
      </c>
      <c r="C10" s="2" t="s">
        <v>12</v>
      </c>
      <c r="D10" s="2" t="s">
        <v>13</v>
      </c>
      <c r="E10" s="3">
        <v>43012</v>
      </c>
      <c r="F10" s="4">
        <v>7.9</v>
      </c>
      <c r="G10" s="5" t="s">
        <v>14</v>
      </c>
      <c r="H10" s="2" t="s">
        <v>16</v>
      </c>
      <c r="I10" s="5">
        <v>2</v>
      </c>
      <c r="J10" s="5" t="s">
        <v>122</v>
      </c>
      <c r="K10" s="5" t="s">
        <v>123</v>
      </c>
      <c r="L10" s="2" t="s">
        <v>124</v>
      </c>
    </row>
    <row r="11" spans="1:14" x14ac:dyDescent="0.2">
      <c r="A11" s="2" t="s">
        <v>120</v>
      </c>
      <c r="B11" s="2" t="s">
        <v>121</v>
      </c>
      <c r="C11" s="2" t="s">
        <v>12</v>
      </c>
      <c r="D11" s="2" t="s">
        <v>13</v>
      </c>
      <c r="E11" s="3">
        <v>43012</v>
      </c>
      <c r="F11" s="4">
        <v>7.90632</v>
      </c>
      <c r="G11" s="5" t="s">
        <v>15</v>
      </c>
      <c r="H11" s="2" t="s">
        <v>16</v>
      </c>
      <c r="I11" s="5">
        <v>2</v>
      </c>
      <c r="J11" s="5" t="s">
        <v>122</v>
      </c>
      <c r="K11" s="5" t="s">
        <v>123</v>
      </c>
      <c r="L11" s="2" t="s">
        <v>124</v>
      </c>
    </row>
    <row r="12" spans="1:14" x14ac:dyDescent="0.2">
      <c r="A12" s="2" t="s">
        <v>120</v>
      </c>
      <c r="B12" s="2" t="s">
        <v>121</v>
      </c>
      <c r="C12" s="2" t="s">
        <v>12</v>
      </c>
      <c r="D12" s="2" t="s">
        <v>13</v>
      </c>
      <c r="E12" s="3">
        <v>42921</v>
      </c>
      <c r="F12" s="4">
        <v>3.7</v>
      </c>
      <c r="G12" s="5" t="s">
        <v>14</v>
      </c>
      <c r="H12" s="2" t="s">
        <v>16</v>
      </c>
      <c r="I12" s="5">
        <v>2</v>
      </c>
      <c r="J12" s="5" t="s">
        <v>122</v>
      </c>
      <c r="K12" s="5" t="s">
        <v>123</v>
      </c>
      <c r="L12" s="2" t="s">
        <v>124</v>
      </c>
    </row>
    <row r="13" spans="1:14" x14ac:dyDescent="0.2">
      <c r="A13" s="2" t="s">
        <v>120</v>
      </c>
      <c r="B13" s="2" t="s">
        <v>121</v>
      </c>
      <c r="C13" s="2" t="s">
        <v>12</v>
      </c>
      <c r="D13" s="2" t="s">
        <v>13</v>
      </c>
      <c r="E13" s="3">
        <v>42921</v>
      </c>
      <c r="F13" s="4">
        <v>5.1224280000000002</v>
      </c>
      <c r="G13" s="5" t="s">
        <v>15</v>
      </c>
      <c r="H13" s="2" t="s">
        <v>16</v>
      </c>
      <c r="I13" s="5">
        <v>2</v>
      </c>
      <c r="J13" s="5" t="s">
        <v>122</v>
      </c>
      <c r="K13" s="5" t="s">
        <v>123</v>
      </c>
      <c r="L13" s="2" t="s">
        <v>124</v>
      </c>
    </row>
    <row r="14" spans="1:14" x14ac:dyDescent="0.2">
      <c r="A14" s="2" t="s">
        <v>120</v>
      </c>
      <c r="B14" s="2" t="s">
        <v>121</v>
      </c>
      <c r="C14" s="2" t="s">
        <v>12</v>
      </c>
      <c r="D14" s="2" t="s">
        <v>13</v>
      </c>
      <c r="E14" s="3">
        <v>42831</v>
      </c>
      <c r="F14" s="4">
        <v>3.56</v>
      </c>
      <c r="G14" s="5" t="s">
        <v>14</v>
      </c>
      <c r="H14" s="2" t="s">
        <v>16</v>
      </c>
      <c r="I14" s="5">
        <v>2</v>
      </c>
      <c r="J14" s="5" t="s">
        <v>122</v>
      </c>
      <c r="K14" s="5" t="s">
        <v>123</v>
      </c>
      <c r="L14" s="2" t="s">
        <v>124</v>
      </c>
    </row>
    <row r="15" spans="1:14" x14ac:dyDescent="0.2">
      <c r="A15" s="2" t="s">
        <v>120</v>
      </c>
      <c r="B15" s="2" t="s">
        <v>121</v>
      </c>
      <c r="C15" s="2" t="s">
        <v>12</v>
      </c>
      <c r="D15" s="2" t="s">
        <v>13</v>
      </c>
      <c r="E15" s="3">
        <v>42831</v>
      </c>
      <c r="F15" s="4">
        <v>17.368884000000001</v>
      </c>
      <c r="G15" s="5" t="s">
        <v>15</v>
      </c>
      <c r="H15" s="2" t="s">
        <v>16</v>
      </c>
      <c r="I15" s="5">
        <v>2</v>
      </c>
      <c r="J15" s="5" t="s">
        <v>122</v>
      </c>
      <c r="K15" s="5" t="s">
        <v>123</v>
      </c>
      <c r="L15" s="2" t="s">
        <v>124</v>
      </c>
    </row>
    <row r="16" spans="1:14" x14ac:dyDescent="0.2">
      <c r="A16" s="2" t="s">
        <v>120</v>
      </c>
      <c r="B16" s="2" t="s">
        <v>121</v>
      </c>
      <c r="C16" s="2" t="s">
        <v>12</v>
      </c>
      <c r="D16" s="2" t="s">
        <v>13</v>
      </c>
      <c r="E16" s="3">
        <v>42737</v>
      </c>
      <c r="F16" s="4">
        <v>5.61</v>
      </c>
      <c r="G16" s="5" t="s">
        <v>14</v>
      </c>
      <c r="H16" s="2" t="s">
        <v>16</v>
      </c>
      <c r="I16" s="5">
        <v>2</v>
      </c>
      <c r="J16" s="5" t="s">
        <v>122</v>
      </c>
      <c r="K16" s="5" t="s">
        <v>123</v>
      </c>
      <c r="L16" s="2" t="s">
        <v>124</v>
      </c>
    </row>
    <row r="17" spans="1:12" x14ac:dyDescent="0.2">
      <c r="A17" s="2" t="s">
        <v>120</v>
      </c>
      <c r="B17" s="2" t="s">
        <v>121</v>
      </c>
      <c r="C17" s="2" t="s">
        <v>12</v>
      </c>
      <c r="D17" s="2" t="s">
        <v>13</v>
      </c>
      <c r="E17" s="3">
        <v>42737</v>
      </c>
      <c r="F17" s="4">
        <v>3.7897794</v>
      </c>
      <c r="G17" s="5" t="s">
        <v>15</v>
      </c>
      <c r="H17" s="2" t="s">
        <v>16</v>
      </c>
      <c r="I17" s="5">
        <v>2</v>
      </c>
      <c r="J17" s="5" t="s">
        <v>122</v>
      </c>
      <c r="K17" s="5" t="s">
        <v>123</v>
      </c>
      <c r="L17" s="2" t="s">
        <v>124</v>
      </c>
    </row>
    <row r="18" spans="1:12" x14ac:dyDescent="0.2">
      <c r="A18" s="2" t="s">
        <v>120</v>
      </c>
      <c r="B18" s="2" t="s">
        <v>121</v>
      </c>
      <c r="C18" s="2" t="s">
        <v>17</v>
      </c>
      <c r="D18" s="2" t="s">
        <v>13</v>
      </c>
      <c r="E18" s="3">
        <v>43375</v>
      </c>
      <c r="F18" s="4">
        <v>5</v>
      </c>
      <c r="G18" s="5" t="s">
        <v>14</v>
      </c>
      <c r="H18" s="2" t="s">
        <v>16</v>
      </c>
      <c r="I18" s="5">
        <v>2</v>
      </c>
      <c r="J18" s="5" t="s">
        <v>122</v>
      </c>
      <c r="K18" s="5" t="s">
        <v>123</v>
      </c>
      <c r="L18" s="2" t="s">
        <v>124</v>
      </c>
    </row>
    <row r="19" spans="1:12" x14ac:dyDescent="0.2">
      <c r="A19" s="2" t="s">
        <v>120</v>
      </c>
      <c r="B19" s="2" t="s">
        <v>121</v>
      </c>
      <c r="C19" s="2" t="s">
        <v>17</v>
      </c>
      <c r="D19" s="2" t="s">
        <v>13</v>
      </c>
      <c r="E19" s="3">
        <v>43375</v>
      </c>
      <c r="F19" s="4">
        <v>14.178000000000001</v>
      </c>
      <c r="G19" s="5" t="s">
        <v>15</v>
      </c>
      <c r="H19" s="2" t="s">
        <v>16</v>
      </c>
      <c r="I19" s="5">
        <v>2</v>
      </c>
      <c r="J19" s="5" t="s">
        <v>122</v>
      </c>
      <c r="K19" s="5" t="s">
        <v>123</v>
      </c>
      <c r="L19" s="2" t="s">
        <v>124</v>
      </c>
    </row>
    <row r="20" spans="1:12" x14ac:dyDescent="0.2">
      <c r="A20" s="2" t="s">
        <v>120</v>
      </c>
      <c r="B20" s="2" t="s">
        <v>121</v>
      </c>
      <c r="C20" s="2" t="s">
        <v>17</v>
      </c>
      <c r="D20" s="2" t="s">
        <v>13</v>
      </c>
      <c r="E20" s="3">
        <v>43284</v>
      </c>
      <c r="F20" s="4">
        <v>6.88</v>
      </c>
      <c r="G20" s="5" t="s">
        <v>14</v>
      </c>
      <c r="H20" s="2" t="s">
        <v>16</v>
      </c>
      <c r="I20" s="5">
        <v>2</v>
      </c>
      <c r="J20" s="5" t="s">
        <v>122</v>
      </c>
      <c r="K20" s="5" t="s">
        <v>123</v>
      </c>
      <c r="L20" s="2" t="s">
        <v>124</v>
      </c>
    </row>
    <row r="21" spans="1:12" x14ac:dyDescent="0.2">
      <c r="A21" s="2" t="s">
        <v>120</v>
      </c>
      <c r="B21" s="2" t="s">
        <v>121</v>
      </c>
      <c r="C21" s="2" t="s">
        <v>17</v>
      </c>
      <c r="D21" s="2" t="s">
        <v>13</v>
      </c>
      <c r="E21" s="3">
        <v>43284</v>
      </c>
      <c r="F21" s="4">
        <v>9.2954304000000008</v>
      </c>
      <c r="G21" s="5" t="s">
        <v>15</v>
      </c>
      <c r="H21" s="2" t="s">
        <v>16</v>
      </c>
      <c r="I21" s="5">
        <v>2</v>
      </c>
      <c r="J21" s="5" t="s">
        <v>122</v>
      </c>
      <c r="K21" s="5" t="s">
        <v>123</v>
      </c>
      <c r="L21" s="2" t="s">
        <v>124</v>
      </c>
    </row>
    <row r="22" spans="1:12" x14ac:dyDescent="0.2">
      <c r="A22" s="2" t="s">
        <v>120</v>
      </c>
      <c r="B22" s="2" t="s">
        <v>121</v>
      </c>
      <c r="C22" s="2" t="s">
        <v>17</v>
      </c>
      <c r="D22" s="2" t="s">
        <v>13</v>
      </c>
      <c r="E22" s="3">
        <v>43193</v>
      </c>
      <c r="F22" s="4">
        <v>3.2</v>
      </c>
      <c r="G22" s="5" t="s">
        <v>14</v>
      </c>
      <c r="H22" s="2" t="s">
        <v>16</v>
      </c>
      <c r="I22" s="5">
        <v>2</v>
      </c>
      <c r="J22" s="5" t="s">
        <v>122</v>
      </c>
      <c r="K22" s="5" t="s">
        <v>123</v>
      </c>
      <c r="L22" s="2" t="s">
        <v>124</v>
      </c>
    </row>
    <row r="23" spans="1:12" x14ac:dyDescent="0.2">
      <c r="A23" s="2" t="s">
        <v>120</v>
      </c>
      <c r="B23" s="2" t="s">
        <v>121</v>
      </c>
      <c r="C23" s="2" t="s">
        <v>17</v>
      </c>
      <c r="D23" s="2" t="s">
        <v>13</v>
      </c>
      <c r="E23" s="3">
        <v>43193</v>
      </c>
      <c r="F23" s="4">
        <v>6.3517440000000001</v>
      </c>
      <c r="G23" s="5" t="s">
        <v>15</v>
      </c>
      <c r="H23" s="2" t="s">
        <v>16</v>
      </c>
      <c r="I23" s="5">
        <v>2</v>
      </c>
      <c r="J23" s="5" t="s">
        <v>122</v>
      </c>
      <c r="K23" s="5" t="s">
        <v>123</v>
      </c>
      <c r="L23" s="2" t="s">
        <v>124</v>
      </c>
    </row>
    <row r="24" spans="1:12" x14ac:dyDescent="0.2">
      <c r="A24" s="2" t="s">
        <v>120</v>
      </c>
      <c r="B24" s="2" t="s">
        <v>121</v>
      </c>
      <c r="C24" s="2" t="s">
        <v>17</v>
      </c>
      <c r="D24" s="2" t="s">
        <v>13</v>
      </c>
      <c r="E24" s="3">
        <v>43102</v>
      </c>
      <c r="F24" s="4">
        <v>6.5</v>
      </c>
      <c r="G24" s="5" t="s">
        <v>14</v>
      </c>
      <c r="H24" s="2" t="s">
        <v>16</v>
      </c>
      <c r="I24" s="5">
        <v>2</v>
      </c>
      <c r="J24" s="5" t="s">
        <v>122</v>
      </c>
      <c r="K24" s="5" t="s">
        <v>123</v>
      </c>
      <c r="L24" s="2" t="s">
        <v>124</v>
      </c>
    </row>
    <row r="25" spans="1:12" x14ac:dyDescent="0.2">
      <c r="A25" s="2" t="s">
        <v>120</v>
      </c>
      <c r="B25" s="2" t="s">
        <v>121</v>
      </c>
      <c r="C25" s="2" t="s">
        <v>17</v>
      </c>
      <c r="D25" s="2" t="s">
        <v>13</v>
      </c>
      <c r="E25" s="3">
        <v>43102</v>
      </c>
      <c r="F25" s="4">
        <v>5.6378399999999997</v>
      </c>
      <c r="G25" s="5" t="s">
        <v>15</v>
      </c>
      <c r="H25" s="2" t="s">
        <v>16</v>
      </c>
      <c r="I25" s="5">
        <v>2</v>
      </c>
      <c r="J25" s="5" t="s">
        <v>122</v>
      </c>
      <c r="K25" s="5" t="s">
        <v>123</v>
      </c>
      <c r="L25" s="2" t="s">
        <v>124</v>
      </c>
    </row>
    <row r="26" spans="1:12" x14ac:dyDescent="0.2">
      <c r="A26" s="2" t="s">
        <v>120</v>
      </c>
      <c r="B26" s="2" t="s">
        <v>121</v>
      </c>
      <c r="C26" s="2" t="s">
        <v>17</v>
      </c>
      <c r="D26" s="2" t="s">
        <v>13</v>
      </c>
      <c r="E26" s="3">
        <v>43012</v>
      </c>
      <c r="F26" s="4">
        <v>7.7</v>
      </c>
      <c r="G26" s="5" t="s">
        <v>14</v>
      </c>
      <c r="H26" s="2" t="s">
        <v>16</v>
      </c>
      <c r="I26" s="5">
        <v>2</v>
      </c>
      <c r="J26" s="5" t="s">
        <v>122</v>
      </c>
      <c r="K26" s="5" t="s">
        <v>123</v>
      </c>
      <c r="L26" s="2" t="s">
        <v>124</v>
      </c>
    </row>
    <row r="27" spans="1:12" x14ac:dyDescent="0.2">
      <c r="A27" s="2" t="s">
        <v>120</v>
      </c>
      <c r="B27" s="2" t="s">
        <v>121</v>
      </c>
      <c r="C27" s="2" t="s">
        <v>17</v>
      </c>
      <c r="D27" s="2" t="s">
        <v>13</v>
      </c>
      <c r="E27" s="3">
        <v>43012</v>
      </c>
      <c r="F27" s="4">
        <v>7.7061599999999997</v>
      </c>
      <c r="G27" s="5" t="s">
        <v>15</v>
      </c>
      <c r="H27" s="2" t="s">
        <v>16</v>
      </c>
      <c r="I27" s="5">
        <v>2</v>
      </c>
      <c r="J27" s="5" t="s">
        <v>122</v>
      </c>
      <c r="K27" s="5" t="s">
        <v>123</v>
      </c>
      <c r="L27" s="2" t="s">
        <v>124</v>
      </c>
    </row>
    <row r="28" spans="1:12" x14ac:dyDescent="0.2">
      <c r="A28" s="2" t="s">
        <v>120</v>
      </c>
      <c r="B28" s="2" t="s">
        <v>121</v>
      </c>
      <c r="C28" s="2" t="s">
        <v>17</v>
      </c>
      <c r="D28" s="2" t="s">
        <v>13</v>
      </c>
      <c r="E28" s="3">
        <v>42921</v>
      </c>
      <c r="F28" s="4">
        <v>5.3</v>
      </c>
      <c r="G28" s="5" t="s">
        <v>14</v>
      </c>
      <c r="H28" s="2" t="s">
        <v>16</v>
      </c>
      <c r="I28" s="5">
        <v>2</v>
      </c>
      <c r="J28" s="5" t="s">
        <v>122</v>
      </c>
      <c r="K28" s="5" t="s">
        <v>123</v>
      </c>
      <c r="L28" s="2" t="s">
        <v>124</v>
      </c>
    </row>
    <row r="29" spans="1:12" x14ac:dyDescent="0.2">
      <c r="A29" s="2" t="s">
        <v>120</v>
      </c>
      <c r="B29" s="2" t="s">
        <v>121</v>
      </c>
      <c r="C29" s="2" t="s">
        <v>17</v>
      </c>
      <c r="D29" s="2" t="s">
        <v>13</v>
      </c>
      <c r="E29" s="3">
        <v>42921</v>
      </c>
      <c r="F29" s="4">
        <v>7.3375320000000004</v>
      </c>
      <c r="G29" s="5" t="s">
        <v>15</v>
      </c>
      <c r="H29" s="2" t="s">
        <v>16</v>
      </c>
      <c r="I29" s="5">
        <v>2</v>
      </c>
      <c r="J29" s="5" t="s">
        <v>122</v>
      </c>
      <c r="K29" s="5" t="s">
        <v>123</v>
      </c>
      <c r="L29" s="2" t="s">
        <v>124</v>
      </c>
    </row>
    <row r="30" spans="1:12" x14ac:dyDescent="0.2">
      <c r="A30" s="2" t="s">
        <v>120</v>
      </c>
      <c r="B30" s="2" t="s">
        <v>121</v>
      </c>
      <c r="C30" s="2" t="s">
        <v>17</v>
      </c>
      <c r="D30" s="2" t="s">
        <v>13</v>
      </c>
      <c r="E30" s="3">
        <v>42831</v>
      </c>
      <c r="F30" s="4">
        <v>2.5</v>
      </c>
      <c r="G30" s="5" t="s">
        <v>14</v>
      </c>
      <c r="H30" s="2" t="s">
        <v>16</v>
      </c>
      <c r="I30" s="5">
        <v>2</v>
      </c>
      <c r="J30" s="5" t="s">
        <v>122</v>
      </c>
      <c r="K30" s="5" t="s">
        <v>123</v>
      </c>
      <c r="L30" s="2" t="s">
        <v>124</v>
      </c>
    </row>
    <row r="31" spans="1:12" x14ac:dyDescent="0.2">
      <c r="A31" s="2" t="s">
        <v>120</v>
      </c>
      <c r="B31" s="2" t="s">
        <v>121</v>
      </c>
      <c r="C31" s="2" t="s">
        <v>17</v>
      </c>
      <c r="D31" s="2" t="s">
        <v>13</v>
      </c>
      <c r="E31" s="3">
        <v>42831</v>
      </c>
      <c r="F31" s="4">
        <v>12.19725</v>
      </c>
      <c r="G31" s="5" t="s">
        <v>15</v>
      </c>
      <c r="H31" s="2" t="s">
        <v>16</v>
      </c>
      <c r="I31" s="5">
        <v>2</v>
      </c>
      <c r="J31" s="5" t="s">
        <v>122</v>
      </c>
      <c r="K31" s="5" t="s">
        <v>123</v>
      </c>
      <c r="L31" s="2" t="s">
        <v>124</v>
      </c>
    </row>
    <row r="32" spans="1:12" x14ac:dyDescent="0.2">
      <c r="A32" s="2" t="s">
        <v>120</v>
      </c>
      <c r="B32" s="2" t="s">
        <v>121</v>
      </c>
      <c r="C32" s="2" t="s">
        <v>17</v>
      </c>
      <c r="D32" s="2" t="s">
        <v>13</v>
      </c>
      <c r="E32" s="3">
        <v>42737</v>
      </c>
      <c r="F32" s="4">
        <v>3.6</v>
      </c>
      <c r="G32" s="5" t="s">
        <v>14</v>
      </c>
      <c r="H32" s="2" t="s">
        <v>16</v>
      </c>
      <c r="I32" s="5">
        <v>2</v>
      </c>
      <c r="J32" s="5" t="s">
        <v>122</v>
      </c>
      <c r="K32" s="5" t="s">
        <v>123</v>
      </c>
      <c r="L32" s="2" t="s">
        <v>124</v>
      </c>
    </row>
    <row r="33" spans="1:12" x14ac:dyDescent="0.2">
      <c r="A33" s="2" t="s">
        <v>120</v>
      </c>
      <c r="B33" s="2" t="s">
        <v>121</v>
      </c>
      <c r="C33" s="2" t="s">
        <v>17</v>
      </c>
      <c r="D33" s="2" t="s">
        <v>13</v>
      </c>
      <c r="E33" s="3">
        <v>42737</v>
      </c>
      <c r="F33" s="4">
        <v>2.4319440000000001</v>
      </c>
      <c r="G33" s="5" t="s">
        <v>15</v>
      </c>
      <c r="H33" s="2" t="s">
        <v>16</v>
      </c>
      <c r="I33" s="5">
        <v>2</v>
      </c>
      <c r="J33" s="5" t="s">
        <v>122</v>
      </c>
      <c r="K33" s="5" t="s">
        <v>123</v>
      </c>
      <c r="L33" s="2" t="s">
        <v>124</v>
      </c>
    </row>
  </sheetData>
  <autoFilter ref="A1:N1"/>
  <sortState ref="A2:O3621">
    <sortCondition ref="C2:C3621"/>
    <sortCondition descending="1" ref="E2:E3621"/>
    <sortCondition descending="1" ref="H2:H3621"/>
    <sortCondition descending="1" ref="G2:G3621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workbookViewId="0">
      <selection activeCell="E27" sqref="E27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6.7109375" style="8" customWidth="1"/>
    <col min="7" max="8" width="9" style="8" customWidth="1"/>
    <col min="9" max="11" width="6" style="8" customWidth="1"/>
    <col min="12" max="12" width="6.710937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2.7109375" style="8" customWidth="1"/>
    <col min="19" max="19" width="11.7109375" style="8" customWidth="1"/>
    <col min="20" max="20" width="11.7109375" style="139" customWidth="1"/>
    <col min="21" max="21" width="11.7109375" style="8" customWidth="1"/>
    <col min="22" max="22" width="4.42578125" style="8" bestFit="1" customWidth="1"/>
    <col min="23" max="23" width="9" style="8" bestFit="1" customWidth="1"/>
    <col min="24" max="24" width="8.7109375" style="8" bestFit="1" customWidth="1"/>
    <col min="25" max="25" width="8.42578125" style="8" bestFit="1" customWidth="1"/>
    <col min="26" max="27" width="6.85546875" style="8" bestFit="1" customWidth="1"/>
    <col min="28" max="28" width="8.85546875" style="8" bestFit="1" customWidth="1"/>
    <col min="29" max="29" width="8.5703125" style="8" bestFit="1" customWidth="1"/>
    <col min="30" max="16384" width="9.140625" style="8"/>
  </cols>
  <sheetData>
    <row r="1" spans="1:21" ht="12.75" x14ac:dyDescent="0.2">
      <c r="A1" s="234" t="s">
        <v>117</v>
      </c>
      <c r="B1" s="235"/>
      <c r="C1" s="236" t="s">
        <v>18</v>
      </c>
      <c r="D1" s="236"/>
      <c r="E1" s="237" t="s">
        <v>118</v>
      </c>
      <c r="F1" s="238"/>
      <c r="G1" s="6" t="s">
        <v>119</v>
      </c>
      <c r="L1" s="8" t="s">
        <v>125</v>
      </c>
    </row>
    <row r="2" spans="1:21" x14ac:dyDescent="0.2">
      <c r="A2" s="34" t="s">
        <v>19</v>
      </c>
      <c r="B2" s="9">
        <f>MIN(WalcottNDD!E:E)</f>
        <v>42737</v>
      </c>
      <c r="C2" s="239" t="s">
        <v>38</v>
      </c>
      <c r="D2" s="239"/>
      <c r="E2" s="240">
        <f>(B3-B2)/30</f>
        <v>21.266666666666666</v>
      </c>
      <c r="F2" s="241"/>
    </row>
    <row r="3" spans="1:21" x14ac:dyDescent="0.2">
      <c r="A3" s="35" t="s">
        <v>20</v>
      </c>
      <c r="B3" s="36">
        <f>MAX(WalcottNDD!E:E)</f>
        <v>43375</v>
      </c>
      <c r="C3" s="217"/>
      <c r="D3" s="217"/>
      <c r="E3" s="217"/>
      <c r="F3" s="218"/>
    </row>
    <row r="4" spans="1:21" ht="12" thickBot="1" x14ac:dyDescent="0.25"/>
    <row r="5" spans="1:21" ht="11.25" customHeight="1" x14ac:dyDescent="0.2">
      <c r="A5" s="242" t="s">
        <v>21</v>
      </c>
      <c r="B5" s="219" t="s">
        <v>21</v>
      </c>
      <c r="C5" s="222" t="s">
        <v>22</v>
      </c>
      <c r="D5" s="223"/>
      <c r="E5" s="223"/>
      <c r="F5" s="223"/>
      <c r="G5" s="223"/>
      <c r="H5" s="223"/>
      <c r="I5" s="224" t="s">
        <v>39</v>
      </c>
      <c r="J5" s="224"/>
      <c r="K5" s="224"/>
      <c r="L5" s="224"/>
      <c r="M5" s="224"/>
      <c r="N5" s="224"/>
      <c r="O5" s="225" t="s">
        <v>23</v>
      </c>
      <c r="P5" s="226"/>
      <c r="Q5" s="245" t="s">
        <v>24</v>
      </c>
      <c r="S5" s="232" t="s">
        <v>60</v>
      </c>
      <c r="T5" s="232" t="s">
        <v>61</v>
      </c>
      <c r="U5" s="214" t="s">
        <v>64</v>
      </c>
    </row>
    <row r="6" spans="1:21" ht="11.25" customHeight="1" x14ac:dyDescent="0.2">
      <c r="A6" s="243"/>
      <c r="B6" s="220"/>
      <c r="C6" s="229" t="s">
        <v>25</v>
      </c>
      <c r="D6" s="230"/>
      <c r="E6" s="229" t="s">
        <v>26</v>
      </c>
      <c r="F6" s="231"/>
      <c r="G6" s="231"/>
      <c r="H6" s="230"/>
      <c r="I6" s="229" t="s">
        <v>25</v>
      </c>
      <c r="J6" s="230"/>
      <c r="K6" s="229" t="s">
        <v>26</v>
      </c>
      <c r="L6" s="231"/>
      <c r="M6" s="231"/>
      <c r="N6" s="231"/>
      <c r="O6" s="227"/>
      <c r="P6" s="228"/>
      <c r="Q6" s="246"/>
      <c r="S6" s="233"/>
      <c r="T6" s="233"/>
      <c r="U6" s="215"/>
    </row>
    <row r="7" spans="1:21" ht="33.75" x14ac:dyDescent="0.2">
      <c r="A7" s="243"/>
      <c r="B7" s="221"/>
      <c r="C7" s="10" t="s">
        <v>27</v>
      </c>
      <c r="D7" s="11" t="s">
        <v>28</v>
      </c>
      <c r="E7" s="10" t="s">
        <v>27</v>
      </c>
      <c r="F7" s="12" t="s">
        <v>29</v>
      </c>
      <c r="G7" s="13" t="s">
        <v>30</v>
      </c>
      <c r="H7" s="14" t="s">
        <v>40</v>
      </c>
      <c r="I7" s="10" t="s">
        <v>27</v>
      </c>
      <c r="J7" s="11" t="s">
        <v>28</v>
      </c>
      <c r="K7" s="10" t="s">
        <v>27</v>
      </c>
      <c r="L7" s="12" t="s">
        <v>29</v>
      </c>
      <c r="M7" s="15" t="s">
        <v>31</v>
      </c>
      <c r="N7" s="14" t="s">
        <v>41</v>
      </c>
      <c r="O7" s="16" t="s">
        <v>32</v>
      </c>
      <c r="P7" s="77" t="s">
        <v>33</v>
      </c>
      <c r="Q7" s="37" t="s">
        <v>42</v>
      </c>
      <c r="S7" s="233"/>
      <c r="T7" s="233"/>
      <c r="U7" s="216"/>
    </row>
    <row r="8" spans="1:21" s="25" customFormat="1" ht="11.25" customHeight="1" x14ac:dyDescent="0.2">
      <c r="A8" s="243"/>
      <c r="B8" s="78" t="s">
        <v>34</v>
      </c>
      <c r="C8" s="38">
        <f>COUNTIFS(WalcottNDD!C:C,"NITROGEN, TOTAL (AS N)",WalcottNDD!G:G,"MG/L",WalcottNDD!H:H,"RAW WASTE")</f>
        <v>0</v>
      </c>
      <c r="D8" s="39" t="e">
        <f>AVERAGEIFS(WalcottNDD!F:F,(WalcottNDD!C:C),("NITROGEN, TOTAL (AS N)"),(WalcottNDD!H:H),("RAW WASTE"),(WalcottNDD!G:G),("MG/L"))</f>
        <v>#DIV/0!</v>
      </c>
      <c r="E8" s="40">
        <f>COUNTIFS(WalcottNDD!C:C,"NITROGEN, TOTAL (AS N)",WalcottNDD!G:G,"LBS/DAY",WalcottNDD!H:H,"RAW WASTE")</f>
        <v>0</v>
      </c>
      <c r="F8" s="41" t="e">
        <f>AVERAGEIFS(WalcottNDD!F:F,(WalcottNDD!C:C),("NITROGEN, TOTAL (AS N)"),(WalcottNDD!H:H),("RAW WASTE"),(WalcottNDD!G:G),("LBS/DAY"))</f>
        <v>#DIV/0!</v>
      </c>
      <c r="G8" s="42">
        <f>(SUMIFS(WalcottNDD!F:F,(WalcottNDD!C:C),("NITROGEN, TOTAL (AS N)"),(WalcottNDD!H:H),("RAW WASTE"),(WalcottNDD!G:G),("LBS/DAY")))</f>
        <v>0</v>
      </c>
      <c r="H8" s="43" t="e">
        <f>F8*365</f>
        <v>#DIV/0!</v>
      </c>
      <c r="I8" s="40">
        <f>COUNTIFS(WalcottNDD!C:C,"NITROGEN, TOTAL (AS N)",WalcottNDD!G:G,"MG/L",WalcottNDD!H:H,"FINAL EFFLUENT")</f>
        <v>8</v>
      </c>
      <c r="J8" s="39">
        <f>(AVERAGEIFS(WalcottNDD!F:F,(WalcottNDD!C:C),("NITROGEN, TOTAL (AS N)"),(WalcottNDD!H:H),("FINAL EFFLUENT"),(WalcottNDD!G:G),("MG/L")))</f>
        <v>5.8025000000000002</v>
      </c>
      <c r="K8" s="40">
        <f>COUNTIFS(WalcottNDD!C:C,"NITROGEN, TOTAL (AS N)",WalcottNDD!G:G,"LBS/DAY",WalcottNDD!H:H,"FINAL EFFLUENT")</f>
        <v>8</v>
      </c>
      <c r="L8" s="41">
        <f>AVERAGEIFS(WalcottNDD!F:F,(WalcottNDD!C:C),("NITROGEN, TOTAL (AS N)"),(WalcottNDD!H:H),("FINAL EFFLUENT"),(WalcottNDD!G:G),("LBS/DAY"))</f>
        <v>9.9560939249999993</v>
      </c>
      <c r="M8" s="42">
        <f>SUMIFS(WalcottNDD!F:F,(WalcottNDD!C:C),("NITROGEN, TOTAL (AS N)"),(WalcottNDD!H:H),("FINAL EFFLUENT"),(WalcottNDD!G:G),("LBS/DAY"))</f>
        <v>79.648751399999995</v>
      </c>
      <c r="N8" s="43">
        <f>L8*365</f>
        <v>3633.9742826249999</v>
      </c>
      <c r="O8" s="44" t="e">
        <f>((D8-J8))/D8</f>
        <v>#DIV/0!</v>
      </c>
      <c r="P8" s="45" t="e">
        <f>((F8-L8))/F8</f>
        <v>#DIV/0!</v>
      </c>
      <c r="Q8" s="46" t="e">
        <f>(F8-L8)*365</f>
        <v>#DIV/0!</v>
      </c>
      <c r="S8" s="38" t="s">
        <v>85</v>
      </c>
      <c r="T8" s="210" t="e">
        <f>S8/(C8+I8)</f>
        <v>#VALUE!</v>
      </c>
      <c r="U8" s="194" t="s">
        <v>66</v>
      </c>
    </row>
    <row r="9" spans="1:21" s="25" customFormat="1" ht="5.25" customHeight="1" x14ac:dyDescent="0.2">
      <c r="A9" s="243"/>
      <c r="B9" s="78"/>
      <c r="C9" s="17"/>
      <c r="D9" s="18"/>
      <c r="E9" s="19"/>
      <c r="F9" s="20"/>
      <c r="G9" s="21"/>
      <c r="H9" s="22"/>
      <c r="I9" s="19"/>
      <c r="J9" s="18"/>
      <c r="K9" s="19"/>
      <c r="L9" s="20"/>
      <c r="M9" s="21"/>
      <c r="N9" s="22"/>
      <c r="O9" s="23"/>
      <c r="P9" s="24"/>
      <c r="Q9" s="47"/>
      <c r="S9" s="17"/>
      <c r="T9" s="141"/>
      <c r="U9" s="195"/>
    </row>
    <row r="10" spans="1:21" s="48" customFormat="1" ht="11.25" customHeight="1" x14ac:dyDescent="0.2">
      <c r="A10" s="243"/>
      <c r="B10" s="79" t="s">
        <v>46</v>
      </c>
      <c r="C10" s="80">
        <f>COUNTIFS(WalcottNDD!$E:$E,"&gt;=5/1/2014",WalcottNDD!$E:$E,"&lt;=4/30/2015",WalcottNDD!$C:$C,"NITROGEN, TOTAL (AS N)",WalcottNDD!$G:$G,"MG/L",WalcottNDD!$H:$H,"RAW WASTE")</f>
        <v>0</v>
      </c>
      <c r="D10" s="81" t="e">
        <f>AVERAGEIFS(WalcottNDD!$F:$F,WalcottNDD!$E:$E,"&gt;=5/1/2014",WalcottNDD!$E:$E,"&lt;=4/30/2015",(WalcottNDD!$C:$C),("NITROGEN, TOTAL (AS N)"),(WalcottNDD!$H:$H),("RAW WASTE"),(WalcottNDD!$G:$G),("MG/L"))</f>
        <v>#DIV/0!</v>
      </c>
      <c r="E10" s="82">
        <f>COUNTIFS(WalcottNDD!$E:$E,"&gt;=5/1/2014",WalcottNDD!$E:$E,"&lt;=4/30/2015",WalcottNDD!$C:$C,"NITROGEN, TOTAL (AS N)",WalcottNDD!$G:$G,"LBS/DAY",WalcottNDD!$H:$H,"RAW WASTE")</f>
        <v>0</v>
      </c>
      <c r="F10" s="83" t="e">
        <f>AVERAGEIFS(WalcottNDD!$F:$F,WalcottNDD!$E:$E,"&gt;=5/1/2014",WalcottNDD!$E:$E,"&lt;=4/30/2015",(WalcottNDD!$C:$C),("NITROGEN, TOTAL (AS N)"),(WalcottNDD!$H:$H),("RAW WASTE"),(WalcottNDD!$G:$G),("LBS/DAY"))</f>
        <v>#DIV/0!</v>
      </c>
      <c r="G10" s="84">
        <f>SUMIFS(WalcottNDD!$F:$F,WalcottNDD!$E:$E,"&gt;=5/1/2014",WalcottNDD!$E:$E,"&lt;=4/30/2015",(WalcottNDD!$C:$C),("NITROGEN, TOTAL (AS N)"),(WalcottNDD!$H:$H),("RAW WASTE"),(WalcottNDD!$G:$G),("LBS/DAY"))</f>
        <v>0</v>
      </c>
      <c r="H10" s="85" t="e">
        <f>F10*365</f>
        <v>#DIV/0!</v>
      </c>
      <c r="I10" s="82">
        <f>COUNTIFS(WalcottNDD!$E:$E,"&gt;=5/1/2014",WalcottNDD!$E:$E,"&lt;=4/30/2015",WalcottNDD!$C:$C,"NITROGEN, TOTAL (AS N)",WalcottNDD!$G:$G,"MG/L",WalcottNDD!$H:$H,"FINAL EFFLUENT")</f>
        <v>0</v>
      </c>
      <c r="J10" s="81" t="e">
        <f>AVERAGEIFS(WalcottNDD!$F:$F,WalcottNDD!$E:$E,"&gt;=5/1/2014",WalcottNDD!$E:$E,"&lt;=4/30/2015",(WalcottNDD!$C:$C),("NITROGEN, TOTAL (AS N)"),(WalcottNDD!$H:$H),("FINAL EFFLUENT"),(WalcottNDD!$G:$G),("MG/L"))</f>
        <v>#DIV/0!</v>
      </c>
      <c r="K10" s="82">
        <f>COUNTIFS(WalcottNDD!$E:$E,"&gt;=5/1/2014",WalcottNDD!$E:$E,"&lt;=4/30/2015",WalcottNDD!$C:$C,"NITROGEN, TOTAL (AS N)",WalcottNDD!$G:$G,"LBS/DAY",WalcottNDD!$H:$H,"FINAL EFFLUENT")</f>
        <v>0</v>
      </c>
      <c r="L10" s="83" t="e">
        <f>AVERAGEIFS((WalcottNDD!$F:$F),WalcottNDD!$E:$E,"&gt;=5/1/2014",WalcottNDD!$E:$E,"&lt;=4/30/2015",(WalcottNDD!$C:$C),("NITROGEN, TOTAL (AS N)"),(WalcottNDD!$H:$H),("FINAL EFFLUENT"),(WalcottNDD!$G:$G),("LBS/DAY"))</f>
        <v>#DIV/0!</v>
      </c>
      <c r="M10" s="84">
        <f>SUMIFS(WalcottNDD!$F:$F,WalcottNDD!$E:$E,"&gt;=5/1/2014",WalcottNDD!$E:$E,"&lt;=4/30/2015",(WalcottNDD!$C:$C),("NITROGEN, TOTAL (AS N)"),(WalcottNDD!$H:$H),("FINAL EFFLUENT"),(WalcottNDD!$G:$G),("LBS/DAY"))</f>
        <v>0</v>
      </c>
      <c r="N10" s="85" t="e">
        <f>L10*365</f>
        <v>#DIV/0!</v>
      </c>
      <c r="O10" s="86" t="e">
        <f>((D10-J10))/D10</f>
        <v>#DIV/0!</v>
      </c>
      <c r="P10" s="87" t="e">
        <f>((F10-L10))/F10</f>
        <v>#DIV/0!</v>
      </c>
      <c r="Q10" s="88" t="e">
        <f>(F10-L10)*365</f>
        <v>#DIV/0!</v>
      </c>
      <c r="S10" s="80" t="s">
        <v>86</v>
      </c>
      <c r="T10" s="142" t="e">
        <f>S10/(C10+I10)</f>
        <v>#VALUE!</v>
      </c>
      <c r="U10" s="196" t="s">
        <v>65</v>
      </c>
    </row>
    <row r="11" spans="1:21" s="25" customFormat="1" ht="5.25" customHeight="1" x14ac:dyDescent="0.2">
      <c r="A11" s="243"/>
      <c r="B11" s="78"/>
      <c r="C11" s="17"/>
      <c r="D11" s="18"/>
      <c r="E11" s="19"/>
      <c r="F11" s="20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  <c r="S11" s="38"/>
      <c r="T11" s="187"/>
      <c r="U11" s="195"/>
    </row>
    <row r="12" spans="1:21" s="58" customFormat="1" ht="11.25" customHeight="1" x14ac:dyDescent="0.2">
      <c r="A12" s="243"/>
      <c r="B12" s="89" t="s">
        <v>43</v>
      </c>
      <c r="C12" s="49">
        <f>COUNTIFS(WalcottNDD!$E:$E,"&gt;=1/1/2015",WalcottNDD!$E:$E,"&lt;=12/31/2015",WalcottNDD!$C:$C,"NITROGEN, TOTAL (AS N)",WalcottNDD!$G:$G,"MG/L",WalcottNDD!$H:$H,"RAW WASTE")</f>
        <v>0</v>
      </c>
      <c r="D12" s="50" t="e">
        <f>AVERAGEIFS(WalcottNDD!$F:$F,WalcottNDD!$E:$E,"&gt;=1/1/2015",WalcottNDD!$E:$E,"&lt;=12/31/2015",(WalcottNDD!$C:$C),("NITROGEN, TOTAL (AS N)"),(WalcottNDD!$H:$H),("RAW WASTE"),(WalcottNDD!$G:$G),("MG/L"))</f>
        <v>#DIV/0!</v>
      </c>
      <c r="E12" s="49">
        <f>COUNTIFS(WalcottNDD!$E:$E,"&gt;=1/1/2015",WalcottNDD!$E:$E,"&lt;=12/31/2015",WalcottNDD!$C:$C,"NITROGEN, TOTAL (AS N)",WalcottNDD!$G:$G,"LBS/DAY",WalcottNDD!$H:$H,"RAW WASTE")</f>
        <v>0</v>
      </c>
      <c r="F12" s="90" t="e">
        <f>AVERAGEIFS(WalcottNDD!$F:$F,WalcottNDD!$E:$E,"&gt;=1/1/2015",WalcottNDD!$E:$E,"&lt;=12/31/2015",(WalcottNDD!$C:$C),("NITROGEN, TOTAL (AS N)"),(WalcottNDD!$H:$H),("RAW WASTE"),(WalcottNDD!$G:$G),("LBS/DAY"))</f>
        <v>#DIV/0!</v>
      </c>
      <c r="G12" s="51">
        <f>SUMIFS(WalcottNDD!$F:$F,WalcottNDD!$E:$E,"&gt;=1/1/2015",WalcottNDD!$E:$E,"&lt;=12/31/2015",(WalcottNDD!$C:$C),("NITROGEN, TOTAL (AS N)"),(WalcottNDD!$H:$H),("RAW WASTE"),(WalcottNDD!$G:$G),("LBS/DAY"))</f>
        <v>0</v>
      </c>
      <c r="H12" s="52" t="e">
        <f>F12*365</f>
        <v>#DIV/0!</v>
      </c>
      <c r="I12" s="49">
        <f>COUNTIFS(WalcottNDD!$E:$E,"&gt;=1/1/2015",WalcottNDD!$E:$E,"&lt;=12/31/2015",WalcottNDD!$C:$C,"NITROGEN, TOTAL (AS N)",WalcottNDD!$G:$G,"MG/L",WalcottNDD!$H:$H,"FINAL EFFLUENT")</f>
        <v>0</v>
      </c>
      <c r="J12" s="53" t="e">
        <f>AVERAGEIFS(WalcottNDD!$F:$F,WalcottNDD!$E:$E,"&gt;=1/1/2015",WalcottNDD!$E:$E,"&lt;=12/31/2015",(WalcottNDD!$C:$C),("NITROGEN, TOTAL (AS N)"),(WalcottNDD!$H:$H),("FINAL EFFLUENT"),(WalcottNDD!$G:$G),("MG/L"))</f>
        <v>#DIV/0!</v>
      </c>
      <c r="K12" s="49">
        <f>COUNTIFS(WalcottNDD!$E:$E,"&gt;=1/1/2015",WalcottNDD!$E:$E,"&lt;=12/31/2015",WalcottNDD!$C:$C,"NITROGEN, TOTAL (AS N)",WalcottNDD!$G:$G,"LBS/DAY",WalcottNDD!$H:$H,"FINAL EFFLUENT")</f>
        <v>0</v>
      </c>
      <c r="L12" s="91" t="e">
        <f>AVERAGEIFS((WalcottNDD!$F:$F),WalcottNDD!$E:$E,"&gt;=1/1/2015",WalcottNDD!$E:$E,"&lt;=12/31/2015",(WalcottNDD!$C:$C),("NITROGEN, TOTAL (AS N)"),(WalcottNDD!$H:$H),("FINAL EFFLUENT"),(WalcottNDD!$G:$G),("LBS/DAY"))</f>
        <v>#DIV/0!</v>
      </c>
      <c r="M12" s="51">
        <f>SUMIFS(WalcottNDD!$F:$F,WalcottNDD!$E:$E,"&gt;=1/1/2015",WalcottNDD!$E:$E,"&lt;=12/31/2015",(WalcottNDD!$C:$C),("NITROGEN, TOTAL (AS N)"),(WalcottNDD!$H:$H),("FINAL EFFLUENT"),(WalcottNDD!$G:$G),("LBS/DAY"))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e">
        <f>(F12-L12)*365</f>
        <v>#DIV/0!</v>
      </c>
      <c r="S12" s="183" t="s">
        <v>87</v>
      </c>
      <c r="T12" s="184" t="e">
        <f>S12/(C12+I12)</f>
        <v>#VALUE!</v>
      </c>
      <c r="U12" s="197" t="s">
        <v>67</v>
      </c>
    </row>
    <row r="13" spans="1:21" s="48" customFormat="1" ht="11.25" customHeight="1" x14ac:dyDescent="0.2">
      <c r="A13" s="243"/>
      <c r="B13" s="92" t="s">
        <v>47</v>
      </c>
      <c r="C13" s="59">
        <f>COUNTIFS(WalcottNDD!$E:$E,"&gt;=5/1/2015",WalcottNDD!$E:$E,"&lt;=4/30/2016",WalcottNDD!$C:$C,"NITROGEN, TOTAL (AS N)",WalcottNDD!$G:$G,"MG/L",WalcottNDD!$H:$H,"RAW WASTE")</f>
        <v>0</v>
      </c>
      <c r="D13" s="60" t="e">
        <f>AVERAGEIFS(WalcottNDD!$F:$F,WalcottNDD!$E:$E,"&gt;=5/1/2015",WalcottNDD!$E:$E,"&lt;=4/30/2016",(WalcottNDD!$C:$C),("NITROGEN, TOTAL (AS N)"),(WalcottNDD!$H:$H),("RAW WASTE"),(WalcottNDD!$G:$G),("MG/L"))</f>
        <v>#DIV/0!</v>
      </c>
      <c r="E13" s="59">
        <f>COUNTIFS(WalcottNDD!$E:$E,"&gt;=5/1/2015",WalcottNDD!$E:$E,"&lt;=4/30/2016",WalcottNDD!$C:$C,"NITROGEN, TOTAL (AS N)",WalcottNDD!$G:$G,"LBS/DAY",WalcottNDD!$H:$H,"RAW WASTE")</f>
        <v>0</v>
      </c>
      <c r="F13" s="93" t="e">
        <f>AVERAGEIFS(WalcottNDD!$F:$F,WalcottNDD!$E:$E,"&gt;=5/1/2015",WalcottNDD!$E:$E,"&lt;=4/30/2016",(WalcottNDD!$C:$C),("NITROGEN, TOTAL (AS N)"),(WalcottNDD!$H:$H),("RAW WASTE"),(WalcottNDD!$G:$G),("LBS/DAY"))</f>
        <v>#DIV/0!</v>
      </c>
      <c r="G13" s="61">
        <f>SUMIFS(WalcottNDD!$F:$F,WalcottNDD!$E:$E,"&gt;=5/1/2015",WalcottNDD!$E:$E,"&lt;=4/30/2016",(WalcottNDD!$C:$C),("NITROGEN, TOTAL (AS N)"),(WalcottNDD!$H:$H),("RAW WASTE"),(WalcottNDD!$G:$G),("LBS/DAY"))</f>
        <v>0</v>
      </c>
      <c r="H13" s="62" t="e">
        <f>F13*365</f>
        <v>#DIV/0!</v>
      </c>
      <c r="I13" s="59">
        <f>COUNTIFS(WalcottNDD!$E:$E,"&gt;=5/1/2015",WalcottNDD!$E:$E,"&lt;=4/30/2016",WalcottNDD!$C:$C,"NITROGEN, TOTAL (AS N)",WalcottNDD!$G:$G,"MG/L",WalcottNDD!$H:$H,"FINAL EFFLUENT")</f>
        <v>0</v>
      </c>
      <c r="J13" s="60" t="e">
        <f>AVERAGEIFS(WalcottNDD!$F:$F,WalcottNDD!$E:$E,"&gt;=5/1/2015",WalcottNDD!$E:$E,"&lt;=4/30/2016",(WalcottNDD!$C:$C),("NITROGEN, TOTAL (AS N)"),(WalcottNDD!$H:$H),("FINAL EFFLUENT"),(WalcottNDD!$G:$G),("MG/L"))</f>
        <v>#DIV/0!</v>
      </c>
      <c r="K13" s="59">
        <f>COUNTIFS(WalcottNDD!$E:$E,"&gt;=5/1/2015",WalcottNDD!$E:$E,"&lt;=4/30/2016",WalcottNDD!$C:$C,"NITROGEN, TOTAL (AS N)",WalcottNDD!$G:$G,"LBS/DAY",WalcottNDD!$H:$H,"FINAL EFFLUENT")</f>
        <v>0</v>
      </c>
      <c r="L13" s="93" t="e">
        <f>AVERAGEIFS((WalcottNDD!$F:$F),WalcottNDD!$E:$E,"&gt;=5/1/2015",WalcottNDD!$E:$E,"&lt;=4/30/2016",(WalcottNDD!$C:$C),("NITROGEN, TOTAL (AS N)"),(WalcottNDD!$H:$H),("FINAL EFFLUENT"),(WalcottNDD!$G:$G),("LBS/DAY"))</f>
        <v>#DIV/0!</v>
      </c>
      <c r="M13" s="61">
        <f>SUMIFS(WalcottNDD!$F:$F,WalcottNDD!$E:$E,"&gt;=5/1/2015",WalcottNDD!$E:$E,"&lt;=4/30/2016",(WalcottNDD!$C:$C),("NITROGEN, TOTAL (AS N)"),(WalcottNDD!$H:$H),("FINAL EFFLUENT"),(WalcottNDD!$G:$G),("LBS/DAY"))</f>
        <v>0</v>
      </c>
      <c r="N13" s="62" t="e">
        <f>L13*365</f>
        <v>#DIV/0!</v>
      </c>
      <c r="O13" s="63" t="e">
        <f>((D13-J13))/D13</f>
        <v>#DIV/0!</v>
      </c>
      <c r="P13" s="64" t="e">
        <f>((F13-L13))/F13</f>
        <v>#DIV/0!</v>
      </c>
      <c r="Q13" s="65" t="e">
        <f>(F13-L13)*365</f>
        <v>#DIV/0!</v>
      </c>
      <c r="S13" s="59" t="s">
        <v>88</v>
      </c>
      <c r="T13" s="143" t="e">
        <f>S13/(C13+I13)</f>
        <v>#VALUE!</v>
      </c>
      <c r="U13" s="198" t="s">
        <v>68</v>
      </c>
    </row>
    <row r="14" spans="1:21" s="75" customFormat="1" ht="5.25" customHeight="1" x14ac:dyDescent="0.2">
      <c r="A14" s="243"/>
      <c r="B14" s="94"/>
      <c r="C14" s="66"/>
      <c r="D14" s="67"/>
      <c r="E14" s="66"/>
      <c r="F14" s="95"/>
      <c r="G14" s="68"/>
      <c r="H14" s="69"/>
      <c r="I14" s="66"/>
      <c r="J14" s="70"/>
      <c r="K14" s="66"/>
      <c r="L14" s="96"/>
      <c r="M14" s="68"/>
      <c r="N14" s="71"/>
      <c r="O14" s="72"/>
      <c r="P14" s="73"/>
      <c r="Q14" s="74"/>
      <c r="S14" s="188"/>
      <c r="T14" s="189"/>
      <c r="U14" s="199"/>
    </row>
    <row r="15" spans="1:21" s="75" customFormat="1" ht="11.25" customHeight="1" x14ac:dyDescent="0.2">
      <c r="A15" s="243"/>
      <c r="B15" s="97" t="s">
        <v>44</v>
      </c>
      <c r="C15" s="26">
        <f>COUNTIFS(WalcottNDD!$E:$E,"&gt;=1/1/2016",WalcottNDD!$E:$E,"&lt;=12/31/2016",WalcottNDD!$C:$C,"NITROGEN, TOTAL (AS N)",WalcottNDD!$G:$G,"MG/L",WalcottNDD!$H:$H,"RAW WASTE")</f>
        <v>0</v>
      </c>
      <c r="D15" s="27" t="e">
        <f>AVERAGEIFS(WalcottNDD!$F:$F,WalcottNDD!$E:$E,"&gt;=1/1/2016",WalcottNDD!$E:$E,"&lt;=12/31/2016",(WalcottNDD!$C:$C),("NITROGEN, TOTAL (AS N)"),(WalcottNDD!$H:$H),("RAW WASTE"),(WalcottNDD!$G:$G),("MG/L"))</f>
        <v>#DIV/0!</v>
      </c>
      <c r="E15" s="26">
        <f>COUNTIFS(WalcottNDD!$E:$E,"&gt;=1/1/2016",WalcottNDD!$E:$E,"&lt;=12/31/2016",WalcottNDD!$C:$C,"NITROGEN, TOTAL (AS N)",WalcottNDD!$G:$G,"LBS/DAY",WalcottNDD!$H:$H,"RAW WASTE")</f>
        <v>0</v>
      </c>
      <c r="F15" s="98" t="e">
        <f>AVERAGEIFS(WalcottNDD!$F:$F,WalcottNDD!$E:$E,"&gt;=1/1/2016",WalcottNDD!$E:$E,"&lt;=12/31/2016",(WalcottNDD!$C:$C),("NITROGEN, TOTAL (AS N)"),(WalcottNDD!$H:$H),("RAW WASTE"),(WalcottNDD!$G:$G),("LBS/DAY"))</f>
        <v>#DIV/0!</v>
      </c>
      <c r="G15" s="28">
        <f>SUMIFS(WalcottNDD!$F:$F,WalcottNDD!$E:$E,"&gt;=1/1/2016",WalcottNDD!$E:$E,"&lt;=12/31/2016",(WalcottNDD!$C:$C),("NITROGEN, TOTAL (AS N)"),(WalcottNDD!$H:$H),("RAW WASTE"),(WalcottNDD!$G:$G),("LBS/DAY"))</f>
        <v>0</v>
      </c>
      <c r="H15" s="29" t="e">
        <f>F15*365</f>
        <v>#DIV/0!</v>
      </c>
      <c r="I15" s="26">
        <f>COUNTIFS(WalcottNDD!$E:$E,"&gt;=1/1/2016",WalcottNDD!$E:$E,"&lt;=12/31/2016",WalcottNDD!$C:$C,"NITROGEN, TOTAL (AS N)",WalcottNDD!$G:$G,"MG/L",WalcottNDD!$H:$H,"FINAL EFFLUENT")</f>
        <v>0</v>
      </c>
      <c r="J15" s="30" t="e">
        <f>AVERAGEIFS(WalcottNDD!$F:$F,WalcottNDD!$E:$E,"&gt;=1/1/2016",WalcottNDD!$E:$E,"&lt;=12/31/2016",(WalcottNDD!$C:$C),("NITROGEN, TOTAL (AS N)"),(WalcottNDD!$H:$H),("FINAL EFFLUENT"),(WalcottNDD!$G:$G),("MG/L"))</f>
        <v>#DIV/0!</v>
      </c>
      <c r="K15" s="26">
        <f>COUNTIFS(WalcottNDD!$E:$E,"&gt;=1/1/2016",WalcottNDD!$E:$E,"&lt;=12/31/2016",WalcottNDD!$C:$C,"NITROGEN, TOTAL (AS N)",WalcottNDD!$G:$G,"LBS/DAY",WalcottNDD!$H:$H,"FINAL EFFLUENT")</f>
        <v>0</v>
      </c>
      <c r="L15" s="99" t="e">
        <f>AVERAGEIFS((WalcottNDD!$F:$F),WalcottNDD!$E:$E,"&gt;=1/1/2016",WalcottNDD!$E:$E,"&lt;=12/31/2016",(WalcottNDD!$C:$C),("NITROGEN, TOTAL (AS N)"),(WalcottNDD!$H:$H),("FINAL EFFLUENT"),(WalcottNDD!$G:$G),("LBS/DAY"))</f>
        <v>#DIV/0!</v>
      </c>
      <c r="M15" s="28">
        <f>SUMIFS(WalcottNDD!$F:$F,WalcottNDD!$E:$E,"&gt;=1/1/2016",WalcottNDD!$E:$E,"&lt;=12/31/2016",(WalcottNDD!$C:$C),("NITROGEN, TOTAL (AS N)"),(WalcottNDD!$H:$H),("FINAL EFFLUENT"),(WalcottNDD!$G:$G),("LBS/DAY"))</f>
        <v>0</v>
      </c>
      <c r="N15" s="31" t="e">
        <f>L15*365</f>
        <v>#DIV/0!</v>
      </c>
      <c r="O15" s="32" t="e">
        <f>((D15-J15))/D15</f>
        <v>#DIV/0!</v>
      </c>
      <c r="P15" s="33" t="e">
        <f>((F15-L15))/F15</f>
        <v>#DIV/0!</v>
      </c>
      <c r="Q15" s="76" t="e">
        <f>(F15-L15)*365</f>
        <v>#DIV/0!</v>
      </c>
      <c r="S15" s="26" t="s">
        <v>89</v>
      </c>
      <c r="T15" s="144" t="e">
        <f>S15/(C15+I15)</f>
        <v>#VALUE!</v>
      </c>
      <c r="U15" s="200" t="s">
        <v>69</v>
      </c>
    </row>
    <row r="16" spans="1:21" s="48" customFormat="1" ht="11.25" customHeight="1" x14ac:dyDescent="0.2">
      <c r="A16" s="243"/>
      <c r="B16" s="100" t="s">
        <v>48</v>
      </c>
      <c r="C16" s="101">
        <f>COUNTIFS(WalcottNDD!$E:$E,"&gt;=5/1/2016",WalcottNDD!$E:$E,"&lt;=4/30/2017",WalcottNDD!$C:$C,"NITROGEN, TOTAL (AS N)",WalcottNDD!$G:$G,"MG/L",WalcottNDD!$H:$H,"RAW WASTE")</f>
        <v>0</v>
      </c>
      <c r="D16" s="102" t="e">
        <f>AVERAGEIFS(WalcottNDD!$F:$F,WalcottNDD!$E:$E,"&gt;=5/1/2016",WalcottNDD!$E:$E,"&lt;=4/30/2017",(WalcottNDD!$C:$C),("NITROGEN, TOTAL (AS N)"),(WalcottNDD!$H:$H),("RAW WASTE"),(WalcottNDD!$G:$G),("MG/L"))</f>
        <v>#DIV/0!</v>
      </c>
      <c r="E16" s="101">
        <f>COUNTIFS(WalcottNDD!$E:$E,"&gt;=5/1/2016",WalcottNDD!$E:$E,"&lt;=4/30/2017",WalcottNDD!$C:$C,"NITROGEN, TOTAL (AS N)",WalcottNDD!$G:$G,"LBS/DAY",WalcottNDD!$H:$H,"RAW WASTE")</f>
        <v>0</v>
      </c>
      <c r="F16" s="103" t="e">
        <f>AVERAGEIFS(WalcottNDD!$F:$F,WalcottNDD!$E:$E,"&gt;=5/1/2016",WalcottNDD!$E:$E,"&lt;=4/30/2017",(WalcottNDD!$C:$C),("NITROGEN, TOTAL (AS N)"),(WalcottNDD!$H:$H),("RAW WASTE"),(WalcottNDD!$G:$G),("LBS/DAY"))</f>
        <v>#DIV/0!</v>
      </c>
      <c r="G16" s="104">
        <f>SUMIFS(WalcottNDD!$F:$F,WalcottNDD!$E:$E,"&gt;=5/1/2016",WalcottNDD!$E:$E,"&lt;=4/30/2017",(WalcottNDD!$C:$C),("NITROGEN, TOTAL (AS N)"),(WalcottNDD!$H:$H),("RAW WASTE"),(WalcottNDD!$G:$G),("LBS/DAY"))</f>
        <v>0</v>
      </c>
      <c r="H16" s="105" t="e">
        <f>F16*365</f>
        <v>#DIV/0!</v>
      </c>
      <c r="I16" s="101">
        <f>COUNTIFS(WalcottNDD!$E:$E,"&gt;=5/1/2016",WalcottNDD!$E:$E,"&lt;=4/30/2017",WalcottNDD!$C:$C,"NITROGEN, TOTAL (AS N)",WalcottNDD!$G:$G,"MG/L",WalcottNDD!$H:$H,"FINAL EFFLUENT")</f>
        <v>2</v>
      </c>
      <c r="J16" s="102">
        <f>AVERAGEIFS(WalcottNDD!$F:$F,WalcottNDD!$E:$E,"&gt;=5/1/2016",WalcottNDD!$E:$E,"&lt;=4/30/2017",(WalcottNDD!$C:$C),("NITROGEN, TOTAL (AS N)"),(WalcottNDD!$H:$H),("FINAL EFFLUENT"),(WalcottNDD!$G:$G),("MG/L"))</f>
        <v>4.585</v>
      </c>
      <c r="K16" s="101">
        <f>COUNTIFS(WalcottNDD!$E:$E,"&gt;=5/1/2016",WalcottNDD!$E:$E,"&lt;=4/30/2017",WalcottNDD!$C:$C,"NITROGEN, TOTAL (AS N)",WalcottNDD!$G:$G,"LBS/DAY",WalcottNDD!$H:$H,"FINAL EFFLUENT")</f>
        <v>2</v>
      </c>
      <c r="L16" s="103">
        <f>AVERAGEIFS((WalcottNDD!$F:$F),WalcottNDD!$E:$E,"&gt;=5/1/2016",WalcottNDD!$E:$E,"&lt;=4/30/2017",(WalcottNDD!$C:$C),("NITROGEN, TOTAL (AS N)"),(WalcottNDD!$H:$H),("FINAL EFFLUENT"),(WalcottNDD!$G:$G),("LBS/DAY"))</f>
        <v>10.579331700000001</v>
      </c>
      <c r="M16" s="104">
        <f>SUMIFS(WalcottNDD!$F:$F,WalcottNDD!$E:$E,"&gt;=5/1/2016",WalcottNDD!$E:$E,"&lt;=4/30/2017",(WalcottNDD!$C:$C),("NITROGEN, TOTAL (AS N)"),(WalcottNDD!$H:$H),("FINAL EFFLUENT"),(WalcottNDD!$G:$G),("LBS/DAY"))</f>
        <v>21.158663400000002</v>
      </c>
      <c r="N16" s="105">
        <f>L16*365</f>
        <v>3861.4560705000004</v>
      </c>
      <c r="O16" s="106" t="e">
        <f>((D16-J16))/D16</f>
        <v>#DIV/0!</v>
      </c>
      <c r="P16" s="107" t="e">
        <f>((F16-L16))/F16</f>
        <v>#DIV/0!</v>
      </c>
      <c r="Q16" s="108" t="e">
        <f>(F16-L16)*365</f>
        <v>#DIV/0!</v>
      </c>
      <c r="S16" s="101" t="s">
        <v>90</v>
      </c>
      <c r="T16" s="145" t="e">
        <f>S16/(C16+I16)</f>
        <v>#VALUE!</v>
      </c>
      <c r="U16" s="201" t="s">
        <v>70</v>
      </c>
    </row>
    <row r="17" spans="1:22" s="48" customFormat="1" ht="5.25" customHeight="1" x14ac:dyDescent="0.2">
      <c r="A17" s="243"/>
      <c r="B17" s="109"/>
      <c r="C17" s="110"/>
      <c r="D17" s="111"/>
      <c r="E17" s="110"/>
      <c r="F17" s="111"/>
      <c r="G17" s="112"/>
      <c r="H17" s="112"/>
      <c r="I17" s="110"/>
      <c r="J17" s="111"/>
      <c r="K17" s="110"/>
      <c r="L17" s="111"/>
      <c r="M17" s="112"/>
      <c r="N17" s="112"/>
      <c r="O17" s="113"/>
      <c r="P17" s="113"/>
      <c r="Q17" s="114"/>
      <c r="S17" s="148"/>
      <c r="T17" s="146"/>
      <c r="U17" s="202"/>
    </row>
    <row r="18" spans="1:22" s="126" customFormat="1" ht="11.25" customHeight="1" x14ac:dyDescent="0.2">
      <c r="A18" s="243"/>
      <c r="B18" s="115" t="s">
        <v>49</v>
      </c>
      <c r="C18" s="116">
        <f>COUNTIFS(WalcottNDD!$E:$E,"&gt;=1/1/2017",WalcottNDD!$E:$E,"&lt;=12/31/2017",WalcottNDD!$C:$C,"NITROGEN, TOTAL (AS N)",WalcottNDD!$G:$G,"MG/L",WalcottNDD!$H:$H,"RAW WASTE")</f>
        <v>0</v>
      </c>
      <c r="D18" s="117" t="e">
        <f>AVERAGEIFS(WalcottNDD!$F:$F,WalcottNDD!$E:$E,"&gt;=1/1/2017",WalcottNDD!$E:$E,"&lt;=12/31/2017",(WalcottNDD!$C:$C),("NITROGEN, TOTAL (AS N)"),(WalcottNDD!$H:$H),("RAW WASTE"),(WalcottNDD!$G:$G),("MG/L"))</f>
        <v>#DIV/0!</v>
      </c>
      <c r="E18" s="116">
        <f>COUNTIFS(WalcottNDD!$E:$E,"&gt;=1/1/2017",WalcottNDD!$E:$E,"&lt;=12/31/2017",WalcottNDD!$C:$C,"NITROGEN, TOTAL (AS N)",WalcottNDD!$G:$G,"LBS/DAY",WalcottNDD!$H:$H,"RAW WASTE")</f>
        <v>0</v>
      </c>
      <c r="F18" s="118" t="e">
        <f>AVERAGEIFS(WalcottNDD!$F:$F,WalcottNDD!$E:$E,"&gt;=1/1/2017",WalcottNDD!$E:$E,"&lt;=12/31/2017",(WalcottNDD!$C:$C),("NITROGEN, TOTAL (AS N)"),(WalcottNDD!$H:$H),("RAW WASTE"),(WalcottNDD!$G:$G),("LBS/DAY"))</f>
        <v>#DIV/0!</v>
      </c>
      <c r="G18" s="119">
        <f>SUMIFS(WalcottNDD!$F:$F,WalcottNDD!$E:$E,"&gt;=1/1/2017",WalcottNDD!$E:$E,"&lt;=12/31/2017",(WalcottNDD!$C:$C),("NITROGEN, TOTAL (AS N)"),(WalcottNDD!$H:$H),("RAW WASTE"),(WalcottNDD!$G:$G),("LBS/DAY"))</f>
        <v>0</v>
      </c>
      <c r="H18" s="120" t="e">
        <f>F18*365</f>
        <v>#DIV/0!</v>
      </c>
      <c r="I18" s="116">
        <f>COUNTIFS(WalcottNDD!$E:$E,"&gt;=1/1/2017",WalcottNDD!$E:$E,"&lt;=12/31/2017",WalcottNDD!$C:$C,"NITROGEN, TOTAL (AS N)",WalcottNDD!$G:$G,"MG/L",WalcottNDD!$H:$H,"FINAL EFFLUENT")</f>
        <v>4</v>
      </c>
      <c r="J18" s="121">
        <f>AVERAGEIFS(WalcottNDD!$F:$F,WalcottNDD!$E:$E,"&gt;=1/1/2017",WalcottNDD!$E:$E,"&lt;=12/31/2017",(WalcottNDD!$C:$C),("NITROGEN, TOTAL (AS N)"),(WalcottNDD!$H:$H),("FINAL EFFLUENT"),(WalcottNDD!$G:$G),("MG/L"))</f>
        <v>5.1925000000000008</v>
      </c>
      <c r="K18" s="116">
        <f>COUNTIFS(WalcottNDD!$E:$E,"&gt;=1/1/2017",WalcottNDD!$E:$E,"&lt;=12/31/2017",WalcottNDD!$C:$C,"NITROGEN, TOTAL (AS N)",WalcottNDD!$G:$G,"LBS/DAY",WalcottNDD!$H:$H,"FINAL EFFLUENT")</f>
        <v>4</v>
      </c>
      <c r="L18" s="122">
        <f>AVERAGEIFS((WalcottNDD!$F:$F),WalcottNDD!$E:$E,"&gt;=1/1/2017",WalcottNDD!$E:$E,"&lt;=12/31/2017",(WalcottNDD!$C:$C),("NITROGEN, TOTAL (AS N)"),(WalcottNDD!$H:$H),("FINAL EFFLUENT"),(WalcottNDD!$G:$G),("LBS/DAY"))</f>
        <v>8.5468528500000005</v>
      </c>
      <c r="M18" s="119">
        <f>SUMIFS(WalcottNDD!$F:$F,WalcottNDD!$E:$E,"&gt;=1/1/2017",WalcottNDD!$E:$E,"&lt;=12/31/2017",(WalcottNDD!$C:$C),("NITROGEN, TOTAL (AS N)"),(WalcottNDD!$H:$H),("FINAL EFFLUENT"),(WalcottNDD!$G:$G),("LBS/DAY"))</f>
        <v>34.187411400000002</v>
      </c>
      <c r="N18" s="213">
        <f>L18*365</f>
        <v>3119.6012902500001</v>
      </c>
      <c r="O18" s="123" t="e">
        <f>((D18-J18))/D18</f>
        <v>#DIV/0!</v>
      </c>
      <c r="P18" s="124" t="e">
        <f>((F18-L18))/F18</f>
        <v>#DIV/0!</v>
      </c>
      <c r="Q18" s="125" t="e">
        <f>(F18-L18)*365</f>
        <v>#DIV/0!</v>
      </c>
      <c r="S18" s="116" t="s">
        <v>91</v>
      </c>
      <c r="T18" s="147" t="e">
        <f>S18/(C18+I18)</f>
        <v>#VALUE!</v>
      </c>
      <c r="U18" s="203" t="s">
        <v>71</v>
      </c>
    </row>
    <row r="19" spans="1:22" s="48" customFormat="1" ht="11.25" customHeight="1" x14ac:dyDescent="0.2">
      <c r="A19" s="243"/>
      <c r="B19" s="173" t="s">
        <v>50</v>
      </c>
      <c r="C19" s="174">
        <f>COUNTIFS(WalcottNDD!$E:$E,"&gt;=5/1/2017",WalcottNDD!$E:$E,"&lt;=4/30/2018",WalcottNDD!$C:$C,"NITROGEN, TOTAL (AS N)",WalcottNDD!$G:$G,"MG/L",WalcottNDD!$H:$H,"RAW WASTE")</f>
        <v>0</v>
      </c>
      <c r="D19" s="175" t="e">
        <f>AVERAGEIFS(WalcottNDD!$F:$F,WalcottNDD!$E:$E,"&gt;=5/1/2017",WalcottNDD!$E:$E,"&lt;=4/30/2018",(WalcottNDD!$C:$C),("NITROGEN, TOTAL (AS N)"),(WalcottNDD!$H:$H),("RAW WASTE"),(WalcottNDD!$G:$G),("MG/L"))</f>
        <v>#DIV/0!</v>
      </c>
      <c r="E19" s="174">
        <f>COUNTIFS(WalcottNDD!$E:$E,"&gt;=5/1/2017",WalcottNDD!$E:$E,"&lt;=4/30/2018",WalcottNDD!$C:$C,"NITROGEN, TOTAL (AS N)",WalcottNDD!$G:$G,"LBS/DAY",WalcottNDD!$H:$H,"RAW WASTE")</f>
        <v>0</v>
      </c>
      <c r="F19" s="176" t="e">
        <f>AVERAGEIFS(WalcottNDD!$F:$F,WalcottNDD!$E:$E,"&gt;=5/1/2017",WalcottNDD!$E:$E,"&lt;=4/30/2018",(WalcottNDD!$C:$C),("NITROGEN, TOTAL (AS N)"),(WalcottNDD!$H:$H),("RAW WASTE"),(WalcottNDD!$G:$G),("LBS/DAY"))</f>
        <v>#DIV/0!</v>
      </c>
      <c r="G19" s="177">
        <f>SUMIFS(WalcottNDD!$F:$F,WalcottNDD!$E:$E,"&gt;=5/1/2017",WalcottNDD!$E:$E,"&lt;=4/30/2018",(WalcottNDD!$C:$C),("NITROGEN, TOTAL (AS N)"),(WalcottNDD!$H:$H),("RAW WASTE"),(WalcottNDD!$G:$G),("LBS/DAY"))</f>
        <v>0</v>
      </c>
      <c r="H19" s="178" t="e">
        <f>F19*365</f>
        <v>#DIV/0!</v>
      </c>
      <c r="I19" s="174">
        <f>COUNTIFS(WalcottNDD!$E:$E,"&gt;=5/1/2017",WalcottNDD!$E:$E,"&lt;=4/30/2018",WalcottNDD!$C:$C,"NITROGEN, TOTAL (AS N)",WalcottNDD!$G:$G,"MG/L",WalcottNDD!$H:$H,"FINAL EFFLUENT")</f>
        <v>4</v>
      </c>
      <c r="J19" s="175">
        <f>AVERAGEIFS(WalcottNDD!$F:$F,WalcottNDD!$E:$E,"&gt;=5/1/2017",WalcottNDD!$E:$E,"&lt;=4/30/2018",(WalcottNDD!$C:$C),("NITROGEN, TOTAL (AS N)"),(WalcottNDD!$H:$H),("FINAL EFFLUENT"),(WalcottNDD!$G:$G),("MG/L"))</f>
        <v>5.3075000000000001</v>
      </c>
      <c r="K19" s="174">
        <f>COUNTIFS(WalcottNDD!$E:$E,"&gt;=5/1/2017",WalcottNDD!$E:$E,"&lt;=4/30/2018",WalcottNDD!$C:$C,"NITROGEN, TOTAL (AS N)",WalcottNDD!$G:$G,"LBS/DAY",WalcottNDD!$H:$H,"FINAL EFFLUENT")</f>
        <v>4</v>
      </c>
      <c r="L19" s="176">
        <f>AVERAGEIFS((WalcottNDD!$F:$F),WalcottNDD!$E:$E,"&gt;=5/1/2017",WalcottNDD!$E:$E,"&lt;=4/30/2018",(WalcottNDD!$C:$C),("NITROGEN, TOTAL (AS N)"),(WalcottNDD!$H:$H),("FINAL EFFLUENT"),(WalcottNDD!$G:$G),("LBS/DAY"))</f>
        <v>6.5467332000000003</v>
      </c>
      <c r="M19" s="177">
        <f>SUMIFS(WalcottNDD!$F:$F,WalcottNDD!$E:$E,"&gt;=5/1/2017",WalcottNDD!$E:$E,"&lt;=4/30/2018",(WalcottNDD!$C:$C),("NITROGEN, TOTAL (AS N)"),(WalcottNDD!$H:$H),("FINAL EFFLUENT"),(WalcottNDD!$G:$G),("LBS/DAY"))</f>
        <v>26.186932800000001</v>
      </c>
      <c r="N19" s="178">
        <f>L19*365</f>
        <v>2389.5576180000003</v>
      </c>
      <c r="O19" s="179" t="e">
        <f>((D19-J19))/D19</f>
        <v>#DIV/0!</v>
      </c>
      <c r="P19" s="180" t="e">
        <f>((F19-L19))/F19</f>
        <v>#DIV/0!</v>
      </c>
      <c r="Q19" s="181" t="e">
        <f>(F19-L19)*365</f>
        <v>#DIV/0!</v>
      </c>
      <c r="S19" s="174" t="s">
        <v>92</v>
      </c>
      <c r="T19" s="182" t="e">
        <f>S19/(C19+I19)</f>
        <v>#VALUE!</v>
      </c>
      <c r="U19" s="204" t="s">
        <v>72</v>
      </c>
    </row>
    <row r="20" spans="1:22" s="48" customFormat="1" ht="5.25" customHeight="1" x14ac:dyDescent="0.2">
      <c r="A20" s="243"/>
      <c r="B20" s="172"/>
      <c r="C20" s="168"/>
      <c r="D20" s="169"/>
      <c r="E20" s="168"/>
      <c r="F20" s="111"/>
      <c r="G20" s="112"/>
      <c r="H20" s="170"/>
      <c r="I20" s="168"/>
      <c r="J20" s="169"/>
      <c r="K20" s="168"/>
      <c r="L20" s="111"/>
      <c r="M20" s="112"/>
      <c r="N20" s="170"/>
      <c r="O20" s="113"/>
      <c r="P20" s="171"/>
      <c r="Q20" s="114"/>
      <c r="S20" s="190"/>
      <c r="T20" s="191"/>
      <c r="U20" s="202"/>
    </row>
    <row r="21" spans="1:22" s="159" customFormat="1" ht="11.25" customHeight="1" x14ac:dyDescent="0.2">
      <c r="A21" s="243"/>
      <c r="B21" s="149" t="s">
        <v>62</v>
      </c>
      <c r="C21" s="150">
        <f>COUNTIFS(WalcottNDD!$E:$E,"&gt;=1/1/2018",WalcottNDD!$E:$E,"&lt;=12/31/2018",WalcottNDD!$C:$C,"NITROGEN, TOTAL (AS N)",WalcottNDD!$G:$G,"MG/L",WalcottNDD!$H:$H,"RAW WASTE")</f>
        <v>0</v>
      </c>
      <c r="D21" s="151" t="e">
        <f>AVERAGEIFS(WalcottNDD!$F:$F,WalcottNDD!$E:$E,"&gt;=1/1/2018",WalcottNDD!$E:$E,"&lt;=12/31/2018",(WalcottNDD!$C:$C),("NITROGEN, TOTAL (AS N)"),(WalcottNDD!$H:$H),("RAW WASTE"),(WalcottNDD!$G:$G),("MG/L"))</f>
        <v>#DIV/0!</v>
      </c>
      <c r="E21" s="150">
        <f>COUNTIFS(WalcottNDD!$E:$E,"&gt;=1/1/2018",WalcottNDD!$E:$E,"&lt;=12/31/2018",WalcottNDD!$C:$C,"NITROGEN, TOTAL (AS N)",WalcottNDD!$G:$G,"LBS/DAY",WalcottNDD!$H:$H,"RAW WASTE")</f>
        <v>0</v>
      </c>
      <c r="F21" s="207" t="e">
        <f>AVERAGEIFS(WalcottNDD!$F:$F,WalcottNDD!$E:$E,"&gt;=1/1/2018",WalcottNDD!$E:$E,"&lt;=12/31/2018",(WalcottNDD!$C:$C),("NITROGEN, TOTAL (AS N)"),(WalcottNDD!$H:$H),("RAW WASTE"),(WalcottNDD!$G:$G),("LBS/DAY"))</f>
        <v>#DIV/0!</v>
      </c>
      <c r="G21" s="152">
        <f>SUMIFS(WalcottNDD!$F:$F,WalcottNDD!$E:$E,"&gt;=1/1/2018",WalcottNDD!$E:$E,"&lt;=12/31/2018",(WalcottNDD!$C:$C),("NITROGEN, TOTAL (AS N)"),(WalcottNDD!$H:$H),("RAW WASTE"),(WalcottNDD!$G:$G),("LBS/DAY"))</f>
        <v>0</v>
      </c>
      <c r="H21" s="153" t="e">
        <f>F21*365</f>
        <v>#DIV/0!</v>
      </c>
      <c r="I21" s="150">
        <f>COUNTIFS(WalcottNDD!$E:$E,"&gt;=1/1/2018",WalcottNDD!$E:$E,"&lt;=12/31/2018",WalcottNDD!$C:$C,"NITROGEN, TOTAL (AS N)",WalcottNDD!$G:$G,"MG/L",WalcottNDD!$H:$H,"FINAL EFFLUENT")</f>
        <v>4</v>
      </c>
      <c r="J21" s="154">
        <f>AVERAGEIFS(WalcottNDD!$F:$F,WalcottNDD!$E:$E,"&gt;=1/1/2018",WalcottNDD!$E:$E,"&lt;=12/31/2018",(WalcottNDD!$C:$C),("NITROGEN, TOTAL (AS N)"),(WalcottNDD!$H:$H),("FINAL EFFLUENT"),(WalcottNDD!$G:$G),("MG/L"))</f>
        <v>6.4124999999999996</v>
      </c>
      <c r="K21" s="150">
        <f>COUNTIFS(WalcottNDD!$E:$E,"&gt;=1/1/2018",WalcottNDD!$E:$E,"&lt;=12/31/2018",WalcottNDD!$C:$C,"NITROGEN, TOTAL (AS N)",WalcottNDD!$G:$G,"LBS/DAY",WalcottNDD!$H:$H,"FINAL EFFLUENT")</f>
        <v>4</v>
      </c>
      <c r="L21" s="209">
        <f>AVERAGEIFS((WalcottNDD!$F:$F),WalcottNDD!$E:$E,"&gt;=1/1/2018",WalcottNDD!$E:$E,"&lt;=12/31/2018",(WalcottNDD!$C:$C),("NITROGEN, TOTAL (AS N)"),(WalcottNDD!$H:$H),("FINAL EFFLUENT"),(WalcottNDD!$G:$G),("LBS/DAY"))</f>
        <v>11.365335</v>
      </c>
      <c r="M21" s="152">
        <f>SUMIFS(WalcottNDD!$F:$F,WalcottNDD!$E:$E,"&gt;=1/1/2018",WalcottNDD!$E:$E,"&lt;=12/31/2018",(WalcottNDD!$C:$C),("NITROGEN, TOTAL (AS N)"),(WalcottNDD!$H:$H),("FINAL EFFLUENT"),(WalcottNDD!$G:$G),("LBS/DAY"))</f>
        <v>45.46134</v>
      </c>
      <c r="N21" s="155">
        <f>L21*365</f>
        <v>4148.3472750000001</v>
      </c>
      <c r="O21" s="156" t="e">
        <f>((D21-J21))/D21</f>
        <v>#DIV/0!</v>
      </c>
      <c r="P21" s="157" t="e">
        <f>((F21-L21))/F21</f>
        <v>#DIV/0!</v>
      </c>
      <c r="Q21" s="158" t="e">
        <f>(F21-L21)*365</f>
        <v>#DIV/0!</v>
      </c>
      <c r="S21" s="185" t="s">
        <v>93</v>
      </c>
      <c r="T21" s="186" t="e">
        <f>S21/(C21+I21)</f>
        <v>#VALUE!</v>
      </c>
      <c r="U21" s="205" t="s">
        <v>73</v>
      </c>
    </row>
    <row r="22" spans="1:22" s="48" customFormat="1" ht="11.25" customHeight="1" thickBot="1" x14ac:dyDescent="0.25">
      <c r="A22" s="244"/>
      <c r="B22" s="160" t="s">
        <v>63</v>
      </c>
      <c r="C22" s="161">
        <f>COUNTIFS(WalcottNDD!$E:$E,"&gt;=5/1/2018",WalcottNDD!$E:$E,"&lt;=4/30/2019",WalcottNDD!$C:$C,"NITROGEN, TOTAL (AS N)",WalcottNDD!$G:$G,"MG/L",WalcottNDD!$H:$H,"RAW WASTE")</f>
        <v>0</v>
      </c>
      <c r="D22" s="162" t="e">
        <f>AVERAGEIFS(WalcottNDD!$F:$F,WalcottNDD!$E:$E,"&gt;=5/1/2018",WalcottNDD!$E:$E,"&lt;=4/30/2019",(WalcottNDD!$C:$C),("NITROGEN, TOTAL (AS N)"),(WalcottNDD!$H:$H),("RAW WASTE"),(WalcottNDD!$G:$G),("MG/L"))</f>
        <v>#DIV/0!</v>
      </c>
      <c r="E22" s="161">
        <f>COUNTIFS(WalcottNDD!$E:$E,"&gt;=5/1/2018",WalcottNDD!$E:$E,"&lt;=4/30/2019",WalcottNDD!$C:$C,"NITROGEN, TOTAL (AS N)",WalcottNDD!$G:$G,"LBS/DAY",WalcottNDD!$H:$H,"RAW WASTE")</f>
        <v>0</v>
      </c>
      <c r="F22" s="208" t="e">
        <f>AVERAGEIFS(WalcottNDD!$F:$F,WalcottNDD!$E:$E,"&gt;=5/1/2018",WalcottNDD!$E:$E,"&lt;=4/30/2019",(WalcottNDD!$C:$C),("NITROGEN, TOTAL (AS N)"),(WalcottNDD!$H:$H),("RAW WASTE"),(WalcottNDD!$G:$G),("LBS/DAY"))</f>
        <v>#DIV/0!</v>
      </c>
      <c r="G22" s="163">
        <f>SUMIFS(WalcottNDD!$F:$F,WalcottNDD!$E:$E,"&gt;=5/1/2018",WalcottNDD!$E:$E,"&lt;=4/30/2019",(WalcottNDD!$C:$C),("NITROGEN, TOTAL (AS N)"),(WalcottNDD!$H:$H),("RAW WASTE"),(WalcottNDD!$G:$G),("LBS/DAY"))</f>
        <v>0</v>
      </c>
      <c r="H22" s="164" t="e">
        <f>F22*365</f>
        <v>#DIV/0!</v>
      </c>
      <c r="I22" s="161">
        <f>COUNTIFS(WalcottNDD!$E:$E,"&gt;=5/1/2018",WalcottNDD!$E:$E,"&lt;=4/30/2019",WalcottNDD!$C:$C,"NITROGEN, TOTAL (AS N)",WalcottNDD!$G:$G,"MG/L",WalcottNDD!$H:$H,"FINAL EFFLUENT")</f>
        <v>2</v>
      </c>
      <c r="J22" s="162">
        <f>AVERAGEIFS(WalcottNDD!$F:$F,WalcottNDD!$E:$E,"&gt;=5/1/2018",WalcottNDD!$E:$E,"&lt;=4/30/2019",(WalcottNDD!$C:$C),("NITROGEN, TOTAL (AS N)"),(WalcottNDD!$H:$H),("FINAL EFFLUENT"),(WalcottNDD!$G:$G),("MG/L"))</f>
        <v>8.01</v>
      </c>
      <c r="K22" s="161">
        <f>COUNTIFS(WalcottNDD!$E:$E,"&gt;=5/1/2018",WalcottNDD!$E:$E,"&lt;=4/30/2019",WalcottNDD!$C:$C,"NITROGEN, TOTAL (AS N)",WalcottNDD!$G:$G,"LBS/DAY",WalcottNDD!$H:$H,"FINAL EFFLUENT")</f>
        <v>2</v>
      </c>
      <c r="L22" s="208">
        <f>AVERAGEIFS((WalcottNDD!$F:$F),WalcottNDD!$E:$E,"&gt;=5/1/2018",WalcottNDD!$E:$E,"&lt;=4/30/2019",(WalcottNDD!$C:$C),("NITROGEN, TOTAL (AS N)"),(WalcottNDD!$H:$H),("FINAL EFFLUENT"),(WalcottNDD!$G:$G),("LBS/DAY"))</f>
        <v>16.1515776</v>
      </c>
      <c r="M22" s="163">
        <f>SUMIFS(WalcottNDD!$F:$F,WalcottNDD!$E:$E,"&gt;=5/1/2018",WalcottNDD!$E:$E,"&lt;=4/30/2019",(WalcottNDD!$C:$C),("NITROGEN, TOTAL (AS N)"),(WalcottNDD!$H:$H),("FINAL EFFLUENT"),(WalcottNDD!$G:$G),("LBS/DAY"))</f>
        <v>32.303155199999999</v>
      </c>
      <c r="N22" s="164">
        <f>L22*365</f>
        <v>5895.3258239999996</v>
      </c>
      <c r="O22" s="165" t="e">
        <f>((D22-J22))/D22</f>
        <v>#DIV/0!</v>
      </c>
      <c r="P22" s="166" t="e">
        <f>((F22-L22))/F22</f>
        <v>#DIV/0!</v>
      </c>
      <c r="Q22" s="167" t="e">
        <f>(F22-L22)*365</f>
        <v>#DIV/0!</v>
      </c>
      <c r="S22" s="192" t="s">
        <v>94</v>
      </c>
      <c r="T22" s="193" t="e">
        <f>S22/(C22+I22)</f>
        <v>#VALUE!</v>
      </c>
      <c r="U22" s="206" t="s">
        <v>74</v>
      </c>
    </row>
    <row r="23" spans="1:22" s="48" customFormat="1" ht="11.25" customHeight="1" x14ac:dyDescent="0.2">
      <c r="A23" s="132"/>
      <c r="B23" s="109"/>
      <c r="C23" s="110"/>
      <c r="D23" s="111"/>
      <c r="E23" s="110"/>
      <c r="F23" s="111"/>
      <c r="G23" s="112"/>
      <c r="H23" s="112"/>
      <c r="I23" s="110"/>
      <c r="J23" s="111"/>
      <c r="K23" s="110"/>
      <c r="L23" s="111"/>
      <c r="M23" s="112"/>
      <c r="N23" s="112"/>
      <c r="O23" s="113"/>
      <c r="P23" s="129" t="s">
        <v>51</v>
      </c>
      <c r="Q23" s="112" t="s">
        <v>105</v>
      </c>
      <c r="T23" s="140"/>
    </row>
    <row r="24" spans="1:22" s="48" customFormat="1" ht="11.25" customHeight="1" x14ac:dyDescent="0.2">
      <c r="A24" s="132"/>
      <c r="B24" s="109"/>
      <c r="C24" s="110"/>
      <c r="D24" s="111"/>
      <c r="E24" s="110"/>
      <c r="F24" s="111"/>
      <c r="G24" s="112"/>
      <c r="H24" s="112"/>
      <c r="I24" s="110"/>
      <c r="J24" s="111"/>
      <c r="K24" s="110"/>
      <c r="L24" s="111"/>
      <c r="M24" s="112"/>
      <c r="N24" s="112"/>
      <c r="O24" s="113"/>
      <c r="P24" s="129" t="s">
        <v>52</v>
      </c>
      <c r="Q24" s="130" t="s">
        <v>106</v>
      </c>
      <c r="T24" s="140"/>
    </row>
    <row r="25" spans="1:22" s="48" customFormat="1" ht="11.25" customHeight="1" x14ac:dyDescent="0.2">
      <c r="A25" s="132"/>
      <c r="B25" s="109"/>
      <c r="C25" s="110"/>
      <c r="D25" s="111"/>
      <c r="E25" s="110"/>
      <c r="F25" s="111"/>
      <c r="G25" s="112"/>
      <c r="H25" s="112"/>
      <c r="I25" s="110"/>
      <c r="J25" s="111"/>
      <c r="K25" s="110"/>
      <c r="L25" s="111"/>
      <c r="M25" s="112"/>
      <c r="N25" s="112"/>
      <c r="O25" s="113"/>
      <c r="P25" s="129" t="s">
        <v>53</v>
      </c>
      <c r="Q25" s="112" t="s">
        <v>113</v>
      </c>
      <c r="T25" s="140"/>
    </row>
    <row r="26" spans="1:22" s="48" customFormat="1" ht="11.25" customHeight="1" x14ac:dyDescent="0.2">
      <c r="A26" s="132"/>
      <c r="B26" s="109"/>
      <c r="C26" s="110"/>
      <c r="D26" s="111"/>
      <c r="E26" s="110"/>
      <c r="F26" s="111"/>
      <c r="G26" s="112"/>
      <c r="H26" s="112"/>
      <c r="I26" s="110"/>
      <c r="J26" s="111"/>
      <c r="K26" s="110"/>
      <c r="L26" s="111"/>
      <c r="M26" s="112"/>
      <c r="N26" s="112"/>
      <c r="O26" s="113"/>
      <c r="P26" s="129" t="s">
        <v>54</v>
      </c>
      <c r="Q26" s="130" t="s">
        <v>114</v>
      </c>
      <c r="T26" s="140"/>
    </row>
    <row r="27" spans="1:22" s="48" customFormat="1" ht="11.25" customHeight="1" x14ac:dyDescent="0.2">
      <c r="A27" s="132"/>
      <c r="B27" s="109"/>
      <c r="C27" s="110"/>
      <c r="D27" s="111"/>
      <c r="E27" s="110"/>
      <c r="F27" s="111"/>
      <c r="G27" s="112"/>
      <c r="H27" s="112"/>
      <c r="I27" s="110"/>
      <c r="J27" s="111"/>
      <c r="K27" s="110"/>
      <c r="L27" s="111"/>
      <c r="M27" s="112"/>
      <c r="N27" s="112"/>
      <c r="O27" s="113"/>
      <c r="P27" s="129" t="s">
        <v>55</v>
      </c>
      <c r="Q27" s="131" t="s">
        <v>107</v>
      </c>
      <c r="T27" s="140"/>
    </row>
    <row r="28" spans="1:22" s="48" customFormat="1" ht="11.25" customHeight="1" x14ac:dyDescent="0.2">
      <c r="A28" s="132"/>
      <c r="B28" s="109"/>
      <c r="C28" s="110"/>
      <c r="D28" s="111"/>
      <c r="E28" s="110"/>
      <c r="F28" s="111"/>
      <c r="G28" s="112"/>
      <c r="H28" s="112"/>
      <c r="I28" s="110"/>
      <c r="J28" s="111"/>
      <c r="K28" s="110"/>
      <c r="L28" s="111"/>
      <c r="M28" s="112"/>
      <c r="N28" s="112"/>
      <c r="O28" s="113"/>
      <c r="P28" s="129" t="s">
        <v>56</v>
      </c>
      <c r="Q28" s="113" t="s">
        <v>108</v>
      </c>
      <c r="T28" s="140"/>
    </row>
    <row r="29" spans="1:22" s="48" customFormat="1" ht="11.25" customHeight="1" x14ac:dyDescent="0.2">
      <c r="A29" s="132"/>
      <c r="B29" s="109"/>
      <c r="C29" s="110"/>
      <c r="D29" s="111"/>
      <c r="E29" s="110"/>
      <c r="F29" s="111"/>
      <c r="G29" s="112"/>
      <c r="H29" s="112"/>
      <c r="I29" s="110"/>
      <c r="J29" s="111"/>
      <c r="K29" s="110"/>
      <c r="L29" s="111"/>
      <c r="M29" s="112"/>
      <c r="N29" s="112"/>
      <c r="O29" s="113"/>
      <c r="P29" s="129"/>
      <c r="Q29" s="113"/>
      <c r="T29" s="140"/>
    </row>
    <row r="30" spans="1:22" ht="11.25" customHeight="1" thickBot="1" x14ac:dyDescent="0.25"/>
    <row r="31" spans="1:22" ht="11.25" customHeight="1" x14ac:dyDescent="0.2">
      <c r="A31" s="242" t="s">
        <v>35</v>
      </c>
      <c r="B31" s="219" t="s">
        <v>35</v>
      </c>
      <c r="C31" s="222" t="s">
        <v>36</v>
      </c>
      <c r="D31" s="223"/>
      <c r="E31" s="223"/>
      <c r="F31" s="223"/>
      <c r="G31" s="223"/>
      <c r="H31" s="223"/>
      <c r="I31" s="224" t="s">
        <v>45</v>
      </c>
      <c r="J31" s="224"/>
      <c r="K31" s="224"/>
      <c r="L31" s="224"/>
      <c r="M31" s="224"/>
      <c r="N31" s="224"/>
      <c r="O31" s="225" t="s">
        <v>37</v>
      </c>
      <c r="P31" s="226"/>
      <c r="Q31" s="245" t="s">
        <v>57</v>
      </c>
      <c r="S31" s="232" t="s">
        <v>60</v>
      </c>
      <c r="T31" s="232" t="s">
        <v>61</v>
      </c>
      <c r="U31" s="214" t="s">
        <v>64</v>
      </c>
      <c r="V31" s="211"/>
    </row>
    <row r="32" spans="1:22" ht="11.25" customHeight="1" x14ac:dyDescent="0.2">
      <c r="A32" s="243"/>
      <c r="B32" s="220"/>
      <c r="C32" s="229" t="s">
        <v>25</v>
      </c>
      <c r="D32" s="230"/>
      <c r="E32" s="229" t="s">
        <v>26</v>
      </c>
      <c r="F32" s="231"/>
      <c r="G32" s="231"/>
      <c r="H32" s="230"/>
      <c r="I32" s="229" t="s">
        <v>25</v>
      </c>
      <c r="J32" s="230"/>
      <c r="K32" s="229" t="s">
        <v>26</v>
      </c>
      <c r="L32" s="231"/>
      <c r="M32" s="231"/>
      <c r="N32" s="231"/>
      <c r="O32" s="227"/>
      <c r="P32" s="228"/>
      <c r="Q32" s="246"/>
      <c r="S32" s="233"/>
      <c r="T32" s="233"/>
      <c r="U32" s="215"/>
      <c r="V32" s="211"/>
    </row>
    <row r="33" spans="1:22" ht="33.75" x14ac:dyDescent="0.2">
      <c r="A33" s="243"/>
      <c r="B33" s="221"/>
      <c r="C33" s="10" t="s">
        <v>27</v>
      </c>
      <c r="D33" s="11" t="s">
        <v>28</v>
      </c>
      <c r="E33" s="10" t="s">
        <v>27</v>
      </c>
      <c r="F33" s="12" t="s">
        <v>29</v>
      </c>
      <c r="G33" s="13" t="s">
        <v>30</v>
      </c>
      <c r="H33" s="14" t="s">
        <v>40</v>
      </c>
      <c r="I33" s="10" t="s">
        <v>27</v>
      </c>
      <c r="J33" s="11" t="s">
        <v>28</v>
      </c>
      <c r="K33" s="10" t="s">
        <v>27</v>
      </c>
      <c r="L33" s="12" t="s">
        <v>29</v>
      </c>
      <c r="M33" s="15" t="s">
        <v>31</v>
      </c>
      <c r="N33" s="14" t="s">
        <v>41</v>
      </c>
      <c r="O33" s="16" t="s">
        <v>32</v>
      </c>
      <c r="P33" s="133" t="s">
        <v>33</v>
      </c>
      <c r="Q33" s="37" t="s">
        <v>42</v>
      </c>
      <c r="S33" s="233"/>
      <c r="T33" s="233"/>
      <c r="U33" s="216"/>
      <c r="V33" s="211"/>
    </row>
    <row r="34" spans="1:22" s="25" customFormat="1" ht="11.25" customHeight="1" x14ac:dyDescent="0.2">
      <c r="A34" s="243"/>
      <c r="B34" s="78" t="s">
        <v>34</v>
      </c>
      <c r="C34" s="38">
        <f>COUNTIFS(WalcottNDD!C:C,"PHOSPHORUS, TOTAL (AS P)",WalcottNDD!G:G,"MG/L",WalcottNDD!H:H,"RAW WASTE")</f>
        <v>0</v>
      </c>
      <c r="D34" s="39" t="e">
        <f>AVERAGEIFS(WalcottNDD!F:F,(WalcottNDD!C:C),("PHOSPHORUS, TOTAL (AS P)"),(WalcottNDD!H:H),("RAW WASTE"),(WalcottNDD!G:G),("MG/L"))</f>
        <v>#DIV/0!</v>
      </c>
      <c r="E34" s="40">
        <f>COUNTIFS(WalcottNDD!C:C,"PHOSPHORUS, TOTAL (AS P)",WalcottNDD!G:G,"LBS/DAY",WalcottNDD!H:H,"RAW WASTE")</f>
        <v>0</v>
      </c>
      <c r="F34" s="41" t="e">
        <f>AVERAGEIFS(WalcottNDD!F:F,(WalcottNDD!C:C),("PHOSPHORUS, TOTAL (AS P)"),(WalcottNDD!H:H),("RAW WASTE"),(WalcottNDD!G:G),("LBS/DAY"))</f>
        <v>#DIV/0!</v>
      </c>
      <c r="G34" s="42">
        <f>(SUMIFS(WalcottNDD!F:F,(WalcottNDD!C:C),("PHOSPHORUS, TOTAL (AS P)"),(WalcottNDD!H:H),("RAW WASTE"),(WalcottNDD!G:G),("LBS/DAY")))</f>
        <v>0</v>
      </c>
      <c r="H34" s="43" t="e">
        <f>F34*365</f>
        <v>#DIV/0!</v>
      </c>
      <c r="I34" s="40">
        <f>COUNTIFS(WalcottNDD!C:C,"PHOSPHORUS, TOTAL (AS P)",WalcottNDD!G:G,"MG/L",WalcottNDD!H:H,"FINAL EFFLUENT")</f>
        <v>8</v>
      </c>
      <c r="J34" s="39">
        <f>(AVERAGEIFS(WalcottNDD!F:F,(WalcottNDD!C:C),("PHOSPHORUS, TOTAL (AS P)"),(WalcottNDD!H:H),("FINAL EFFLUENT"),(WalcottNDD!G:G),("MG/L")))</f>
        <v>5.085</v>
      </c>
      <c r="K34" s="40">
        <f>COUNTIFS(WalcottNDD!C:C,"PHOSPHORUS, TOTAL (AS P)",WalcottNDD!G:G,"LBS/DAY",WalcottNDD!H:H,"FINAL EFFLUENT")</f>
        <v>8</v>
      </c>
      <c r="L34" s="41">
        <f>AVERAGEIFS(WalcottNDD!F:F,(WalcottNDD!C:C),("PHOSPHORUS, TOTAL (AS P)"),(WalcottNDD!H:H),("FINAL EFFLUENT"),(WalcottNDD!G:G),("LBS/DAY"))</f>
        <v>8.1419875499999996</v>
      </c>
      <c r="M34" s="42">
        <f>SUMIFS(WalcottNDD!F:F,(WalcottNDD!C:C),("PHOSPHORUS, TOTAL (AS P)"),(WalcottNDD!H:H),("FINAL EFFLUENT"),(WalcottNDD!G:G),("LBS/DAY"))</f>
        <v>65.135900399999997</v>
      </c>
      <c r="N34" s="43">
        <f>L34*365</f>
        <v>2971.8254557499999</v>
      </c>
      <c r="O34" s="44" t="e">
        <f>((D34-J34))/D34</f>
        <v>#DIV/0!</v>
      </c>
      <c r="P34" s="45" t="e">
        <f>((F34-L34))/F34</f>
        <v>#DIV/0!</v>
      </c>
      <c r="Q34" s="46" t="e">
        <f>(F34-L34)*365</f>
        <v>#DIV/0!</v>
      </c>
      <c r="S34" s="38" t="s">
        <v>95</v>
      </c>
      <c r="T34" s="210" t="e">
        <f>S34/(C34+I34)</f>
        <v>#VALUE!</v>
      </c>
      <c r="U34" s="194" t="s">
        <v>75</v>
      </c>
    </row>
    <row r="35" spans="1:22" s="25" customFormat="1" ht="5.25" customHeight="1" x14ac:dyDescent="0.2">
      <c r="A35" s="243"/>
      <c r="B35" s="78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1"/>
      <c r="N35" s="22"/>
      <c r="O35" s="23"/>
      <c r="P35" s="24"/>
      <c r="Q35" s="47"/>
      <c r="S35" s="17"/>
      <c r="T35" s="141"/>
      <c r="U35" s="195"/>
    </row>
    <row r="36" spans="1:22" s="48" customFormat="1" ht="11.25" customHeight="1" x14ac:dyDescent="0.2">
      <c r="A36" s="243"/>
      <c r="B36" s="79" t="s">
        <v>46</v>
      </c>
      <c r="C36" s="80">
        <f>COUNTIFS(WalcottNDD!$E:$E,"&gt;=5/1/2014",WalcottNDD!$E:$E,"&lt;=4/30/2015",WalcottNDD!$C:$C,"PHOSPHORUS, TOTAL (AS P)",WalcottNDD!$G:$G,"MG/L",WalcottNDD!$H:$H,"RAW WASTE")</f>
        <v>0</v>
      </c>
      <c r="D36" s="81" t="e">
        <f>AVERAGEIFS(WalcottNDD!$F:$F,WalcottNDD!$E:$E,"&gt;=5/1/2014",WalcottNDD!$E:$E,"&lt;=4/30/2015",(WalcottNDD!$C:$C),("PHOSPHORUS, TOTAL (AS P)"),(WalcottNDD!$H:$H),("RAW WASTE"),(WalcottNDD!$G:$G),("MG/L"))</f>
        <v>#DIV/0!</v>
      </c>
      <c r="E36" s="82">
        <f>COUNTIFS(WalcottNDD!$E:$E,"&gt;=5/1/2014",WalcottNDD!$E:$E,"&lt;=4/30/2015",WalcottNDD!$C:$C,"PHOSPHORUS, TOTAL (AS P)",WalcottNDD!$G:$G,"LBS/DAY",WalcottNDD!$H:$H,"RAW WASTE")</f>
        <v>0</v>
      </c>
      <c r="F36" s="83" t="e">
        <f>AVERAGEIFS(WalcottNDD!$F:$F,WalcottNDD!$E:$E,"&gt;=5/1/2014",WalcottNDD!$E:$E,"&lt;=4/30/2015",(WalcottNDD!$C:$C),("PHOSPHORUS, TOTAL (AS P)"),(WalcottNDD!$H:$H),("RAW WASTE"),(WalcottNDD!$G:$G),("LBS/DAY"))</f>
        <v>#DIV/0!</v>
      </c>
      <c r="G36" s="84">
        <f>SUMIFS(WalcottNDD!$F:$F,WalcottNDD!$E:$E,"&gt;=5/1/2014",WalcottNDD!$E:$E,"&lt;=4/30/2015",(WalcottNDD!$C:$C),("PHOSPHORUS, TOTAL (AS P)"),(WalcottNDD!$H:$H),("RAW WASTE"),(WalcottNDD!$G:$G),("LBS/DAY"))</f>
        <v>0</v>
      </c>
      <c r="H36" s="85" t="e">
        <f>F36*365</f>
        <v>#DIV/0!</v>
      </c>
      <c r="I36" s="82">
        <f>COUNTIFS(WalcottNDD!$E:$E,"&gt;=5/1/2014",WalcottNDD!$E:$E,"&lt;=4/30/2015",WalcottNDD!$C:$C,"PHOSPHORUS, TOTAL (AS P)",WalcottNDD!$G:$G,"MG/L",WalcottNDD!$H:$H,"FINAL EFFLUENT")</f>
        <v>0</v>
      </c>
      <c r="J36" s="81" t="e">
        <f>AVERAGEIFS(WalcottNDD!$F:$F,WalcottNDD!$E:$E,"&gt;=5/1/2014",WalcottNDD!$E:$E,"&lt;=4/30/2015",(WalcottNDD!$C:$C),("PHOSPHORUS, TOTAL (AS P)"),(WalcottNDD!$H:$H),("FINAL EFFLUENT"),(WalcottNDD!$G:$G),("MG/L"))</f>
        <v>#DIV/0!</v>
      </c>
      <c r="K36" s="82">
        <f>COUNTIFS(WalcottNDD!$E:$E,"&gt;=5/1/2014",WalcottNDD!$E:$E,"&lt;=4/30/2015",WalcottNDD!$C:$C,"PHOSPHORUS, TOTAL (AS P)",WalcottNDD!$G:$G,"LBS/DAY",WalcottNDD!$H:$H,"FINAL EFFLUENT")</f>
        <v>0</v>
      </c>
      <c r="L36" s="83" t="e">
        <f>AVERAGEIFS((WalcottNDD!$F:$F),WalcottNDD!$E:$E,"&gt;=5/1/2014",WalcottNDD!$E:$E,"&lt;=4/30/2015",(WalcottNDD!$C:$C),("PHOSPHORUS, TOTAL (AS P)"),(WalcottNDD!$H:$H),("FINAL EFFLUENT"),(WalcottNDD!$G:$G),("LBS/DAY"))</f>
        <v>#DIV/0!</v>
      </c>
      <c r="M36" s="84">
        <f>SUMIFS(WalcottNDD!$F:$F,WalcottNDD!$E:$E,"&gt;=5/1/2014",WalcottNDD!$E:$E,"&lt;=4/30/2015",(WalcottNDD!$C:$C),("PHOSPHORUS, TOTAL (AS P)"),(WalcottNDD!$H:$H),("FINAL EFFLUENT"),(WalcottNDD!$G:$G),("LBS/DAY"))</f>
        <v>0</v>
      </c>
      <c r="N36" s="85" t="e">
        <f>L36*365</f>
        <v>#DIV/0!</v>
      </c>
      <c r="O36" s="86" t="e">
        <f>((D36-J36))/D36</f>
        <v>#DIV/0!</v>
      </c>
      <c r="P36" s="87" t="e">
        <f>((F36-L36))/F36</f>
        <v>#DIV/0!</v>
      </c>
      <c r="Q36" s="88" t="e">
        <f>(F36-L36)*365</f>
        <v>#DIV/0!</v>
      </c>
      <c r="S36" s="80" t="s">
        <v>96</v>
      </c>
      <c r="T36" s="142" t="e">
        <f>S36/(C36+I36)</f>
        <v>#VALUE!</v>
      </c>
      <c r="U36" s="196" t="s">
        <v>76</v>
      </c>
    </row>
    <row r="37" spans="1:22" s="25" customFormat="1" ht="5.25" customHeight="1" x14ac:dyDescent="0.2">
      <c r="A37" s="243"/>
      <c r="B37" s="78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  <c r="S37" s="38"/>
      <c r="T37" s="187"/>
      <c r="U37" s="195"/>
    </row>
    <row r="38" spans="1:22" s="58" customFormat="1" ht="11.25" customHeight="1" x14ac:dyDescent="0.2">
      <c r="A38" s="243"/>
      <c r="B38" s="89" t="s">
        <v>43</v>
      </c>
      <c r="C38" s="49">
        <f>COUNTIFS(WalcottNDD!$E:$E,"&gt;=1/1/2015",WalcottNDD!$E:$E,"&lt;=12/31/2015",WalcottNDD!$C:$C,"PHOSPHORUS, TOTAL (AS P)",WalcottNDD!$G:$G,"MG/L",WalcottNDD!$H:$H,"RAW WASTE")</f>
        <v>0</v>
      </c>
      <c r="D38" s="50" t="e">
        <f>AVERAGEIFS(WalcottNDD!$F:$F,WalcottNDD!$E:$E,"&gt;=1/1/2015",WalcottNDD!$E:$E,"&lt;=12/31/2015",(WalcottNDD!$C:$C),("PHOSPHORUS, TOTAL (AS P)"),(WalcottNDD!$H:$H),("RAW WASTE"),(WalcottNDD!$G:$G),("MG/L"))</f>
        <v>#DIV/0!</v>
      </c>
      <c r="E38" s="49">
        <f>COUNTIFS(WalcottNDD!$E:$E,"&gt;=1/1/2015",WalcottNDD!$E:$E,"&lt;=12/31/2015",WalcottNDD!$C:$C,"PHOSPHORUS, TOTAL (AS P)",WalcottNDD!$G:$G,"LBS/DAY",WalcottNDD!$H:$H,"RAW WASTE")</f>
        <v>0</v>
      </c>
      <c r="F38" s="90" t="e">
        <f>AVERAGEIFS(WalcottNDD!$F:$F,WalcottNDD!$E:$E,"&gt;=1/1/2015",WalcottNDD!$E:$E,"&lt;=12/31/2015",(WalcottNDD!$C:$C),("PHOSPHORUS, TOTAL (AS P)"),(WalcottNDD!$H:$H),("RAW WASTE"),(WalcottNDD!$G:$G),("LBS/DAY"))</f>
        <v>#DIV/0!</v>
      </c>
      <c r="G38" s="51">
        <f>SUMIFS(WalcottNDD!$F:$F,WalcottNDD!$E:$E,"&gt;=1/1/2015",WalcottNDD!$E:$E,"&lt;=12/31/2015",(WalcottNDD!$C:$C),("PHOSPHORUS, TOTAL (AS P)"),(WalcottNDD!$H:$H),("RAW WASTE"),(WalcottNDD!$G:$G),("LBS/DAY"))</f>
        <v>0</v>
      </c>
      <c r="H38" s="52" t="e">
        <f>F38*365</f>
        <v>#DIV/0!</v>
      </c>
      <c r="I38" s="49">
        <f>COUNTIFS(WalcottNDD!$E:$E,"&gt;=1/1/2015",WalcottNDD!$E:$E,"&lt;=12/31/2015",WalcottNDD!$C:$C,"PHOSPHORUS, TOTAL (AS P)",WalcottNDD!$G:$G,"MG/L",WalcottNDD!$H:$H,"FINAL EFFLUENT")</f>
        <v>0</v>
      </c>
      <c r="J38" s="53" t="e">
        <f>AVERAGEIFS(WalcottNDD!$F:$F,WalcottNDD!$E:$E,"&gt;=1/1/2015",WalcottNDD!$E:$E,"&lt;=12/31/2015",(WalcottNDD!$C:$C),("PHOSPHORUS, TOTAL (AS P)"),(WalcottNDD!$H:$H),("FINAL EFFLUENT"),(WalcottNDD!$G:$G),("MG/L"))</f>
        <v>#DIV/0!</v>
      </c>
      <c r="K38" s="49">
        <f>COUNTIFS(WalcottNDD!$E:$E,"&gt;=1/1/2015",WalcottNDD!$E:$E,"&lt;=12/31/2015",WalcottNDD!$C:$C,"PHOSPHORUS, TOTAL (AS P)",WalcottNDD!$G:$G,"LBS/DAY",WalcottNDD!$H:$H,"FINAL EFFLUENT")</f>
        <v>0</v>
      </c>
      <c r="L38" s="91" t="e">
        <f>AVERAGEIFS((WalcottNDD!$F:$F),WalcottNDD!$E:$E,"&gt;=1/1/2015",WalcottNDD!$E:$E,"&lt;=12/31/2015",(WalcottNDD!$C:$C),("PHOSPHORUS, TOTAL (AS P)"),(WalcottNDD!$H:$H),("FINAL EFFLUENT"),(WalcottNDD!$G:$G),("LBS/DAY"))</f>
        <v>#DIV/0!</v>
      </c>
      <c r="M38" s="51">
        <f>SUMIFS(WalcottNDD!$F:$F,WalcottNDD!$E:$E,"&gt;=1/1/2015",WalcottNDD!$E:$E,"&lt;=12/31/2015",(WalcottNDD!$C:$C),("PHOSPHORUS, TOTAL (AS P)"),(WalcottNDD!$H:$H),("FINAL EFFLUENT"),(WalcottNDD!$G:$G),("LBS/DAY"))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e">
        <f>(F38-L38)*365</f>
        <v>#DIV/0!</v>
      </c>
      <c r="S38" s="183" t="s">
        <v>97</v>
      </c>
      <c r="T38" s="184" t="e">
        <f>S38/(C38+I38)</f>
        <v>#VALUE!</v>
      </c>
      <c r="U38" s="197" t="s">
        <v>77</v>
      </c>
    </row>
    <row r="39" spans="1:22" s="48" customFormat="1" ht="12" customHeight="1" x14ac:dyDescent="0.2">
      <c r="A39" s="243"/>
      <c r="B39" s="92" t="s">
        <v>47</v>
      </c>
      <c r="C39" s="59">
        <f>COUNTIFS(WalcottNDD!$E:$E,"&gt;=5/1/2015",WalcottNDD!$E:$E,"&lt;=4/30/2016",WalcottNDD!$C:$C,"PHOSPHORUS, TOTAL (AS P)",WalcottNDD!$G:$G,"MG/L",WalcottNDD!$H:$H,"RAW WASTE")</f>
        <v>0</v>
      </c>
      <c r="D39" s="60" t="e">
        <f>AVERAGEIFS(WalcottNDD!$F:$F,WalcottNDD!$E:$E,"&gt;=5/1/2015",WalcottNDD!$E:$E,"&lt;=4/30/2016",(WalcottNDD!$C:$C),("PHOSPHORUS, TOTAL (AS P)"),(WalcottNDD!$H:$H),("RAW WASTE"),(WalcottNDD!$G:$G),("MG/L"))</f>
        <v>#DIV/0!</v>
      </c>
      <c r="E39" s="59">
        <f>COUNTIFS(WalcottNDD!$E:$E,"&gt;=5/1/2015",WalcottNDD!$E:$E,"&lt;=4/30/2016",WalcottNDD!$C:$C,"PHOSPHORUS, TOTAL (AS P)",WalcottNDD!$G:$G,"LBS/DAY",WalcottNDD!$H:$H,"RAW WASTE")</f>
        <v>0</v>
      </c>
      <c r="F39" s="93" t="e">
        <f>AVERAGEIFS(WalcottNDD!$F:$F,WalcottNDD!$E:$E,"&gt;=5/1/2015",WalcottNDD!$E:$E,"&lt;=4/30/2016",(WalcottNDD!$C:$C),("PHOSPHORUS, TOTAL (AS P)"),(WalcottNDD!$H:$H),("RAW WASTE"),(WalcottNDD!$G:$G),("LBS/DAY"))</f>
        <v>#DIV/0!</v>
      </c>
      <c r="G39" s="61">
        <f>SUMIFS(WalcottNDD!$F:$F,WalcottNDD!$E:$E,"&gt;=5/1/2015",WalcottNDD!$E:$E,"&lt;=4/30/2016",(WalcottNDD!$C:$C),("PHOSPHORUS, TOTAL (AS P)"),(WalcottNDD!$H:$H),("RAW WASTE"),(WalcottNDD!$G:$G),("LBS/DAY"))</f>
        <v>0</v>
      </c>
      <c r="H39" s="62" t="e">
        <f>F39*365</f>
        <v>#DIV/0!</v>
      </c>
      <c r="I39" s="59">
        <f>COUNTIFS(WalcottNDD!$E:$E,"&gt;=5/1/2015",WalcottNDD!$E:$E,"&lt;=4/30/2016",WalcottNDD!$C:$C,"PHOSPHORUS, TOTAL (AS P)",WalcottNDD!$G:$G,"MG/L",WalcottNDD!$H:$H,"FINAL EFFLUENT")</f>
        <v>0</v>
      </c>
      <c r="J39" s="60" t="e">
        <f>AVERAGEIFS(WalcottNDD!$F:$F,WalcottNDD!$E:$E,"&gt;=5/1/2015",WalcottNDD!$E:$E,"&lt;=4/30/2016",(WalcottNDD!$C:$C),("PHOSPHORUS, TOTAL (AS P)"),(WalcottNDD!$H:$H),("FINAL EFFLUENT"),(WalcottNDD!$G:$G),("MG/L"))</f>
        <v>#DIV/0!</v>
      </c>
      <c r="K39" s="59">
        <f>COUNTIFS(WalcottNDD!$E:$E,"&gt;=5/1/2015",WalcottNDD!$E:$E,"&lt;=4/30/2016",WalcottNDD!$C:$C,"PHOSPHORUS, TOTAL (AS P)",WalcottNDD!$G:$G,"LBS/DAY",WalcottNDD!$H:$H,"FINAL EFFLUENT")</f>
        <v>0</v>
      </c>
      <c r="L39" s="93" t="e">
        <f>AVERAGEIFS((WalcottNDD!$F:$F),WalcottNDD!$E:$E,"&gt;=5/1/2015",WalcottNDD!$E:$E,"&lt;=4/30/2016",(WalcottNDD!$C:$C),("PHOSPHORUS, TOTAL (AS P)"),(WalcottNDD!$H:$H),("FINAL EFFLUENT"),(WalcottNDD!$G:$G),("LBS/DAY"))</f>
        <v>#DIV/0!</v>
      </c>
      <c r="M39" s="61">
        <f>SUMIFS(WalcottNDD!$F:$F,WalcottNDD!$E:$E,"&gt;=5/1/2015",WalcottNDD!$E:$E,"&lt;=4/30/2016",(WalcottNDD!$C:$C),("PHOSPHORUS, TOTAL (AS P)"),(WalcottNDD!$H:$H),("FINAL EFFLUENT"),(WalcottNDD!$G:$G),("LBS/DAY"))</f>
        <v>0</v>
      </c>
      <c r="N39" s="62" t="e">
        <f>L39*365</f>
        <v>#DIV/0!</v>
      </c>
      <c r="O39" s="63" t="e">
        <f>((D39-J39))/D39</f>
        <v>#DIV/0!</v>
      </c>
      <c r="P39" s="64" t="e">
        <f>((F39-L39))/F39</f>
        <v>#DIV/0!</v>
      </c>
      <c r="Q39" s="65" t="e">
        <f>(F39-L39)*365</f>
        <v>#DIV/0!</v>
      </c>
      <c r="S39" s="59" t="s">
        <v>98</v>
      </c>
      <c r="T39" s="143" t="e">
        <f>S39/(C39+I39)</f>
        <v>#VALUE!</v>
      </c>
      <c r="U39" s="198" t="s">
        <v>78</v>
      </c>
    </row>
    <row r="40" spans="1:22" s="75" customFormat="1" ht="5.25" customHeight="1" x14ac:dyDescent="0.2">
      <c r="A40" s="243"/>
      <c r="B40" s="94"/>
      <c r="C40" s="66"/>
      <c r="D40" s="67"/>
      <c r="E40" s="66"/>
      <c r="F40" s="95"/>
      <c r="G40" s="68"/>
      <c r="H40" s="69"/>
      <c r="I40" s="66"/>
      <c r="J40" s="70"/>
      <c r="K40" s="66"/>
      <c r="L40" s="96"/>
      <c r="M40" s="68"/>
      <c r="N40" s="71"/>
      <c r="O40" s="72"/>
      <c r="P40" s="73"/>
      <c r="Q40" s="74"/>
      <c r="S40" s="188"/>
      <c r="T40" s="189"/>
      <c r="U40" s="199"/>
    </row>
    <row r="41" spans="1:22" s="75" customFormat="1" ht="11.25" customHeight="1" x14ac:dyDescent="0.2">
      <c r="A41" s="243"/>
      <c r="B41" s="97" t="s">
        <v>44</v>
      </c>
      <c r="C41" s="26">
        <f>COUNTIFS(WalcottNDD!$E:$E,"&gt;=1/1/2016",WalcottNDD!$E:$E,"&lt;=12/31/2016",WalcottNDD!$C:$C,"PHOSPHORUS, TOTAL (AS P)",WalcottNDD!$G:$G,"MG/L",WalcottNDD!$H:$H,"RAW WASTE")</f>
        <v>0</v>
      </c>
      <c r="D41" s="27" t="e">
        <f>AVERAGEIFS(WalcottNDD!$F:$F,WalcottNDD!$E:$E,"&gt;=1/1/2016",WalcottNDD!$E:$E,"&lt;=12/31/2016",(WalcottNDD!$C:$C),("PHOSPHORUS, TOTAL (AS P)"),(WalcottNDD!$H:$H),("RAW WASTE"),(WalcottNDD!$G:$G),("MG/L"))</f>
        <v>#DIV/0!</v>
      </c>
      <c r="E41" s="26">
        <f>COUNTIFS(WalcottNDD!$E:$E,"&gt;=1/1/2016",WalcottNDD!$E:$E,"&lt;=12/31/2016",WalcottNDD!$C:$C,"PHOSPHORUS, TOTAL (AS P)",WalcottNDD!$G:$G,"LBS/DAY",WalcottNDD!$H:$H,"RAW WASTE")</f>
        <v>0</v>
      </c>
      <c r="F41" s="98" t="e">
        <f>AVERAGEIFS(WalcottNDD!$F:$F,WalcottNDD!$E:$E,"&gt;=1/1/2016",WalcottNDD!$E:$E,"&lt;=12/31/2016",(WalcottNDD!$C:$C),("PHOSPHORUS, TOTAL (AS P)"),(WalcottNDD!$H:$H),("RAW WASTE"),(WalcottNDD!$G:$G),("LBS/DAY"))</f>
        <v>#DIV/0!</v>
      </c>
      <c r="G41" s="28">
        <f>SUMIFS(WalcottNDD!$F:$F,WalcottNDD!$E:$E,"&gt;=1/1/2016",WalcottNDD!$E:$E,"&lt;=12/31/2016",(WalcottNDD!$C:$C),("PHOSPHORUS, TOTAL (AS P)"),(WalcottNDD!$H:$H),("RAW WASTE"),(WalcottNDD!$G:$G),("LBS/DAY"))</f>
        <v>0</v>
      </c>
      <c r="H41" s="29" t="e">
        <f>F41*365</f>
        <v>#DIV/0!</v>
      </c>
      <c r="I41" s="26">
        <f>COUNTIFS(WalcottNDD!$E:$E,"&gt;=1/1/2016",WalcottNDD!$E:$E,"&lt;=12/31/2016",WalcottNDD!$C:$C,"PHOSPHORUS, TOTAL (AS P)",WalcottNDD!$G:$G,"MG/L",WalcottNDD!$H:$H,"FINAL EFFLUENT")</f>
        <v>0</v>
      </c>
      <c r="J41" s="30" t="e">
        <f>AVERAGEIFS(WalcottNDD!$F:$F,WalcottNDD!$E:$E,"&gt;=1/1/2016",WalcottNDD!$E:$E,"&lt;=12/31/2016",(WalcottNDD!$C:$C),("PHOSPHORUS, TOTAL (AS P)"),(WalcottNDD!$H:$H),("FINAL EFFLUENT"),(WalcottNDD!$G:$G),("MG/L"))</f>
        <v>#DIV/0!</v>
      </c>
      <c r="K41" s="26">
        <f>COUNTIFS(WalcottNDD!$E:$E,"&gt;=1/1/2016",WalcottNDD!$E:$E,"&lt;=12/31/2016",WalcottNDD!$C:$C,"PHOSPHORUS, TOTAL (AS P)",WalcottNDD!$G:$G,"LBS/DAY",WalcottNDD!$H:$H,"FINAL EFFLUENT")</f>
        <v>0</v>
      </c>
      <c r="L41" s="99" t="e">
        <f>AVERAGEIFS((WalcottNDD!$F:$F),WalcottNDD!$E:$E,"&gt;=1/1/2016",WalcottNDD!$E:$E,"&lt;=12/31/2016",(WalcottNDD!$C:$C),("PHOSPHORUS, TOTAL (AS P)"),(WalcottNDD!$H:$H),("FINAL EFFLUENT"),(WalcottNDD!$G:$G),("LBS/DAY"))</f>
        <v>#DIV/0!</v>
      </c>
      <c r="M41" s="28">
        <f>SUMIFS(WalcottNDD!$F:$F,WalcottNDD!$E:$E,"&gt;=1/1/2016",WalcottNDD!$E:$E,"&lt;=12/31/2016",(WalcottNDD!$C:$C),("PHOSPHORUS, TOTAL (AS P)"),(WalcottNDD!$H:$H),("FINAL EFFLUENT"),(WalcottNDD!$G:$G),("LBS/DAY"))</f>
        <v>0</v>
      </c>
      <c r="N41" s="31" t="e">
        <f>L41*365</f>
        <v>#DIV/0!</v>
      </c>
      <c r="O41" s="32" t="e">
        <f>((D41-J41))/D41</f>
        <v>#DIV/0!</v>
      </c>
      <c r="P41" s="33" t="e">
        <f>((F41-L41))/F41</f>
        <v>#DIV/0!</v>
      </c>
      <c r="Q41" s="76" t="e">
        <f>(F41-L41)*365</f>
        <v>#DIV/0!</v>
      </c>
      <c r="S41" s="26" t="s">
        <v>99</v>
      </c>
      <c r="T41" s="144" t="e">
        <f>S41/(C41+I41)</f>
        <v>#VALUE!</v>
      </c>
      <c r="U41" s="200" t="s">
        <v>79</v>
      </c>
    </row>
    <row r="42" spans="1:22" s="48" customFormat="1" ht="11.25" customHeight="1" x14ac:dyDescent="0.2">
      <c r="A42" s="243"/>
      <c r="B42" s="100" t="s">
        <v>48</v>
      </c>
      <c r="C42" s="101">
        <f>COUNTIFS(WalcottNDD!$E:$E,"&gt;=5/1/2016",WalcottNDD!$E:$E,"&lt;=4/30/2017",WalcottNDD!$C:$C,"PHOSPHORUS, TOTAL (AS P)",WalcottNDD!$G:$G,"MG/L",WalcottNDD!$H:$H,"RAW WASTE")</f>
        <v>0</v>
      </c>
      <c r="D42" s="102" t="e">
        <f>AVERAGEIFS(WalcottNDD!$F:$F,WalcottNDD!$E:$E,"&gt;=5/1/2016",WalcottNDD!$E:$E,"&lt;=4/30/2017",(WalcottNDD!$C:$C),("PHOSPHORUS, TOTAL (AS P)"),(WalcottNDD!$H:$H),("RAW WASTE"),(WalcottNDD!$G:$G),("MG/L"))</f>
        <v>#DIV/0!</v>
      </c>
      <c r="E42" s="101">
        <f>COUNTIFS(WalcottNDD!$E:$E,"&gt;=5/1/2016",WalcottNDD!$E:$E,"&lt;=4/30/2017",WalcottNDD!$C:$C,"PHOSPHORUS, TOTAL (AS P)",WalcottNDD!$G:$G,"LBS/DAY",WalcottNDD!$H:$H,"RAW WASTE")</f>
        <v>0</v>
      </c>
      <c r="F42" s="103" t="e">
        <f>AVERAGEIFS(WalcottNDD!$F:$F,WalcottNDD!$E:$E,"&gt;=5/1/2016",WalcottNDD!$E:$E,"&lt;=4/30/2017",(WalcottNDD!$C:$C),("PHOSPHORUS, TOTAL (AS P)"),(WalcottNDD!$H:$H),("RAW WASTE"),(WalcottNDD!$G:$G),("LBS/DAY"))</f>
        <v>#DIV/0!</v>
      </c>
      <c r="G42" s="104">
        <f>SUMIFS(WalcottNDD!$F:$F,WalcottNDD!$E:$E,"&gt;=5/1/2016",WalcottNDD!$E:$E,"&lt;=4/30/2017",(WalcottNDD!$C:$C),("PHOSPHORUS, TOTAL (AS P)"),(WalcottNDD!$H:$H),("RAW WASTE"),(WalcottNDD!$G:$G),("LBS/DAY"))</f>
        <v>0</v>
      </c>
      <c r="H42" s="105" t="e">
        <f>F42*365</f>
        <v>#DIV/0!</v>
      </c>
      <c r="I42" s="101">
        <f>COUNTIFS(WalcottNDD!$E:$E,"&gt;=5/1/2016",WalcottNDD!$E:$E,"&lt;=4/30/2017",WalcottNDD!$C:$C,"PHOSPHORUS, TOTAL (AS P)",WalcottNDD!$G:$G,"MG/L",WalcottNDD!$H:$H,"FINAL EFFLUENT")</f>
        <v>2</v>
      </c>
      <c r="J42" s="102">
        <f>AVERAGEIFS(WalcottNDD!$F:$F,WalcottNDD!$E:$E,"&gt;=5/1/2016",WalcottNDD!$E:$E,"&lt;=4/30/2017",(WalcottNDD!$C:$C),("PHOSPHORUS, TOTAL (AS P)"),(WalcottNDD!$H:$H),("FINAL EFFLUENT"),(WalcottNDD!$G:$G),("MG/L"))</f>
        <v>3.05</v>
      </c>
      <c r="K42" s="101">
        <f>COUNTIFS(WalcottNDD!$E:$E,"&gt;=5/1/2016",WalcottNDD!$E:$E,"&lt;=4/30/2017",WalcottNDD!$C:$C,"PHOSPHORUS, TOTAL (AS P)",WalcottNDD!$G:$G,"LBS/DAY",WalcottNDD!$H:$H,"FINAL EFFLUENT")</f>
        <v>2</v>
      </c>
      <c r="L42" s="103">
        <f>AVERAGEIFS((WalcottNDD!$F:$F),WalcottNDD!$E:$E,"&gt;=5/1/2016",WalcottNDD!$E:$E,"&lt;=4/30/2017",(WalcottNDD!$C:$C),("PHOSPHORUS, TOTAL (AS P)"),(WalcottNDD!$H:$H),("FINAL EFFLUENT"),(WalcottNDD!$G:$G),("LBS/DAY"))</f>
        <v>7.314597</v>
      </c>
      <c r="M42" s="104">
        <f>SUMIFS(WalcottNDD!$F:$F,WalcottNDD!$E:$E,"&gt;=5/1/2016",WalcottNDD!$E:$E,"&lt;=4/30/2017",(WalcottNDD!$C:$C),("PHOSPHORUS, TOTAL (AS P)"),(WalcottNDD!$H:$H),("FINAL EFFLUENT"),(WalcottNDD!$G:$G),("LBS/DAY"))</f>
        <v>14.629194</v>
      </c>
      <c r="N42" s="105">
        <f>L42*365</f>
        <v>2669.8279050000001</v>
      </c>
      <c r="O42" s="106" t="e">
        <f>((D42-J42))/D42</f>
        <v>#DIV/0!</v>
      </c>
      <c r="P42" s="107" t="e">
        <f>((F42-L42))/F42</f>
        <v>#DIV/0!</v>
      </c>
      <c r="Q42" s="108" t="e">
        <f>(F42-L42)*365</f>
        <v>#DIV/0!</v>
      </c>
      <c r="S42" s="101" t="s">
        <v>100</v>
      </c>
      <c r="T42" s="145" t="e">
        <f>S42/(C42+I42)</f>
        <v>#VALUE!</v>
      </c>
      <c r="U42" s="201" t="s">
        <v>80</v>
      </c>
    </row>
    <row r="43" spans="1:22" ht="5.25" customHeight="1" x14ac:dyDescent="0.2">
      <c r="A43" s="243"/>
      <c r="F43" s="127"/>
      <c r="L43" s="127"/>
      <c r="Q43" s="128"/>
      <c r="S43" s="148"/>
      <c r="T43" s="146"/>
      <c r="U43" s="202"/>
    </row>
    <row r="44" spans="1:22" s="126" customFormat="1" ht="11.25" customHeight="1" x14ac:dyDescent="0.2">
      <c r="A44" s="243"/>
      <c r="B44" s="115" t="s">
        <v>49</v>
      </c>
      <c r="C44" s="116">
        <f>COUNTIFS(WalcottNDD!$E:$E,"&gt;=1/1/2017",WalcottNDD!$E:$E,"&lt;=12/31/2017",WalcottNDD!$C:$C,"PHOSPHORUS, TOTAL (AS P)",WalcottNDD!$G:$G,"MG/L",WalcottNDD!$H:$H,"RAW WASTE")</f>
        <v>0</v>
      </c>
      <c r="D44" s="117" t="e">
        <f>AVERAGEIFS(WalcottNDD!$F:$F,WalcottNDD!$E:$E,"&gt;=1/1/2017",WalcottNDD!$E:$E,"&lt;=12/31/2017",(WalcottNDD!$C:$C),("PHOSPHORUS, TOTAL (AS P)"),(WalcottNDD!$H:$H),("RAW WASTE"),(WalcottNDD!$G:$G),("MG/L"))</f>
        <v>#DIV/0!</v>
      </c>
      <c r="E44" s="116">
        <f>COUNTIFS(WalcottNDD!$E:$E,"&gt;=1/1/2017",WalcottNDD!$E:$E,"&lt;=12/31/2017",WalcottNDD!$C:$C,"PHOSPHORUS, TOTAL (AS P)",WalcottNDD!$G:$G,"LBS/DAY",WalcottNDD!$H:$H,"RAW WASTE")</f>
        <v>0</v>
      </c>
      <c r="F44" s="118" t="e">
        <f>AVERAGEIFS(WalcottNDD!$F:$F,WalcottNDD!$E:$E,"&gt;=1/1/2017",WalcottNDD!$E:$E,"&lt;=12/31/2017",(WalcottNDD!$C:$C),("PHOSPHORUS, TOTAL (AS P)"),(WalcottNDD!$H:$H),("RAW WASTE"),(WalcottNDD!$G:$G),("LBS/DAY"))</f>
        <v>#DIV/0!</v>
      </c>
      <c r="G44" s="119">
        <f>SUMIFS(WalcottNDD!$F:$F,WalcottNDD!$E:$E,"&gt;=1/1/2017",WalcottNDD!$E:$E,"&lt;=12/31/2017",(WalcottNDD!$C:$C),("PHOSPHORUS, TOTAL (AS P)"),(WalcottNDD!$H:$H),("RAW WASTE"),(WalcottNDD!$G:$G),("LBS/DAY"))</f>
        <v>0</v>
      </c>
      <c r="H44" s="120" t="e">
        <f>F44*365</f>
        <v>#DIV/0!</v>
      </c>
      <c r="I44" s="116">
        <f>COUNTIFS(WalcottNDD!$E:$E,"&gt;=1/1/2017",WalcottNDD!$E:$E,"&lt;=12/31/2017",WalcottNDD!$C:$C,"PHOSPHORUS, TOTAL (AS P)",WalcottNDD!$G:$G,"MG/L",WalcottNDD!$H:$H,"FINAL EFFLUENT")</f>
        <v>4</v>
      </c>
      <c r="J44" s="121">
        <f>AVERAGEIFS(WalcottNDD!$F:$F,WalcottNDD!$E:$E,"&gt;=1/1/2017",WalcottNDD!$E:$E,"&lt;=12/31/2017",(WalcottNDD!$C:$C),("PHOSPHORUS, TOTAL (AS P)"),(WalcottNDD!$H:$H),("FINAL EFFLUENT"),(WalcottNDD!$G:$G),("MG/L"))</f>
        <v>4.7750000000000004</v>
      </c>
      <c r="K44" s="116">
        <f>COUNTIFS(WalcottNDD!$E:$E,"&gt;=1/1/2017",WalcottNDD!$E:$E,"&lt;=12/31/2017",WalcottNDD!$C:$C,"PHOSPHORUS, TOTAL (AS P)",WalcottNDD!$G:$G,"LBS/DAY",WalcottNDD!$H:$H,"FINAL EFFLUENT")</f>
        <v>4</v>
      </c>
      <c r="L44" s="122">
        <f>AVERAGEIFS((WalcottNDD!$F:$F),WalcottNDD!$E:$E,"&gt;=1/1/2017",WalcottNDD!$E:$E,"&lt;=12/31/2017",(WalcottNDD!$C:$C),("PHOSPHORUS, TOTAL (AS P)"),(WalcottNDD!$H:$H),("FINAL EFFLUENT"),(WalcottNDD!$G:$G),("LBS/DAY"))</f>
        <v>7.4182215000000005</v>
      </c>
      <c r="M44" s="119">
        <f>SUMIFS(WalcottNDD!$F:$F,WalcottNDD!$E:$E,"&gt;=1/1/2017",WalcottNDD!$E:$E,"&lt;=12/31/2017",(WalcottNDD!$C:$C),("PHOSPHORUS, TOTAL (AS P)"),(WalcottNDD!$H:$H),("FINAL EFFLUENT"),(WalcottNDD!$G:$G),("LBS/DAY"))</f>
        <v>29.672886000000002</v>
      </c>
      <c r="N44" s="213">
        <f>L44*365</f>
        <v>2707.6508475000001</v>
      </c>
      <c r="O44" s="123" t="e">
        <f>((D44-J44))/D44</f>
        <v>#DIV/0!</v>
      </c>
      <c r="P44" s="124" t="e">
        <f>((F44-L44))/F44</f>
        <v>#DIV/0!</v>
      </c>
      <c r="Q44" s="125" t="e">
        <f>(F44-L44)*365</f>
        <v>#DIV/0!</v>
      </c>
      <c r="S44" s="116" t="s">
        <v>101</v>
      </c>
      <c r="T44" s="147" t="e">
        <f>S44/(C44+I44)</f>
        <v>#VALUE!</v>
      </c>
      <c r="U44" s="203" t="s">
        <v>81</v>
      </c>
    </row>
    <row r="45" spans="1:22" s="48" customFormat="1" ht="12" customHeight="1" x14ac:dyDescent="0.2">
      <c r="A45" s="243"/>
      <c r="B45" s="173" t="s">
        <v>50</v>
      </c>
      <c r="C45" s="174">
        <f>COUNTIFS(WalcottNDD!$E:$E,"&gt;=5/1/2017",WalcottNDD!$E:$E,"&lt;=4/30/2018",WalcottNDD!$C:$C,"PHOSPHORUS, TOTAL (AS P)",WalcottNDD!$G:$G,"MG/L",WalcottNDD!$H:$H,"RAW WASTE")</f>
        <v>0</v>
      </c>
      <c r="D45" s="175" t="e">
        <f>AVERAGEIFS(WalcottNDD!$F:$F,WalcottNDD!$E:$E,"&gt;=5/1/2017",WalcottNDD!$E:$E,"&lt;=4/30/2018",(WalcottNDD!$C:$C),("PHOSPHORUS, TOTAL (AS P)"),(WalcottNDD!$H:$H),("RAW WASTE"),(WalcottNDD!$G:$G),("MG/L"))</f>
        <v>#DIV/0!</v>
      </c>
      <c r="E45" s="174">
        <f>COUNTIFS(WalcottNDD!$E:$E,"&gt;=5/1/2017",WalcottNDD!$E:$E,"&lt;=4/30/2018",WalcottNDD!$C:$C,"PHOSPHORUS, TOTAL (AS P)",WalcottNDD!$G:$G,"LBS/DAY",WalcottNDD!$H:$H,"RAW WASTE")</f>
        <v>0</v>
      </c>
      <c r="F45" s="176" t="e">
        <f>AVERAGEIFS(WalcottNDD!$F:$F,WalcottNDD!$E:$E,"&gt;=5/1/2017",WalcottNDD!$E:$E,"&lt;=4/30/2018",(WalcottNDD!$C:$C),("PHOSPHORUS, TOTAL (AS P)"),(WalcottNDD!$H:$H),("RAW WASTE"),(WalcottNDD!$G:$G),("LBS/DAY"))</f>
        <v>#DIV/0!</v>
      </c>
      <c r="G45" s="177">
        <f>SUMIFS(WalcottNDD!$F:$F,WalcottNDD!$E:$E,"&gt;=5/1/2017",WalcottNDD!$E:$E,"&lt;=4/30/2018",(WalcottNDD!$C:$C),("PHOSPHORUS, TOTAL (AS P)"),(WalcottNDD!$H:$H),("RAW WASTE"),(WalcottNDD!$G:$G),("LBS/DAY"))</f>
        <v>0</v>
      </c>
      <c r="H45" s="178" t="e">
        <f>F45*365</f>
        <v>#DIV/0!</v>
      </c>
      <c r="I45" s="174">
        <f>COUNTIFS(WalcottNDD!$E:$E,"&gt;=5/1/2017",WalcottNDD!$E:$E,"&lt;=4/30/2018",WalcottNDD!$C:$C,"PHOSPHORUS, TOTAL (AS P)",WalcottNDD!$G:$G,"MG/L",WalcottNDD!$H:$H,"FINAL EFFLUENT")</f>
        <v>4</v>
      </c>
      <c r="J45" s="175">
        <f>AVERAGEIFS(WalcottNDD!$F:$F,WalcottNDD!$E:$E,"&gt;=5/1/2017",WalcottNDD!$E:$E,"&lt;=4/30/2018",(WalcottNDD!$C:$C),("PHOSPHORUS, TOTAL (AS P)"),(WalcottNDD!$H:$H),("FINAL EFFLUENT"),(WalcottNDD!$G:$G),("MG/L"))</f>
        <v>5.6749999999999998</v>
      </c>
      <c r="K45" s="174">
        <f>COUNTIFS(WalcottNDD!$E:$E,"&gt;=5/1/2017",WalcottNDD!$E:$E,"&lt;=4/30/2018",WalcottNDD!$C:$C,"PHOSPHORUS, TOTAL (AS P)",WalcottNDD!$G:$G,"LBS/DAY",WalcottNDD!$H:$H,"FINAL EFFLUENT")</f>
        <v>4</v>
      </c>
      <c r="L45" s="176">
        <f>AVERAGEIFS((WalcottNDD!$F:$F),WalcottNDD!$E:$E,"&gt;=5/1/2017",WalcottNDD!$E:$E,"&lt;=4/30/2018",(WalcottNDD!$C:$C),("PHOSPHORUS, TOTAL (AS P)"),(WalcottNDD!$H:$H),("FINAL EFFLUENT"),(WalcottNDD!$G:$G),("LBS/DAY"))</f>
        <v>6.7583190000000002</v>
      </c>
      <c r="M45" s="177">
        <f>SUMIFS(WalcottNDD!$F:$F,WalcottNDD!$E:$E,"&gt;=5/1/2017",WalcottNDD!$E:$E,"&lt;=4/30/2018",(WalcottNDD!$C:$C),("PHOSPHORUS, TOTAL (AS P)"),(WalcottNDD!$H:$H),("FINAL EFFLUENT"),(WalcottNDD!$G:$G),("LBS/DAY"))</f>
        <v>27.033276000000001</v>
      </c>
      <c r="N45" s="178">
        <f>L45*365</f>
        <v>2466.786435</v>
      </c>
      <c r="O45" s="179" t="e">
        <f>((D45-J45))/D45</f>
        <v>#DIV/0!</v>
      </c>
      <c r="P45" s="180" t="e">
        <f>((F45-L45))/F45</f>
        <v>#DIV/0!</v>
      </c>
      <c r="Q45" s="181" t="e">
        <f>(F45-L45)*365</f>
        <v>#DIV/0!</v>
      </c>
      <c r="S45" s="174" t="s">
        <v>102</v>
      </c>
      <c r="T45" s="182" t="e">
        <f>S45/(C45+I45)</f>
        <v>#VALUE!</v>
      </c>
      <c r="U45" s="204" t="s">
        <v>82</v>
      </c>
    </row>
    <row r="46" spans="1:22" s="48" customFormat="1" ht="5.25" customHeight="1" x14ac:dyDescent="0.2">
      <c r="A46" s="243"/>
      <c r="B46" s="109"/>
      <c r="C46" s="110"/>
      <c r="D46" s="111"/>
      <c r="E46" s="110"/>
      <c r="F46" s="111"/>
      <c r="G46" s="112"/>
      <c r="H46" s="112"/>
      <c r="I46" s="110"/>
      <c r="J46" s="111"/>
      <c r="K46" s="110"/>
      <c r="L46" s="111"/>
      <c r="M46" s="112"/>
      <c r="N46" s="112"/>
      <c r="O46" s="113"/>
      <c r="P46" s="113"/>
      <c r="Q46" s="114"/>
      <c r="S46" s="168"/>
      <c r="T46" s="191"/>
      <c r="U46" s="202"/>
    </row>
    <row r="47" spans="1:22" s="159" customFormat="1" ht="11.25" customHeight="1" x14ac:dyDescent="0.2">
      <c r="A47" s="243"/>
      <c r="B47" s="149" t="s">
        <v>62</v>
      </c>
      <c r="C47" s="150">
        <f>COUNTIFS(WalcottNDD!$E:$E,"&gt;=1/1/2018",WalcottNDD!$E:$E,"&lt;=12/31/2018",WalcottNDD!$C:$C,"PHOSPHORUS, TOTAL (AS P)",WalcottNDD!$G:$G,"MG/L",WalcottNDD!$H:$H,"RAW WASTE")</f>
        <v>0</v>
      </c>
      <c r="D47" s="151" t="e">
        <f>AVERAGEIFS(WalcottNDD!$F:$F,WalcottNDD!$E:$E,"&gt;=1/1/2018",WalcottNDD!$E:$E,"&lt;=12/31/2018",(WalcottNDD!$C:$C),("PHOSPHORUS, TOTAL (AS P)"),(WalcottNDD!$H:$H),("RAW WASTE"),(WalcottNDD!$G:$G),("MG/L"))</f>
        <v>#DIV/0!</v>
      </c>
      <c r="E47" s="150">
        <f>COUNTIFS(WalcottNDD!$E:$E,"&gt;=1/1/2018",WalcottNDD!$E:$E,"&lt;=12/31/2018",WalcottNDD!$C:$C,"PHOSPHORUS, TOTAL (AS P)",WalcottNDD!$G:$G,"LBS/DAY",WalcottNDD!$H:$H,"RAW WASTE")</f>
        <v>0</v>
      </c>
      <c r="F47" s="207" t="e">
        <f>AVERAGEIFS(WalcottNDD!$F:$F,WalcottNDD!$E:$E,"&gt;=1/1/2018",WalcottNDD!$E:$E,"&lt;=12/31/2018",(WalcottNDD!$C:$C),("PHOSPHORUS, TOTAL (AS P)"),(WalcottNDD!$H:$H),("RAW WASTE"),(WalcottNDD!$G:$G),("LBS/DAY"))</f>
        <v>#DIV/0!</v>
      </c>
      <c r="G47" s="152">
        <f>SUMIFS(WalcottNDD!$F:$F,WalcottNDD!$E:$E,"&gt;=1/1/2018",WalcottNDD!$E:$E,"&lt;=12/31/2018",(WalcottNDD!$C:$C),("PHOSPHORUS, TOTAL (AS P)"),(WalcottNDD!$H:$H),("RAW WASTE"),(WalcottNDD!$G:$G),("LBS/DAY"))</f>
        <v>0</v>
      </c>
      <c r="H47" s="153" t="e">
        <f>F47*365</f>
        <v>#DIV/0!</v>
      </c>
      <c r="I47" s="150">
        <f>COUNTIFS(WalcottNDD!$E:$E,"&gt;=1/1/2018",WalcottNDD!$E:$E,"&lt;=12/31/2018",WalcottNDD!$C:$C,"PHOSPHORUS, TOTAL (AS P)",WalcottNDD!$G:$G,"MG/L",WalcottNDD!$H:$H,"FINAL EFFLUENT")</f>
        <v>4</v>
      </c>
      <c r="J47" s="154">
        <f>AVERAGEIFS(WalcottNDD!$F:$F,WalcottNDD!$E:$E,"&gt;=1/1/2018",WalcottNDD!$E:$E,"&lt;=12/31/2018",(WalcottNDD!$C:$C),("PHOSPHORUS, TOTAL (AS P)"),(WalcottNDD!$H:$H),("FINAL EFFLUENT"),(WalcottNDD!$G:$G),("MG/L"))</f>
        <v>5.3949999999999996</v>
      </c>
      <c r="K47" s="150">
        <f>COUNTIFS(WalcottNDD!$E:$E,"&gt;=1/1/2018",WalcottNDD!$E:$E,"&lt;=12/31/2018",WalcottNDD!$C:$C,"PHOSPHORUS, TOTAL (AS P)",WalcottNDD!$G:$G,"LBS/DAY",WalcottNDD!$H:$H,"FINAL EFFLUENT")</f>
        <v>4</v>
      </c>
      <c r="L47" s="209">
        <f>AVERAGEIFS((WalcottNDD!$F:$F),WalcottNDD!$E:$E,"&gt;=1/1/2018",WalcottNDD!$E:$E,"&lt;=12/31/2018",(WalcottNDD!$C:$C),("PHOSPHORUS, TOTAL (AS P)"),(WalcottNDD!$H:$H),("FINAL EFFLUENT"),(WalcottNDD!$G:$G),("LBS/DAY"))</f>
        <v>8.8657535999999997</v>
      </c>
      <c r="M47" s="152">
        <f>SUMIFS(WalcottNDD!$F:$F,WalcottNDD!$E:$E,"&gt;=1/1/2018",WalcottNDD!$E:$E,"&lt;=12/31/2018",(WalcottNDD!$C:$C),("PHOSPHORUS, TOTAL (AS P)"),(WalcottNDD!$H:$H),("FINAL EFFLUENT"),(WalcottNDD!$G:$G),("LBS/DAY"))</f>
        <v>35.463014399999999</v>
      </c>
      <c r="N47" s="155">
        <f>L47*365</f>
        <v>3236.0000639999998</v>
      </c>
      <c r="O47" s="156" t="e">
        <f>((D47-J47))/D47</f>
        <v>#DIV/0!</v>
      </c>
      <c r="P47" s="157" t="e">
        <f>((F47-L47))/F47</f>
        <v>#DIV/0!</v>
      </c>
      <c r="Q47" s="158" t="e">
        <f>(F47-L47)*365</f>
        <v>#DIV/0!</v>
      </c>
      <c r="S47" s="150" t="s">
        <v>103</v>
      </c>
      <c r="T47" s="186" t="e">
        <f>S47/(C47+I47)</f>
        <v>#VALUE!</v>
      </c>
      <c r="U47" s="205" t="s">
        <v>83</v>
      </c>
    </row>
    <row r="48" spans="1:22" s="48" customFormat="1" ht="11.25" customHeight="1" thickBot="1" x14ac:dyDescent="0.25">
      <c r="A48" s="244"/>
      <c r="B48" s="160" t="s">
        <v>63</v>
      </c>
      <c r="C48" s="161">
        <f>COUNTIFS(WalcottNDD!$E:$E,"&gt;=5/1/2018",WalcottNDD!$E:$E,"&lt;=4/30/2019",WalcottNDD!$C:$C,"PHOSPHORUS, TOTAL (AS P)",WalcottNDD!$G:$G,"MG/L",WalcottNDD!$H:$H,"RAW WASTE")</f>
        <v>0</v>
      </c>
      <c r="D48" s="162" t="e">
        <f>AVERAGEIFS(WalcottNDD!$F:$F,WalcottNDD!$E:$E,"&gt;=5/1/2018",WalcottNDD!$E:$E,"&lt;=4/30/2019",(WalcottNDD!$C:$C),("PHOSPHORUS, TOTAL (AS P)"),(WalcottNDD!$H:$H),("RAW WASTE"),(WalcottNDD!$G:$G),("MG/L"))</f>
        <v>#DIV/0!</v>
      </c>
      <c r="E48" s="161">
        <f>COUNTIFS(WalcottNDD!$E:$E,"&gt;=5/1/2018",WalcottNDD!$E:$E,"&lt;=4/30/2019",WalcottNDD!$C:$C,"PHOSPHORUS, TOTAL (AS P)",WalcottNDD!$G:$G,"LBS/DAY",WalcottNDD!$H:$H,"RAW WASTE")</f>
        <v>0</v>
      </c>
      <c r="F48" s="208" t="e">
        <f>AVERAGEIFS(WalcottNDD!$F:$F,WalcottNDD!$E:$E,"&gt;=5/1/2018",WalcottNDD!$E:$E,"&lt;=4/30/2019",(WalcottNDD!$C:$C),("PHOSPHORUS, TOTAL (AS P)"),(WalcottNDD!$H:$H),("RAW WASTE"),(WalcottNDD!$G:$G),("LBS/DAY"))</f>
        <v>#DIV/0!</v>
      </c>
      <c r="G48" s="163">
        <f>SUMIFS(WalcottNDD!$F:$F,WalcottNDD!$E:$E,"&gt;=5/1/2018",WalcottNDD!$E:$E,"&lt;=4/30/2019",(WalcottNDD!$C:$C),("PHOSPHORUS, TOTAL (AS P)"),(WalcottNDD!$H:$H),("RAW WASTE"),(WalcottNDD!$G:$G),("LBS/DAY"))</f>
        <v>0</v>
      </c>
      <c r="H48" s="164" t="e">
        <f>F48*365</f>
        <v>#DIV/0!</v>
      </c>
      <c r="I48" s="161">
        <f>COUNTIFS(WalcottNDD!$E:$E,"&gt;=5/1/2018",WalcottNDD!$E:$E,"&lt;=4/30/2019",WalcottNDD!$C:$C,"PHOSPHORUS, TOTAL (AS P)",WalcottNDD!$G:$G,"MG/L",WalcottNDD!$H:$H,"FINAL EFFLUENT")</f>
        <v>2</v>
      </c>
      <c r="J48" s="162">
        <f>AVERAGEIFS(WalcottNDD!$F:$F,WalcottNDD!$E:$E,"&gt;=5/1/2018",WalcottNDD!$E:$E,"&lt;=4/30/2019",(WalcottNDD!$C:$C),("PHOSPHORUS, TOTAL (AS P)"),(WalcottNDD!$H:$H),("FINAL EFFLUENT"),(WalcottNDD!$G:$G),("MG/L"))</f>
        <v>5.9399999999999995</v>
      </c>
      <c r="K48" s="161">
        <f>COUNTIFS(WalcottNDD!$E:$E,"&gt;=5/1/2018",WalcottNDD!$E:$E,"&lt;=4/30/2019",WalcottNDD!$C:$C,"PHOSPHORUS, TOTAL (AS P)",WalcottNDD!$G:$G,"LBS/DAY",WalcottNDD!$H:$H,"FINAL EFFLUENT")</f>
        <v>2</v>
      </c>
      <c r="L48" s="208">
        <f>AVERAGEIFS((WalcottNDD!$F:$F),WalcottNDD!$E:$E,"&gt;=5/1/2018",WalcottNDD!$E:$E,"&lt;=4/30/2019",(WalcottNDD!$C:$C),("PHOSPHORUS, TOTAL (AS P)"),(WalcottNDD!$H:$H),("FINAL EFFLUENT"),(WalcottNDD!$G:$G),("LBS/DAY"))</f>
        <v>11.736715200000001</v>
      </c>
      <c r="M48" s="163">
        <f>SUMIFS(WalcottNDD!$F:$F,WalcottNDD!$E:$E,"&gt;=5/1/2018",WalcottNDD!$E:$E,"&lt;=4/30/2019",(WalcottNDD!$C:$C),("PHOSPHORUS, TOTAL (AS P)"),(WalcottNDD!$H:$H),("FINAL EFFLUENT"),(WalcottNDD!$G:$G),("LBS/DAY"))</f>
        <v>23.473430400000002</v>
      </c>
      <c r="N48" s="164">
        <f>L48*365</f>
        <v>4283.9010480000006</v>
      </c>
      <c r="O48" s="165" t="e">
        <f>((D48-J48))/D48</f>
        <v>#DIV/0!</v>
      </c>
      <c r="P48" s="166" t="e">
        <f>((F48-L48))/F48</f>
        <v>#DIV/0!</v>
      </c>
      <c r="Q48" s="167" t="e">
        <f>(F48-L48)*365</f>
        <v>#DIV/0!</v>
      </c>
      <c r="S48" s="192" t="s">
        <v>104</v>
      </c>
      <c r="T48" s="193" t="e">
        <f>S48/(C48+I48)</f>
        <v>#VALUE!</v>
      </c>
      <c r="U48" s="206" t="s">
        <v>84</v>
      </c>
    </row>
    <row r="49" spans="16:17" x14ac:dyDescent="0.2">
      <c r="P49" s="129" t="s">
        <v>51</v>
      </c>
      <c r="Q49" s="112" t="s">
        <v>109</v>
      </c>
    </row>
    <row r="50" spans="16:17" x14ac:dyDescent="0.2">
      <c r="P50" s="129" t="s">
        <v>52</v>
      </c>
      <c r="Q50" s="130" t="s">
        <v>110</v>
      </c>
    </row>
    <row r="51" spans="16:17" x14ac:dyDescent="0.2">
      <c r="P51" s="129" t="s">
        <v>53</v>
      </c>
      <c r="Q51" s="112" t="s">
        <v>115</v>
      </c>
    </row>
    <row r="52" spans="16:17" x14ac:dyDescent="0.2">
      <c r="P52" s="129" t="s">
        <v>54</v>
      </c>
      <c r="Q52" s="130" t="s">
        <v>116</v>
      </c>
    </row>
    <row r="53" spans="16:17" x14ac:dyDescent="0.2">
      <c r="P53" s="129" t="s">
        <v>55</v>
      </c>
      <c r="Q53" s="131" t="s">
        <v>111</v>
      </c>
    </row>
    <row r="54" spans="16:17" x14ac:dyDescent="0.2">
      <c r="P54" s="129" t="s">
        <v>56</v>
      </c>
      <c r="Q54" s="113" t="s">
        <v>112</v>
      </c>
    </row>
  </sheetData>
  <mergeCells count="32">
    <mergeCell ref="A5:A22"/>
    <mergeCell ref="B31:B33"/>
    <mergeCell ref="C31:H31"/>
    <mergeCell ref="I31:N31"/>
    <mergeCell ref="Q5:Q6"/>
    <mergeCell ref="A31:A48"/>
    <mergeCell ref="Q31:Q32"/>
    <mergeCell ref="C32:D32"/>
    <mergeCell ref="E32:H32"/>
    <mergeCell ref="I32:J32"/>
    <mergeCell ref="K32:N32"/>
    <mergeCell ref="O31:P32"/>
    <mergeCell ref="A1:B1"/>
    <mergeCell ref="C1:D1"/>
    <mergeCell ref="E1:F1"/>
    <mergeCell ref="C2:D2"/>
    <mergeCell ref="E2:F2"/>
    <mergeCell ref="U5:U7"/>
    <mergeCell ref="U31:U33"/>
    <mergeCell ref="C3:F3"/>
    <mergeCell ref="B5:B7"/>
    <mergeCell ref="C5:H5"/>
    <mergeCell ref="I5:N5"/>
    <mergeCell ref="O5:P6"/>
    <mergeCell ref="C6:D6"/>
    <mergeCell ref="E6:H6"/>
    <mergeCell ref="I6:J6"/>
    <mergeCell ref="K6:N6"/>
    <mergeCell ref="S5:S7"/>
    <mergeCell ref="T5:T7"/>
    <mergeCell ref="S31:S33"/>
    <mergeCell ref="T31:T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workbookViewId="0">
      <pane ySplit="1" topLeftCell="A2" activePane="bottomLeft" state="frozen"/>
      <selection pane="bottomLeft" activeCell="A12" sqref="A12"/>
    </sheetView>
  </sheetViews>
  <sheetFormatPr defaultRowHeight="11.25" x14ac:dyDescent="0.2"/>
  <cols>
    <col min="1" max="1" width="7.5703125" style="250" customWidth="1"/>
    <col min="2" max="2" width="18.85546875" style="250" customWidth="1"/>
    <col min="3" max="3" width="22.7109375" style="250" customWidth="1"/>
    <col min="4" max="4" width="16.28515625" style="250" customWidth="1"/>
    <col min="5" max="5" width="10" style="250" customWidth="1"/>
    <col min="6" max="6" width="6.85546875" style="250" customWidth="1"/>
    <col min="7" max="7" width="7.85546875" style="250" customWidth="1"/>
    <col min="8" max="8" width="13.85546875" style="250" customWidth="1"/>
    <col min="9" max="9" width="4.42578125" style="250" customWidth="1"/>
    <col min="10" max="10" width="14.28515625" style="250" customWidth="1"/>
    <col min="11" max="11" width="14.85546875" style="250" customWidth="1"/>
    <col min="12" max="12" width="51.140625" style="250" customWidth="1"/>
    <col min="13" max="13" width="28.85546875" style="250" customWidth="1"/>
    <col min="14" max="16384" width="9.140625" style="250"/>
  </cols>
  <sheetData>
    <row r="1" spans="1:14" s="249" customFormat="1" ht="21" x14ac:dyDescent="0.2">
      <c r="A1" s="247" t="s">
        <v>0</v>
      </c>
      <c r="B1" s="247" t="s">
        <v>1</v>
      </c>
      <c r="C1" s="247" t="s">
        <v>2</v>
      </c>
      <c r="D1" s="247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8" t="s">
        <v>8</v>
      </c>
      <c r="J1" s="248" t="s">
        <v>9</v>
      </c>
      <c r="K1" s="248" t="s">
        <v>10</v>
      </c>
      <c r="L1" s="247" t="s">
        <v>11</v>
      </c>
      <c r="M1" s="247" t="s">
        <v>58</v>
      </c>
      <c r="N1" s="247" t="s">
        <v>59</v>
      </c>
    </row>
    <row r="2" spans="1:14" x14ac:dyDescent="0.2">
      <c r="A2" s="252" t="s">
        <v>126</v>
      </c>
      <c r="B2" s="252" t="s">
        <v>127</v>
      </c>
      <c r="C2" s="252" t="s">
        <v>12</v>
      </c>
      <c r="D2" s="252" t="s">
        <v>13</v>
      </c>
      <c r="E2" s="253">
        <v>43215</v>
      </c>
      <c r="F2" s="254">
        <v>32.4</v>
      </c>
      <c r="G2" s="255" t="s">
        <v>14</v>
      </c>
      <c r="H2" s="252" t="s">
        <v>128</v>
      </c>
      <c r="I2" s="255">
        <v>1</v>
      </c>
      <c r="J2" s="255" t="s">
        <v>129</v>
      </c>
      <c r="K2" s="255" t="s">
        <v>130</v>
      </c>
      <c r="L2" s="252" t="s">
        <v>131</v>
      </c>
      <c r="M2" s="252" t="s">
        <v>128</v>
      </c>
    </row>
    <row r="3" spans="1:14" x14ac:dyDescent="0.2">
      <c r="A3" s="252" t="s">
        <v>126</v>
      </c>
      <c r="B3" s="252" t="s">
        <v>127</v>
      </c>
      <c r="C3" s="252" t="s">
        <v>12</v>
      </c>
      <c r="D3" s="252" t="s">
        <v>13</v>
      </c>
      <c r="E3" s="253">
        <v>43215</v>
      </c>
      <c r="F3" s="254">
        <v>48.63888</v>
      </c>
      <c r="G3" s="255" t="s">
        <v>15</v>
      </c>
      <c r="H3" s="252" t="s">
        <v>128</v>
      </c>
      <c r="I3" s="255">
        <v>1</v>
      </c>
      <c r="J3" s="255" t="s">
        <v>129</v>
      </c>
      <c r="K3" s="255" t="s">
        <v>130</v>
      </c>
      <c r="L3" s="252" t="s">
        <v>131</v>
      </c>
      <c r="M3" s="252" t="s">
        <v>128</v>
      </c>
    </row>
    <row r="4" spans="1:14" x14ac:dyDescent="0.2">
      <c r="A4" s="252" t="s">
        <v>126</v>
      </c>
      <c r="B4" s="252" t="s">
        <v>127</v>
      </c>
      <c r="C4" s="252" t="s">
        <v>12</v>
      </c>
      <c r="D4" s="252" t="s">
        <v>13</v>
      </c>
      <c r="E4" s="253">
        <v>43215</v>
      </c>
      <c r="F4" s="254">
        <v>5.6</v>
      </c>
      <c r="G4" s="255" t="s">
        <v>14</v>
      </c>
      <c r="H4" s="252" t="s">
        <v>16</v>
      </c>
      <c r="I4" s="255">
        <v>4</v>
      </c>
      <c r="J4" s="255" t="s">
        <v>129</v>
      </c>
      <c r="K4" s="255" t="s">
        <v>130</v>
      </c>
      <c r="L4" s="252" t="s">
        <v>132</v>
      </c>
      <c r="M4" s="252" t="s">
        <v>133</v>
      </c>
    </row>
    <row r="5" spans="1:14" x14ac:dyDescent="0.2">
      <c r="A5" s="252" t="s">
        <v>126</v>
      </c>
      <c r="B5" s="252" t="s">
        <v>127</v>
      </c>
      <c r="C5" s="252" t="s">
        <v>12</v>
      </c>
      <c r="D5" s="252" t="s">
        <v>13</v>
      </c>
      <c r="E5" s="253">
        <v>43215</v>
      </c>
      <c r="F5" s="254">
        <v>6.30504</v>
      </c>
      <c r="G5" s="255" t="s">
        <v>15</v>
      </c>
      <c r="H5" s="252" t="s">
        <v>16</v>
      </c>
      <c r="I5" s="255">
        <v>4</v>
      </c>
      <c r="J5" s="255" t="s">
        <v>129</v>
      </c>
      <c r="K5" s="255" t="s">
        <v>130</v>
      </c>
      <c r="L5" s="252" t="s">
        <v>132</v>
      </c>
      <c r="M5" s="252" t="s">
        <v>133</v>
      </c>
    </row>
    <row r="6" spans="1:14" x14ac:dyDescent="0.2">
      <c r="A6" s="252" t="s">
        <v>126</v>
      </c>
      <c r="B6" s="252" t="s">
        <v>127</v>
      </c>
      <c r="C6" s="252" t="s">
        <v>12</v>
      </c>
      <c r="D6" s="252" t="s">
        <v>13</v>
      </c>
      <c r="E6" s="253">
        <v>43208</v>
      </c>
      <c r="F6" s="254">
        <v>35.6</v>
      </c>
      <c r="G6" s="255" t="s">
        <v>14</v>
      </c>
      <c r="H6" s="252" t="s">
        <v>128</v>
      </c>
      <c r="I6" s="255">
        <v>1</v>
      </c>
      <c r="J6" s="255" t="s">
        <v>129</v>
      </c>
      <c r="K6" s="255" t="s">
        <v>130</v>
      </c>
      <c r="L6" s="252" t="s">
        <v>131</v>
      </c>
      <c r="M6" s="252" t="s">
        <v>128</v>
      </c>
    </row>
    <row r="7" spans="1:14" x14ac:dyDescent="0.2">
      <c r="A7" s="252" t="s">
        <v>126</v>
      </c>
      <c r="B7" s="252" t="s">
        <v>127</v>
      </c>
      <c r="C7" s="252" t="s">
        <v>12</v>
      </c>
      <c r="D7" s="252" t="s">
        <v>13</v>
      </c>
      <c r="E7" s="253">
        <v>43208</v>
      </c>
      <c r="F7" s="254">
        <v>51.067487999999997</v>
      </c>
      <c r="G7" s="255" t="s">
        <v>15</v>
      </c>
      <c r="H7" s="252" t="s">
        <v>128</v>
      </c>
      <c r="I7" s="255">
        <v>1</v>
      </c>
      <c r="J7" s="255" t="s">
        <v>129</v>
      </c>
      <c r="K7" s="255" t="s">
        <v>130</v>
      </c>
      <c r="L7" s="252" t="s">
        <v>131</v>
      </c>
      <c r="M7" s="252" t="s">
        <v>128</v>
      </c>
    </row>
    <row r="8" spans="1:14" x14ac:dyDescent="0.2">
      <c r="A8" s="252" t="s">
        <v>126</v>
      </c>
      <c r="B8" s="252" t="s">
        <v>127</v>
      </c>
      <c r="C8" s="252" t="s">
        <v>12</v>
      </c>
      <c r="D8" s="252" t="s">
        <v>13</v>
      </c>
      <c r="E8" s="253">
        <v>43208</v>
      </c>
      <c r="F8" s="254">
        <v>10.5</v>
      </c>
      <c r="G8" s="255" t="s">
        <v>14</v>
      </c>
      <c r="H8" s="252" t="s">
        <v>16</v>
      </c>
      <c r="I8" s="255">
        <v>4</v>
      </c>
      <c r="J8" s="255" t="s">
        <v>129</v>
      </c>
      <c r="K8" s="255" t="s">
        <v>130</v>
      </c>
      <c r="L8" s="252" t="s">
        <v>132</v>
      </c>
      <c r="M8" s="252" t="s">
        <v>133</v>
      </c>
    </row>
    <row r="9" spans="1:14" x14ac:dyDescent="0.2">
      <c r="A9" s="252" t="s">
        <v>126</v>
      </c>
      <c r="B9" s="252" t="s">
        <v>127</v>
      </c>
      <c r="C9" s="252" t="s">
        <v>12</v>
      </c>
      <c r="D9" s="252" t="s">
        <v>13</v>
      </c>
      <c r="E9" s="253">
        <v>43208</v>
      </c>
      <c r="F9" s="254">
        <v>13.1355</v>
      </c>
      <c r="G9" s="255" t="s">
        <v>15</v>
      </c>
      <c r="H9" s="252" t="s">
        <v>16</v>
      </c>
      <c r="I9" s="255">
        <v>4</v>
      </c>
      <c r="J9" s="255" t="s">
        <v>129</v>
      </c>
      <c r="K9" s="255" t="s">
        <v>130</v>
      </c>
      <c r="L9" s="252" t="s">
        <v>132</v>
      </c>
      <c r="M9" s="252" t="s">
        <v>133</v>
      </c>
    </row>
    <row r="10" spans="1:14" x14ac:dyDescent="0.2">
      <c r="A10" s="252" t="s">
        <v>126</v>
      </c>
      <c r="B10" s="252" t="s">
        <v>127</v>
      </c>
      <c r="C10" s="252" t="s">
        <v>12</v>
      </c>
      <c r="D10" s="252" t="s">
        <v>13</v>
      </c>
      <c r="E10" s="253">
        <v>43201</v>
      </c>
      <c r="F10" s="254">
        <v>36.4</v>
      </c>
      <c r="G10" s="255" t="s">
        <v>14</v>
      </c>
      <c r="H10" s="252" t="s">
        <v>128</v>
      </c>
      <c r="I10" s="255">
        <v>1</v>
      </c>
      <c r="J10" s="255" t="s">
        <v>129</v>
      </c>
      <c r="K10" s="255" t="s">
        <v>130</v>
      </c>
      <c r="L10" s="252" t="s">
        <v>131</v>
      </c>
      <c r="M10" s="252" t="s">
        <v>128</v>
      </c>
    </row>
    <row r="11" spans="1:14" x14ac:dyDescent="0.2">
      <c r="A11" s="252" t="s">
        <v>126</v>
      </c>
      <c r="B11" s="252" t="s">
        <v>127</v>
      </c>
      <c r="C11" s="252" t="s">
        <v>12</v>
      </c>
      <c r="D11" s="252" t="s">
        <v>13</v>
      </c>
      <c r="E11" s="253">
        <v>43201</v>
      </c>
      <c r="F11" s="254">
        <v>54.340103999999997</v>
      </c>
      <c r="G11" s="255" t="s">
        <v>15</v>
      </c>
      <c r="H11" s="252" t="s">
        <v>128</v>
      </c>
      <c r="I11" s="255">
        <v>1</v>
      </c>
      <c r="J11" s="255" t="s">
        <v>129</v>
      </c>
      <c r="K11" s="255" t="s">
        <v>130</v>
      </c>
      <c r="L11" s="252" t="s">
        <v>131</v>
      </c>
      <c r="M11" s="252" t="s">
        <v>128</v>
      </c>
    </row>
    <row r="12" spans="1:14" x14ac:dyDescent="0.2">
      <c r="A12" s="252" t="s">
        <v>126</v>
      </c>
      <c r="B12" s="252" t="s">
        <v>127</v>
      </c>
      <c r="C12" s="252" t="s">
        <v>12</v>
      </c>
      <c r="D12" s="252" t="s">
        <v>13</v>
      </c>
      <c r="E12" s="253">
        <v>43201</v>
      </c>
      <c r="F12" s="254">
        <v>9.9</v>
      </c>
      <c r="G12" s="255" t="s">
        <v>14</v>
      </c>
      <c r="H12" s="252" t="s">
        <v>16</v>
      </c>
      <c r="I12" s="255">
        <v>4</v>
      </c>
      <c r="J12" s="255" t="s">
        <v>129</v>
      </c>
      <c r="K12" s="255" t="s">
        <v>130</v>
      </c>
      <c r="L12" s="252" t="s">
        <v>132</v>
      </c>
      <c r="M12" s="252" t="s">
        <v>133</v>
      </c>
    </row>
    <row r="13" spans="1:14" x14ac:dyDescent="0.2">
      <c r="A13" s="252" t="s">
        <v>126</v>
      </c>
      <c r="B13" s="252" t="s">
        <v>127</v>
      </c>
      <c r="C13" s="252" t="s">
        <v>12</v>
      </c>
      <c r="D13" s="252" t="s">
        <v>13</v>
      </c>
      <c r="E13" s="253">
        <v>43201</v>
      </c>
      <c r="F13" s="254">
        <v>14.861879999999999</v>
      </c>
      <c r="G13" s="255" t="s">
        <v>15</v>
      </c>
      <c r="H13" s="252" t="s">
        <v>16</v>
      </c>
      <c r="I13" s="255">
        <v>4</v>
      </c>
      <c r="J13" s="255" t="s">
        <v>129</v>
      </c>
      <c r="K13" s="255" t="s">
        <v>130</v>
      </c>
      <c r="L13" s="252" t="s">
        <v>132</v>
      </c>
      <c r="M13" s="252" t="s">
        <v>133</v>
      </c>
    </row>
    <row r="14" spans="1:14" x14ac:dyDescent="0.2">
      <c r="A14" s="252" t="s">
        <v>126</v>
      </c>
      <c r="B14" s="252" t="s">
        <v>127</v>
      </c>
      <c r="C14" s="252" t="s">
        <v>12</v>
      </c>
      <c r="D14" s="252" t="s">
        <v>13</v>
      </c>
      <c r="E14" s="253">
        <v>43194</v>
      </c>
      <c r="F14" s="254">
        <v>38.5</v>
      </c>
      <c r="G14" s="255" t="s">
        <v>14</v>
      </c>
      <c r="H14" s="252" t="s">
        <v>128</v>
      </c>
      <c r="I14" s="255">
        <v>1</v>
      </c>
      <c r="J14" s="255" t="s">
        <v>129</v>
      </c>
      <c r="K14" s="255" t="s">
        <v>130</v>
      </c>
      <c r="L14" s="252" t="s">
        <v>131</v>
      </c>
      <c r="M14" s="252" t="s">
        <v>128</v>
      </c>
    </row>
    <row r="15" spans="1:14" x14ac:dyDescent="0.2">
      <c r="A15" s="252" t="s">
        <v>126</v>
      </c>
      <c r="B15" s="252" t="s">
        <v>127</v>
      </c>
      <c r="C15" s="252" t="s">
        <v>12</v>
      </c>
      <c r="D15" s="252" t="s">
        <v>13</v>
      </c>
      <c r="E15" s="253">
        <v>43194</v>
      </c>
      <c r="F15" s="254">
        <v>58.117289999999997</v>
      </c>
      <c r="G15" s="255" t="s">
        <v>15</v>
      </c>
      <c r="H15" s="252" t="s">
        <v>128</v>
      </c>
      <c r="I15" s="255">
        <v>1</v>
      </c>
      <c r="J15" s="255" t="s">
        <v>129</v>
      </c>
      <c r="K15" s="255" t="s">
        <v>130</v>
      </c>
      <c r="L15" s="252" t="s">
        <v>131</v>
      </c>
      <c r="M15" s="252" t="s">
        <v>128</v>
      </c>
    </row>
    <row r="16" spans="1:14" x14ac:dyDescent="0.2">
      <c r="A16" s="252" t="s">
        <v>126</v>
      </c>
      <c r="B16" s="252" t="s">
        <v>127</v>
      </c>
      <c r="C16" s="252" t="s">
        <v>12</v>
      </c>
      <c r="D16" s="252" t="s">
        <v>13</v>
      </c>
      <c r="E16" s="253">
        <v>43194</v>
      </c>
      <c r="F16" s="254">
        <v>9</v>
      </c>
      <c r="G16" s="255" t="s">
        <v>14</v>
      </c>
      <c r="H16" s="252" t="s">
        <v>16</v>
      </c>
      <c r="I16" s="255">
        <v>4</v>
      </c>
      <c r="J16" s="255" t="s">
        <v>129</v>
      </c>
      <c r="K16" s="255" t="s">
        <v>130</v>
      </c>
      <c r="L16" s="252" t="s">
        <v>132</v>
      </c>
      <c r="M16" s="252" t="s">
        <v>133</v>
      </c>
    </row>
    <row r="17" spans="1:13" x14ac:dyDescent="0.2">
      <c r="A17" s="252" t="s">
        <v>126</v>
      </c>
      <c r="B17" s="252" t="s">
        <v>127</v>
      </c>
      <c r="C17" s="252" t="s">
        <v>12</v>
      </c>
      <c r="D17" s="252" t="s">
        <v>13</v>
      </c>
      <c r="E17" s="253">
        <v>43194</v>
      </c>
      <c r="F17" s="254">
        <v>12.83526</v>
      </c>
      <c r="G17" s="255" t="s">
        <v>15</v>
      </c>
      <c r="H17" s="252" t="s">
        <v>16</v>
      </c>
      <c r="I17" s="255">
        <v>4</v>
      </c>
      <c r="J17" s="255" t="s">
        <v>129</v>
      </c>
      <c r="K17" s="255" t="s">
        <v>130</v>
      </c>
      <c r="L17" s="252" t="s">
        <v>132</v>
      </c>
      <c r="M17" s="252" t="s">
        <v>133</v>
      </c>
    </row>
    <row r="18" spans="1:13" x14ac:dyDescent="0.2">
      <c r="A18" s="252" t="s">
        <v>126</v>
      </c>
      <c r="B18" s="252" t="s">
        <v>127</v>
      </c>
      <c r="C18" s="252" t="s">
        <v>12</v>
      </c>
      <c r="D18" s="252" t="s">
        <v>13</v>
      </c>
      <c r="E18" s="253">
        <v>43187</v>
      </c>
      <c r="F18" s="254">
        <v>34.700000000000003</v>
      </c>
      <c r="G18" s="255" t="s">
        <v>14</v>
      </c>
      <c r="H18" s="252" t="s">
        <v>128</v>
      </c>
      <c r="I18" s="255">
        <v>1</v>
      </c>
      <c r="J18" s="255" t="s">
        <v>129</v>
      </c>
      <c r="K18" s="255" t="s">
        <v>130</v>
      </c>
      <c r="L18" s="252" t="s">
        <v>131</v>
      </c>
      <c r="M18" s="252" t="s">
        <v>128</v>
      </c>
    </row>
    <row r="19" spans="1:13" x14ac:dyDescent="0.2">
      <c r="A19" s="252" t="s">
        <v>126</v>
      </c>
      <c r="B19" s="252" t="s">
        <v>127</v>
      </c>
      <c r="C19" s="252" t="s">
        <v>12</v>
      </c>
      <c r="D19" s="252" t="s">
        <v>13</v>
      </c>
      <c r="E19" s="253">
        <v>43187</v>
      </c>
      <c r="F19" s="254">
        <v>48.040067999999998</v>
      </c>
      <c r="G19" s="255" t="s">
        <v>15</v>
      </c>
      <c r="H19" s="252" t="s">
        <v>128</v>
      </c>
      <c r="I19" s="255">
        <v>1</v>
      </c>
      <c r="J19" s="255" t="s">
        <v>129</v>
      </c>
      <c r="K19" s="255" t="s">
        <v>130</v>
      </c>
      <c r="L19" s="252" t="s">
        <v>131</v>
      </c>
      <c r="M19" s="252" t="s">
        <v>128</v>
      </c>
    </row>
    <row r="20" spans="1:13" x14ac:dyDescent="0.2">
      <c r="A20" s="252" t="s">
        <v>126</v>
      </c>
      <c r="B20" s="252" t="s">
        <v>127</v>
      </c>
      <c r="C20" s="252" t="s">
        <v>12</v>
      </c>
      <c r="D20" s="252" t="s">
        <v>13</v>
      </c>
      <c r="E20" s="253">
        <v>43187</v>
      </c>
      <c r="F20" s="254">
        <v>9.3000000000000007</v>
      </c>
      <c r="G20" s="255" t="s">
        <v>14</v>
      </c>
      <c r="H20" s="252" t="s">
        <v>16</v>
      </c>
      <c r="I20" s="255">
        <v>4</v>
      </c>
      <c r="J20" s="255" t="s">
        <v>129</v>
      </c>
      <c r="K20" s="255" t="s">
        <v>130</v>
      </c>
      <c r="L20" s="252" t="s">
        <v>132</v>
      </c>
      <c r="M20" s="252" t="s">
        <v>133</v>
      </c>
    </row>
    <row r="21" spans="1:13" x14ac:dyDescent="0.2">
      <c r="A21" s="252" t="s">
        <v>126</v>
      </c>
      <c r="B21" s="252" t="s">
        <v>127</v>
      </c>
      <c r="C21" s="252" t="s">
        <v>12</v>
      </c>
      <c r="D21" s="252" t="s">
        <v>13</v>
      </c>
      <c r="E21" s="253">
        <v>43187</v>
      </c>
      <c r="F21" s="254">
        <v>25.207650000000001</v>
      </c>
      <c r="G21" s="255" t="s">
        <v>15</v>
      </c>
      <c r="H21" s="252" t="s">
        <v>16</v>
      </c>
      <c r="I21" s="255">
        <v>4</v>
      </c>
      <c r="J21" s="255" t="s">
        <v>129</v>
      </c>
      <c r="K21" s="255" t="s">
        <v>130</v>
      </c>
      <c r="L21" s="252" t="s">
        <v>132</v>
      </c>
      <c r="M21" s="252" t="s">
        <v>133</v>
      </c>
    </row>
    <row r="22" spans="1:13" x14ac:dyDescent="0.2">
      <c r="A22" s="252" t="s">
        <v>126</v>
      </c>
      <c r="B22" s="252" t="s">
        <v>127</v>
      </c>
      <c r="C22" s="252" t="s">
        <v>12</v>
      </c>
      <c r="D22" s="252" t="s">
        <v>13</v>
      </c>
      <c r="E22" s="253">
        <v>43180</v>
      </c>
      <c r="F22" s="254">
        <v>26.5</v>
      </c>
      <c r="G22" s="255" t="s">
        <v>14</v>
      </c>
      <c r="H22" s="252" t="s">
        <v>128</v>
      </c>
      <c r="I22" s="255">
        <v>1</v>
      </c>
      <c r="J22" s="255" t="s">
        <v>129</v>
      </c>
      <c r="K22" s="255" t="s">
        <v>130</v>
      </c>
      <c r="L22" s="252" t="s">
        <v>131</v>
      </c>
      <c r="M22" s="252" t="s">
        <v>128</v>
      </c>
    </row>
    <row r="23" spans="1:13" x14ac:dyDescent="0.2">
      <c r="A23" s="252" t="s">
        <v>126</v>
      </c>
      <c r="B23" s="252" t="s">
        <v>127</v>
      </c>
      <c r="C23" s="252" t="s">
        <v>12</v>
      </c>
      <c r="D23" s="252" t="s">
        <v>13</v>
      </c>
      <c r="E23" s="253">
        <v>43180</v>
      </c>
      <c r="F23" s="254">
        <v>32.709479999999999</v>
      </c>
      <c r="G23" s="255" t="s">
        <v>15</v>
      </c>
      <c r="H23" s="252" t="s">
        <v>128</v>
      </c>
      <c r="I23" s="255">
        <v>1</v>
      </c>
      <c r="J23" s="255" t="s">
        <v>129</v>
      </c>
      <c r="K23" s="255" t="s">
        <v>130</v>
      </c>
      <c r="L23" s="252" t="s">
        <v>131</v>
      </c>
      <c r="M23" s="252" t="s">
        <v>128</v>
      </c>
    </row>
    <row r="24" spans="1:13" x14ac:dyDescent="0.2">
      <c r="A24" s="252" t="s">
        <v>126</v>
      </c>
      <c r="B24" s="252" t="s">
        <v>127</v>
      </c>
      <c r="C24" s="252" t="s">
        <v>12</v>
      </c>
      <c r="D24" s="252" t="s">
        <v>13</v>
      </c>
      <c r="E24" s="253">
        <v>43180</v>
      </c>
      <c r="F24" s="254">
        <v>6.7</v>
      </c>
      <c r="G24" s="255" t="s">
        <v>14</v>
      </c>
      <c r="H24" s="252" t="s">
        <v>16</v>
      </c>
      <c r="I24" s="255">
        <v>4</v>
      </c>
      <c r="J24" s="255" t="s">
        <v>129</v>
      </c>
      <c r="K24" s="255" t="s">
        <v>130</v>
      </c>
      <c r="L24" s="252" t="s">
        <v>132</v>
      </c>
      <c r="M24" s="252" t="s">
        <v>133</v>
      </c>
    </row>
    <row r="25" spans="1:13" x14ac:dyDescent="0.2">
      <c r="A25" s="252" t="s">
        <v>126</v>
      </c>
      <c r="B25" s="252" t="s">
        <v>127</v>
      </c>
      <c r="C25" s="252" t="s">
        <v>12</v>
      </c>
      <c r="D25" s="252" t="s">
        <v>13</v>
      </c>
      <c r="E25" s="253">
        <v>43180</v>
      </c>
      <c r="F25" s="254">
        <v>6.3700919999999996</v>
      </c>
      <c r="G25" s="255" t="s">
        <v>15</v>
      </c>
      <c r="H25" s="252" t="s">
        <v>16</v>
      </c>
      <c r="I25" s="255">
        <v>4</v>
      </c>
      <c r="J25" s="255" t="s">
        <v>129</v>
      </c>
      <c r="K25" s="255" t="s">
        <v>130</v>
      </c>
      <c r="L25" s="252" t="s">
        <v>132</v>
      </c>
      <c r="M25" s="252" t="s">
        <v>133</v>
      </c>
    </row>
    <row r="26" spans="1:13" x14ac:dyDescent="0.2">
      <c r="A26" s="252" t="s">
        <v>126</v>
      </c>
      <c r="B26" s="252" t="s">
        <v>127</v>
      </c>
      <c r="C26" s="252" t="s">
        <v>12</v>
      </c>
      <c r="D26" s="252" t="s">
        <v>13</v>
      </c>
      <c r="E26" s="253">
        <v>43173</v>
      </c>
      <c r="F26" s="254">
        <v>41.2</v>
      </c>
      <c r="G26" s="255" t="s">
        <v>14</v>
      </c>
      <c r="H26" s="252" t="s">
        <v>128</v>
      </c>
      <c r="I26" s="255">
        <v>1</v>
      </c>
      <c r="J26" s="255" t="s">
        <v>129</v>
      </c>
      <c r="K26" s="255" t="s">
        <v>130</v>
      </c>
      <c r="L26" s="252" t="s">
        <v>131</v>
      </c>
      <c r="M26" s="252" t="s">
        <v>128</v>
      </c>
    </row>
    <row r="27" spans="1:13" x14ac:dyDescent="0.2">
      <c r="A27" s="252" t="s">
        <v>126</v>
      </c>
      <c r="B27" s="252" t="s">
        <v>127</v>
      </c>
      <c r="C27" s="252" t="s">
        <v>12</v>
      </c>
      <c r="D27" s="252" t="s">
        <v>13</v>
      </c>
      <c r="E27" s="253">
        <v>43173</v>
      </c>
      <c r="F27" s="254">
        <v>50.166767999999998</v>
      </c>
      <c r="G27" s="255" t="s">
        <v>15</v>
      </c>
      <c r="H27" s="252" t="s">
        <v>128</v>
      </c>
      <c r="I27" s="255">
        <v>1</v>
      </c>
      <c r="J27" s="255" t="s">
        <v>129</v>
      </c>
      <c r="K27" s="255" t="s">
        <v>130</v>
      </c>
      <c r="L27" s="252" t="s">
        <v>131</v>
      </c>
      <c r="M27" s="252" t="s">
        <v>128</v>
      </c>
    </row>
    <row r="28" spans="1:13" x14ac:dyDescent="0.2">
      <c r="A28" s="252" t="s">
        <v>126</v>
      </c>
      <c r="B28" s="252" t="s">
        <v>127</v>
      </c>
      <c r="C28" s="252" t="s">
        <v>12</v>
      </c>
      <c r="D28" s="252" t="s">
        <v>13</v>
      </c>
      <c r="E28" s="253">
        <v>43173</v>
      </c>
      <c r="F28" s="254">
        <v>8.1999999999999993</v>
      </c>
      <c r="G28" s="255" t="s">
        <v>14</v>
      </c>
      <c r="H28" s="252" t="s">
        <v>16</v>
      </c>
      <c r="I28" s="255">
        <v>4</v>
      </c>
      <c r="J28" s="255" t="s">
        <v>129</v>
      </c>
      <c r="K28" s="255" t="s">
        <v>130</v>
      </c>
      <c r="L28" s="252" t="s">
        <v>132</v>
      </c>
      <c r="M28" s="252" t="s">
        <v>133</v>
      </c>
    </row>
    <row r="29" spans="1:13" x14ac:dyDescent="0.2">
      <c r="A29" s="252" t="s">
        <v>126</v>
      </c>
      <c r="B29" s="252" t="s">
        <v>127</v>
      </c>
      <c r="C29" s="252" t="s">
        <v>12</v>
      </c>
      <c r="D29" s="252" t="s">
        <v>13</v>
      </c>
      <c r="E29" s="253">
        <v>43173</v>
      </c>
      <c r="F29" s="254">
        <v>6.291696</v>
      </c>
      <c r="G29" s="255" t="s">
        <v>15</v>
      </c>
      <c r="H29" s="252" t="s">
        <v>16</v>
      </c>
      <c r="I29" s="255">
        <v>4</v>
      </c>
      <c r="J29" s="255" t="s">
        <v>129</v>
      </c>
      <c r="K29" s="255" t="s">
        <v>130</v>
      </c>
      <c r="L29" s="252" t="s">
        <v>132</v>
      </c>
      <c r="M29" s="252" t="s">
        <v>133</v>
      </c>
    </row>
    <row r="30" spans="1:13" x14ac:dyDescent="0.2">
      <c r="A30" s="252" t="s">
        <v>126</v>
      </c>
      <c r="B30" s="252" t="s">
        <v>127</v>
      </c>
      <c r="C30" s="252" t="s">
        <v>12</v>
      </c>
      <c r="D30" s="252" t="s">
        <v>13</v>
      </c>
      <c r="E30" s="253">
        <v>43166</v>
      </c>
      <c r="F30" s="254">
        <v>34.4</v>
      </c>
      <c r="G30" s="255" t="s">
        <v>14</v>
      </c>
      <c r="H30" s="252" t="s">
        <v>128</v>
      </c>
      <c r="I30" s="255">
        <v>1</v>
      </c>
      <c r="J30" s="255" t="s">
        <v>129</v>
      </c>
      <c r="K30" s="255" t="s">
        <v>130</v>
      </c>
      <c r="L30" s="252" t="s">
        <v>131</v>
      </c>
      <c r="M30" s="252" t="s">
        <v>128</v>
      </c>
    </row>
    <row r="31" spans="1:13" x14ac:dyDescent="0.2">
      <c r="A31" s="252" t="s">
        <v>126</v>
      </c>
      <c r="B31" s="252" t="s">
        <v>127</v>
      </c>
      <c r="C31" s="252" t="s">
        <v>12</v>
      </c>
      <c r="D31" s="252" t="s">
        <v>13</v>
      </c>
      <c r="E31" s="253">
        <v>43166</v>
      </c>
      <c r="F31" s="254">
        <v>41.599919999999997</v>
      </c>
      <c r="G31" s="255" t="s">
        <v>15</v>
      </c>
      <c r="H31" s="252" t="s">
        <v>128</v>
      </c>
      <c r="I31" s="255">
        <v>1</v>
      </c>
      <c r="J31" s="255" t="s">
        <v>129</v>
      </c>
      <c r="K31" s="255" t="s">
        <v>130</v>
      </c>
      <c r="L31" s="252" t="s">
        <v>131</v>
      </c>
      <c r="M31" s="252" t="s">
        <v>128</v>
      </c>
    </row>
    <row r="32" spans="1:13" x14ac:dyDescent="0.2">
      <c r="A32" s="252" t="s">
        <v>126</v>
      </c>
      <c r="B32" s="252" t="s">
        <v>127</v>
      </c>
      <c r="C32" s="252" t="s">
        <v>12</v>
      </c>
      <c r="D32" s="252" t="s">
        <v>13</v>
      </c>
      <c r="E32" s="253">
        <v>43166</v>
      </c>
      <c r="F32" s="254">
        <v>9</v>
      </c>
      <c r="G32" s="255" t="s">
        <v>14</v>
      </c>
      <c r="H32" s="252" t="s">
        <v>16</v>
      </c>
      <c r="I32" s="255">
        <v>4</v>
      </c>
      <c r="J32" s="255" t="s">
        <v>129</v>
      </c>
      <c r="K32" s="255" t="s">
        <v>130</v>
      </c>
      <c r="L32" s="252" t="s">
        <v>132</v>
      </c>
      <c r="M32" s="252" t="s">
        <v>133</v>
      </c>
    </row>
    <row r="33" spans="1:13" x14ac:dyDescent="0.2">
      <c r="A33" s="252" t="s">
        <v>126</v>
      </c>
      <c r="B33" s="252" t="s">
        <v>127</v>
      </c>
      <c r="C33" s="252" t="s">
        <v>12</v>
      </c>
      <c r="D33" s="252" t="s">
        <v>13</v>
      </c>
      <c r="E33" s="253">
        <v>43166</v>
      </c>
      <c r="F33" s="254">
        <v>19.1403</v>
      </c>
      <c r="G33" s="255" t="s">
        <v>15</v>
      </c>
      <c r="H33" s="252" t="s">
        <v>16</v>
      </c>
      <c r="I33" s="255">
        <v>4</v>
      </c>
      <c r="J33" s="255" t="s">
        <v>129</v>
      </c>
      <c r="K33" s="255" t="s">
        <v>130</v>
      </c>
      <c r="L33" s="252" t="s">
        <v>132</v>
      </c>
      <c r="M33" s="252" t="s">
        <v>133</v>
      </c>
    </row>
    <row r="34" spans="1:13" x14ac:dyDescent="0.2">
      <c r="A34" s="252" t="s">
        <v>126</v>
      </c>
      <c r="B34" s="252" t="s">
        <v>127</v>
      </c>
      <c r="C34" s="252" t="s">
        <v>12</v>
      </c>
      <c r="D34" s="252" t="s">
        <v>13</v>
      </c>
      <c r="E34" s="253">
        <v>43159</v>
      </c>
      <c r="F34" s="254">
        <v>37.5</v>
      </c>
      <c r="G34" s="255" t="s">
        <v>14</v>
      </c>
      <c r="H34" s="252" t="s">
        <v>128</v>
      </c>
      <c r="I34" s="255">
        <v>1</v>
      </c>
      <c r="J34" s="255" t="s">
        <v>129</v>
      </c>
      <c r="K34" s="255" t="s">
        <v>130</v>
      </c>
      <c r="L34" s="252" t="s">
        <v>131</v>
      </c>
      <c r="M34" s="252" t="s">
        <v>128</v>
      </c>
    </row>
    <row r="35" spans="1:13" x14ac:dyDescent="0.2">
      <c r="A35" s="252" t="s">
        <v>126</v>
      </c>
      <c r="B35" s="252" t="s">
        <v>127</v>
      </c>
      <c r="C35" s="252" t="s">
        <v>12</v>
      </c>
      <c r="D35" s="252" t="s">
        <v>13</v>
      </c>
      <c r="E35" s="253">
        <v>43159</v>
      </c>
      <c r="F35" s="254">
        <v>42.221249999999998</v>
      </c>
      <c r="G35" s="255" t="s">
        <v>15</v>
      </c>
      <c r="H35" s="252" t="s">
        <v>128</v>
      </c>
      <c r="I35" s="255">
        <v>1</v>
      </c>
      <c r="J35" s="255" t="s">
        <v>129</v>
      </c>
      <c r="K35" s="255" t="s">
        <v>130</v>
      </c>
      <c r="L35" s="252" t="s">
        <v>131</v>
      </c>
      <c r="M35" s="252" t="s">
        <v>128</v>
      </c>
    </row>
    <row r="36" spans="1:13" x14ac:dyDescent="0.2">
      <c r="A36" s="252" t="s">
        <v>126</v>
      </c>
      <c r="B36" s="252" t="s">
        <v>127</v>
      </c>
      <c r="C36" s="252" t="s">
        <v>12</v>
      </c>
      <c r="D36" s="252" t="s">
        <v>13</v>
      </c>
      <c r="E36" s="253">
        <v>43159</v>
      </c>
      <c r="F36" s="254">
        <v>9.9</v>
      </c>
      <c r="G36" s="255" t="s">
        <v>14</v>
      </c>
      <c r="H36" s="252" t="s">
        <v>16</v>
      </c>
      <c r="I36" s="255">
        <v>4</v>
      </c>
      <c r="J36" s="255" t="s">
        <v>129</v>
      </c>
      <c r="K36" s="255" t="s">
        <v>130</v>
      </c>
      <c r="L36" s="252" t="s">
        <v>132</v>
      </c>
      <c r="M36" s="252" t="s">
        <v>133</v>
      </c>
    </row>
    <row r="37" spans="1:13" x14ac:dyDescent="0.2">
      <c r="A37" s="252" t="s">
        <v>126</v>
      </c>
      <c r="B37" s="252" t="s">
        <v>127</v>
      </c>
      <c r="C37" s="252" t="s">
        <v>12</v>
      </c>
      <c r="D37" s="252" t="s">
        <v>13</v>
      </c>
      <c r="E37" s="253">
        <v>43159</v>
      </c>
      <c r="F37" s="254">
        <v>10.73358</v>
      </c>
      <c r="G37" s="255" t="s">
        <v>15</v>
      </c>
      <c r="H37" s="252" t="s">
        <v>16</v>
      </c>
      <c r="I37" s="255">
        <v>4</v>
      </c>
      <c r="J37" s="255" t="s">
        <v>129</v>
      </c>
      <c r="K37" s="255" t="s">
        <v>130</v>
      </c>
      <c r="L37" s="252" t="s">
        <v>132</v>
      </c>
      <c r="M37" s="252" t="s">
        <v>133</v>
      </c>
    </row>
    <row r="38" spans="1:13" x14ac:dyDescent="0.2">
      <c r="A38" s="252" t="s">
        <v>126</v>
      </c>
      <c r="B38" s="252" t="s">
        <v>127</v>
      </c>
      <c r="C38" s="252" t="s">
        <v>12</v>
      </c>
      <c r="D38" s="252" t="s">
        <v>13</v>
      </c>
      <c r="E38" s="253">
        <v>43152</v>
      </c>
      <c r="F38" s="254">
        <v>20.3</v>
      </c>
      <c r="G38" s="255" t="s">
        <v>14</v>
      </c>
      <c r="H38" s="252" t="s">
        <v>128</v>
      </c>
      <c r="I38" s="255">
        <v>1</v>
      </c>
      <c r="J38" s="255" t="s">
        <v>129</v>
      </c>
      <c r="K38" s="255" t="s">
        <v>130</v>
      </c>
      <c r="L38" s="252" t="s">
        <v>131</v>
      </c>
      <c r="M38" s="252" t="s">
        <v>128</v>
      </c>
    </row>
    <row r="39" spans="1:13" x14ac:dyDescent="0.2">
      <c r="A39" s="252" t="s">
        <v>126</v>
      </c>
      <c r="B39" s="252" t="s">
        <v>127</v>
      </c>
      <c r="C39" s="252" t="s">
        <v>12</v>
      </c>
      <c r="D39" s="252" t="s">
        <v>13</v>
      </c>
      <c r="E39" s="253">
        <v>43152</v>
      </c>
      <c r="F39" s="254">
        <v>33.860399999999998</v>
      </c>
      <c r="G39" s="255" t="s">
        <v>15</v>
      </c>
      <c r="H39" s="252" t="s">
        <v>128</v>
      </c>
      <c r="I39" s="255">
        <v>1</v>
      </c>
      <c r="J39" s="255" t="s">
        <v>129</v>
      </c>
      <c r="K39" s="255" t="s">
        <v>130</v>
      </c>
      <c r="L39" s="252" t="s">
        <v>131</v>
      </c>
      <c r="M39" s="252" t="s">
        <v>128</v>
      </c>
    </row>
    <row r="40" spans="1:13" x14ac:dyDescent="0.2">
      <c r="A40" s="252" t="s">
        <v>126</v>
      </c>
      <c r="B40" s="252" t="s">
        <v>127</v>
      </c>
      <c r="C40" s="252" t="s">
        <v>12</v>
      </c>
      <c r="D40" s="252" t="s">
        <v>13</v>
      </c>
      <c r="E40" s="253">
        <v>43152</v>
      </c>
      <c r="F40" s="254">
        <v>9.9</v>
      </c>
      <c r="G40" s="255" t="s">
        <v>14</v>
      </c>
      <c r="H40" s="252" t="s">
        <v>16</v>
      </c>
      <c r="I40" s="255">
        <v>4</v>
      </c>
      <c r="J40" s="255" t="s">
        <v>129</v>
      </c>
      <c r="K40" s="255" t="s">
        <v>130</v>
      </c>
      <c r="L40" s="252" t="s">
        <v>132</v>
      </c>
      <c r="M40" s="252" t="s">
        <v>133</v>
      </c>
    </row>
    <row r="41" spans="1:13" x14ac:dyDescent="0.2">
      <c r="A41" s="252" t="s">
        <v>126</v>
      </c>
      <c r="B41" s="252" t="s">
        <v>127</v>
      </c>
      <c r="C41" s="252" t="s">
        <v>12</v>
      </c>
      <c r="D41" s="252" t="s">
        <v>13</v>
      </c>
      <c r="E41" s="253">
        <v>43152</v>
      </c>
      <c r="F41" s="254">
        <v>50.695523999999999</v>
      </c>
      <c r="G41" s="255" t="s">
        <v>15</v>
      </c>
      <c r="H41" s="252" t="s">
        <v>16</v>
      </c>
      <c r="I41" s="255">
        <v>4</v>
      </c>
      <c r="J41" s="255" t="s">
        <v>129</v>
      </c>
      <c r="K41" s="255" t="s">
        <v>130</v>
      </c>
      <c r="L41" s="252" t="s">
        <v>132</v>
      </c>
      <c r="M41" s="252" t="s">
        <v>133</v>
      </c>
    </row>
    <row r="42" spans="1:13" x14ac:dyDescent="0.2">
      <c r="A42" s="252" t="s">
        <v>126</v>
      </c>
      <c r="B42" s="252" t="s">
        <v>127</v>
      </c>
      <c r="C42" s="252" t="s">
        <v>12</v>
      </c>
      <c r="D42" s="252" t="s">
        <v>13</v>
      </c>
      <c r="E42" s="253">
        <v>43145</v>
      </c>
      <c r="F42" s="254">
        <v>28.8</v>
      </c>
      <c r="G42" s="255" t="s">
        <v>14</v>
      </c>
      <c r="H42" s="252" t="s">
        <v>128</v>
      </c>
      <c r="I42" s="255">
        <v>1</v>
      </c>
      <c r="J42" s="255" t="s">
        <v>129</v>
      </c>
      <c r="K42" s="255" t="s">
        <v>130</v>
      </c>
      <c r="L42" s="252" t="s">
        <v>131</v>
      </c>
      <c r="M42" s="252" t="s">
        <v>128</v>
      </c>
    </row>
    <row r="43" spans="1:13" x14ac:dyDescent="0.2">
      <c r="A43" s="252" t="s">
        <v>126</v>
      </c>
      <c r="B43" s="252" t="s">
        <v>127</v>
      </c>
      <c r="C43" s="252" t="s">
        <v>12</v>
      </c>
      <c r="D43" s="252" t="s">
        <v>13</v>
      </c>
      <c r="E43" s="253">
        <v>43145</v>
      </c>
      <c r="F43" s="254">
        <v>36.268991999999997</v>
      </c>
      <c r="G43" s="255" t="s">
        <v>15</v>
      </c>
      <c r="H43" s="252" t="s">
        <v>128</v>
      </c>
      <c r="I43" s="255">
        <v>1</v>
      </c>
      <c r="J43" s="255" t="s">
        <v>129</v>
      </c>
      <c r="K43" s="255" t="s">
        <v>130</v>
      </c>
      <c r="L43" s="252" t="s">
        <v>131</v>
      </c>
      <c r="M43" s="252" t="s">
        <v>128</v>
      </c>
    </row>
    <row r="44" spans="1:13" x14ac:dyDescent="0.2">
      <c r="A44" s="252" t="s">
        <v>126</v>
      </c>
      <c r="B44" s="252" t="s">
        <v>127</v>
      </c>
      <c r="C44" s="252" t="s">
        <v>12</v>
      </c>
      <c r="D44" s="252" t="s">
        <v>13</v>
      </c>
      <c r="E44" s="253">
        <v>43145</v>
      </c>
      <c r="F44" s="254">
        <v>9.6</v>
      </c>
      <c r="G44" s="255" t="s">
        <v>14</v>
      </c>
      <c r="H44" s="252" t="s">
        <v>16</v>
      </c>
      <c r="I44" s="255">
        <v>4</v>
      </c>
      <c r="J44" s="255" t="s">
        <v>129</v>
      </c>
      <c r="K44" s="255" t="s">
        <v>130</v>
      </c>
      <c r="L44" s="252" t="s">
        <v>132</v>
      </c>
      <c r="M44" s="252" t="s">
        <v>133</v>
      </c>
    </row>
    <row r="45" spans="1:13" x14ac:dyDescent="0.2">
      <c r="A45" s="252" t="s">
        <v>126</v>
      </c>
      <c r="B45" s="252" t="s">
        <v>127</v>
      </c>
      <c r="C45" s="252" t="s">
        <v>12</v>
      </c>
      <c r="D45" s="252" t="s">
        <v>13</v>
      </c>
      <c r="E45" s="253">
        <v>43145</v>
      </c>
      <c r="F45" s="254">
        <v>11.048832000000001</v>
      </c>
      <c r="G45" s="255" t="s">
        <v>15</v>
      </c>
      <c r="H45" s="252" t="s">
        <v>16</v>
      </c>
      <c r="I45" s="255">
        <v>4</v>
      </c>
      <c r="J45" s="255" t="s">
        <v>129</v>
      </c>
      <c r="K45" s="255" t="s">
        <v>130</v>
      </c>
      <c r="L45" s="252" t="s">
        <v>132</v>
      </c>
      <c r="M45" s="252" t="s">
        <v>133</v>
      </c>
    </row>
    <row r="46" spans="1:13" x14ac:dyDescent="0.2">
      <c r="A46" s="252" t="s">
        <v>126</v>
      </c>
      <c r="B46" s="252" t="s">
        <v>127</v>
      </c>
      <c r="C46" s="252" t="s">
        <v>12</v>
      </c>
      <c r="D46" s="252" t="s">
        <v>13</v>
      </c>
      <c r="E46" s="253">
        <v>43138</v>
      </c>
      <c r="F46" s="254">
        <v>46.1</v>
      </c>
      <c r="G46" s="255" t="s">
        <v>14</v>
      </c>
      <c r="H46" s="252" t="s">
        <v>128</v>
      </c>
      <c r="I46" s="255">
        <v>1</v>
      </c>
      <c r="J46" s="255" t="s">
        <v>129</v>
      </c>
      <c r="K46" s="255" t="s">
        <v>130</v>
      </c>
      <c r="L46" s="252" t="s">
        <v>131</v>
      </c>
      <c r="M46" s="252" t="s">
        <v>128</v>
      </c>
    </row>
    <row r="47" spans="1:13" x14ac:dyDescent="0.2">
      <c r="A47" s="252" t="s">
        <v>126</v>
      </c>
      <c r="B47" s="252" t="s">
        <v>127</v>
      </c>
      <c r="C47" s="252" t="s">
        <v>12</v>
      </c>
      <c r="D47" s="252" t="s">
        <v>13</v>
      </c>
      <c r="E47" s="253">
        <v>43138</v>
      </c>
      <c r="F47" s="254">
        <v>47.674776000000001</v>
      </c>
      <c r="G47" s="255" t="s">
        <v>15</v>
      </c>
      <c r="H47" s="252" t="s">
        <v>128</v>
      </c>
      <c r="I47" s="255">
        <v>1</v>
      </c>
      <c r="J47" s="255" t="s">
        <v>129</v>
      </c>
      <c r="K47" s="255" t="s">
        <v>130</v>
      </c>
      <c r="L47" s="252" t="s">
        <v>131</v>
      </c>
      <c r="M47" s="252" t="s">
        <v>128</v>
      </c>
    </row>
    <row r="48" spans="1:13" x14ac:dyDescent="0.2">
      <c r="A48" s="252" t="s">
        <v>126</v>
      </c>
      <c r="B48" s="252" t="s">
        <v>127</v>
      </c>
      <c r="C48" s="252" t="s">
        <v>12</v>
      </c>
      <c r="D48" s="252" t="s">
        <v>13</v>
      </c>
      <c r="E48" s="253">
        <v>43138</v>
      </c>
      <c r="F48" s="254">
        <v>4.8</v>
      </c>
      <c r="G48" s="255" t="s">
        <v>14</v>
      </c>
      <c r="H48" s="252" t="s">
        <v>16</v>
      </c>
      <c r="I48" s="255">
        <v>4</v>
      </c>
      <c r="J48" s="255" t="s">
        <v>129</v>
      </c>
      <c r="K48" s="255" t="s">
        <v>130</v>
      </c>
      <c r="L48" s="252" t="s">
        <v>132</v>
      </c>
      <c r="M48" s="252" t="s">
        <v>133</v>
      </c>
    </row>
    <row r="49" spans="1:13" x14ac:dyDescent="0.2">
      <c r="A49" s="252" t="s">
        <v>126</v>
      </c>
      <c r="B49" s="252" t="s">
        <v>127</v>
      </c>
      <c r="C49" s="252" t="s">
        <v>12</v>
      </c>
      <c r="D49" s="252" t="s">
        <v>13</v>
      </c>
      <c r="E49" s="253">
        <v>43138</v>
      </c>
      <c r="F49" s="254">
        <v>6.5652480000000004</v>
      </c>
      <c r="G49" s="255" t="s">
        <v>15</v>
      </c>
      <c r="H49" s="252" t="s">
        <v>16</v>
      </c>
      <c r="I49" s="255">
        <v>4</v>
      </c>
      <c r="J49" s="255" t="s">
        <v>129</v>
      </c>
      <c r="K49" s="255" t="s">
        <v>130</v>
      </c>
      <c r="L49" s="252" t="s">
        <v>132</v>
      </c>
      <c r="M49" s="252" t="s">
        <v>133</v>
      </c>
    </row>
    <row r="50" spans="1:13" x14ac:dyDescent="0.2">
      <c r="A50" s="252" t="s">
        <v>126</v>
      </c>
      <c r="B50" s="252" t="s">
        <v>127</v>
      </c>
      <c r="C50" s="252" t="s">
        <v>12</v>
      </c>
      <c r="D50" s="252" t="s">
        <v>13</v>
      </c>
      <c r="E50" s="253">
        <v>43131</v>
      </c>
      <c r="F50" s="254">
        <v>44.7</v>
      </c>
      <c r="G50" s="255" t="s">
        <v>14</v>
      </c>
      <c r="H50" s="252" t="s">
        <v>128</v>
      </c>
      <c r="I50" s="255">
        <v>1</v>
      </c>
      <c r="J50" s="255" t="s">
        <v>129</v>
      </c>
      <c r="K50" s="255" t="s">
        <v>130</v>
      </c>
      <c r="L50" s="252" t="s">
        <v>131</v>
      </c>
      <c r="M50" s="252" t="s">
        <v>128</v>
      </c>
    </row>
    <row r="51" spans="1:13" x14ac:dyDescent="0.2">
      <c r="A51" s="252" t="s">
        <v>126</v>
      </c>
      <c r="B51" s="252" t="s">
        <v>127</v>
      </c>
      <c r="C51" s="252" t="s">
        <v>12</v>
      </c>
      <c r="D51" s="252" t="s">
        <v>13</v>
      </c>
      <c r="E51" s="253">
        <v>43131</v>
      </c>
      <c r="F51" s="254">
        <v>51.446123999999998</v>
      </c>
      <c r="G51" s="255" t="s">
        <v>15</v>
      </c>
      <c r="H51" s="252" t="s">
        <v>128</v>
      </c>
      <c r="I51" s="255">
        <v>1</v>
      </c>
      <c r="J51" s="255" t="s">
        <v>129</v>
      </c>
      <c r="K51" s="255" t="s">
        <v>130</v>
      </c>
      <c r="L51" s="252" t="s">
        <v>131</v>
      </c>
      <c r="M51" s="252" t="s">
        <v>128</v>
      </c>
    </row>
    <row r="52" spans="1:13" x14ac:dyDescent="0.2">
      <c r="A52" s="252" t="s">
        <v>126</v>
      </c>
      <c r="B52" s="252" t="s">
        <v>127</v>
      </c>
      <c r="C52" s="252" t="s">
        <v>12</v>
      </c>
      <c r="D52" s="252" t="s">
        <v>13</v>
      </c>
      <c r="E52" s="253">
        <v>43131</v>
      </c>
      <c r="F52" s="254">
        <v>6.5</v>
      </c>
      <c r="G52" s="255" t="s">
        <v>14</v>
      </c>
      <c r="H52" s="252" t="s">
        <v>16</v>
      </c>
      <c r="I52" s="255">
        <v>4</v>
      </c>
      <c r="J52" s="255" t="s">
        <v>129</v>
      </c>
      <c r="K52" s="255" t="s">
        <v>130</v>
      </c>
      <c r="L52" s="252" t="s">
        <v>132</v>
      </c>
      <c r="M52" s="252" t="s">
        <v>133</v>
      </c>
    </row>
    <row r="53" spans="1:13" x14ac:dyDescent="0.2">
      <c r="A53" s="252" t="s">
        <v>126</v>
      </c>
      <c r="B53" s="252" t="s">
        <v>127</v>
      </c>
      <c r="C53" s="252" t="s">
        <v>12</v>
      </c>
      <c r="D53" s="252" t="s">
        <v>13</v>
      </c>
      <c r="E53" s="253">
        <v>43131</v>
      </c>
      <c r="F53" s="254">
        <v>6.3425700000000003</v>
      </c>
      <c r="G53" s="255" t="s">
        <v>15</v>
      </c>
      <c r="H53" s="252" t="s">
        <v>16</v>
      </c>
      <c r="I53" s="255">
        <v>4</v>
      </c>
      <c r="J53" s="255" t="s">
        <v>129</v>
      </c>
      <c r="K53" s="255" t="s">
        <v>130</v>
      </c>
      <c r="L53" s="252" t="s">
        <v>132</v>
      </c>
      <c r="M53" s="252" t="s">
        <v>133</v>
      </c>
    </row>
    <row r="54" spans="1:13" x14ac:dyDescent="0.2">
      <c r="A54" s="252" t="s">
        <v>126</v>
      </c>
      <c r="B54" s="252" t="s">
        <v>127</v>
      </c>
      <c r="C54" s="252" t="s">
        <v>12</v>
      </c>
      <c r="D54" s="252" t="s">
        <v>13</v>
      </c>
      <c r="E54" s="253">
        <v>43124</v>
      </c>
      <c r="F54" s="254">
        <v>42.5</v>
      </c>
      <c r="G54" s="255" t="s">
        <v>14</v>
      </c>
      <c r="H54" s="252" t="s">
        <v>128</v>
      </c>
      <c r="I54" s="255">
        <v>1</v>
      </c>
      <c r="J54" s="255" t="s">
        <v>129</v>
      </c>
      <c r="K54" s="255" t="s">
        <v>130</v>
      </c>
      <c r="L54" s="252" t="s">
        <v>131</v>
      </c>
      <c r="M54" s="252" t="s">
        <v>128</v>
      </c>
    </row>
    <row r="55" spans="1:13" x14ac:dyDescent="0.2">
      <c r="A55" s="252" t="s">
        <v>126</v>
      </c>
      <c r="B55" s="252" t="s">
        <v>127</v>
      </c>
      <c r="C55" s="252" t="s">
        <v>12</v>
      </c>
      <c r="D55" s="252" t="s">
        <v>13</v>
      </c>
      <c r="E55" s="253">
        <v>43124</v>
      </c>
      <c r="F55" s="254">
        <v>52.104149999999997</v>
      </c>
      <c r="G55" s="255" t="s">
        <v>15</v>
      </c>
      <c r="H55" s="252" t="s">
        <v>128</v>
      </c>
      <c r="I55" s="255">
        <v>1</v>
      </c>
      <c r="J55" s="255" t="s">
        <v>129</v>
      </c>
      <c r="K55" s="255" t="s">
        <v>130</v>
      </c>
      <c r="L55" s="252" t="s">
        <v>131</v>
      </c>
      <c r="M55" s="252" t="s">
        <v>128</v>
      </c>
    </row>
    <row r="56" spans="1:13" x14ac:dyDescent="0.2">
      <c r="A56" s="252" t="s">
        <v>126</v>
      </c>
      <c r="B56" s="252" t="s">
        <v>127</v>
      </c>
      <c r="C56" s="252" t="s">
        <v>12</v>
      </c>
      <c r="D56" s="252" t="s">
        <v>13</v>
      </c>
      <c r="E56" s="253">
        <v>43124</v>
      </c>
      <c r="F56" s="254">
        <v>8</v>
      </c>
      <c r="G56" s="255" t="s">
        <v>14</v>
      </c>
      <c r="H56" s="252" t="s">
        <v>16</v>
      </c>
      <c r="I56" s="255">
        <v>4</v>
      </c>
      <c r="J56" s="255" t="s">
        <v>129</v>
      </c>
      <c r="K56" s="255" t="s">
        <v>130</v>
      </c>
      <c r="L56" s="252" t="s">
        <v>132</v>
      </c>
      <c r="M56" s="252" t="s">
        <v>133</v>
      </c>
    </row>
    <row r="57" spans="1:13" x14ac:dyDescent="0.2">
      <c r="A57" s="252" t="s">
        <v>126</v>
      </c>
      <c r="B57" s="252" t="s">
        <v>127</v>
      </c>
      <c r="C57" s="252" t="s">
        <v>12</v>
      </c>
      <c r="D57" s="252" t="s">
        <v>13</v>
      </c>
      <c r="E57" s="253">
        <v>43124</v>
      </c>
      <c r="F57" s="254">
        <v>7.87296</v>
      </c>
      <c r="G57" s="255" t="s">
        <v>15</v>
      </c>
      <c r="H57" s="252" t="s">
        <v>16</v>
      </c>
      <c r="I57" s="255">
        <v>4</v>
      </c>
      <c r="J57" s="255" t="s">
        <v>129</v>
      </c>
      <c r="K57" s="255" t="s">
        <v>130</v>
      </c>
      <c r="L57" s="252" t="s">
        <v>132</v>
      </c>
      <c r="M57" s="252" t="s">
        <v>133</v>
      </c>
    </row>
    <row r="58" spans="1:13" x14ac:dyDescent="0.2">
      <c r="A58" s="252" t="s">
        <v>126</v>
      </c>
      <c r="B58" s="252" t="s">
        <v>127</v>
      </c>
      <c r="C58" s="252" t="s">
        <v>12</v>
      </c>
      <c r="D58" s="252" t="s">
        <v>13</v>
      </c>
      <c r="E58" s="253">
        <v>43117</v>
      </c>
      <c r="F58" s="254">
        <v>37.6</v>
      </c>
      <c r="G58" s="255" t="s">
        <v>14</v>
      </c>
      <c r="H58" s="252" t="s">
        <v>128</v>
      </c>
      <c r="I58" s="255">
        <v>1</v>
      </c>
      <c r="J58" s="255" t="s">
        <v>129</v>
      </c>
      <c r="K58" s="255" t="s">
        <v>130</v>
      </c>
      <c r="L58" s="252" t="s">
        <v>131</v>
      </c>
      <c r="M58" s="252" t="s">
        <v>128</v>
      </c>
    </row>
    <row r="59" spans="1:13" x14ac:dyDescent="0.2">
      <c r="A59" s="252" t="s">
        <v>126</v>
      </c>
      <c r="B59" s="252" t="s">
        <v>127</v>
      </c>
      <c r="C59" s="252" t="s">
        <v>12</v>
      </c>
      <c r="D59" s="252" t="s">
        <v>13</v>
      </c>
      <c r="E59" s="253">
        <v>43117</v>
      </c>
      <c r="F59" s="254">
        <v>47.978352000000001</v>
      </c>
      <c r="G59" s="255" t="s">
        <v>15</v>
      </c>
      <c r="H59" s="252" t="s">
        <v>128</v>
      </c>
      <c r="I59" s="255">
        <v>1</v>
      </c>
      <c r="J59" s="255" t="s">
        <v>129</v>
      </c>
      <c r="K59" s="255" t="s">
        <v>130</v>
      </c>
      <c r="L59" s="252" t="s">
        <v>131</v>
      </c>
      <c r="M59" s="252" t="s">
        <v>128</v>
      </c>
    </row>
    <row r="60" spans="1:13" x14ac:dyDescent="0.2">
      <c r="A60" s="252" t="s">
        <v>126</v>
      </c>
      <c r="B60" s="252" t="s">
        <v>127</v>
      </c>
      <c r="C60" s="252" t="s">
        <v>12</v>
      </c>
      <c r="D60" s="252" t="s">
        <v>13</v>
      </c>
      <c r="E60" s="253">
        <v>43117</v>
      </c>
      <c r="F60" s="254">
        <v>6.7</v>
      </c>
      <c r="G60" s="255" t="s">
        <v>14</v>
      </c>
      <c r="H60" s="252" t="s">
        <v>16</v>
      </c>
      <c r="I60" s="255">
        <v>4</v>
      </c>
      <c r="J60" s="255" t="s">
        <v>129</v>
      </c>
      <c r="K60" s="255" t="s">
        <v>130</v>
      </c>
      <c r="L60" s="252" t="s">
        <v>132</v>
      </c>
      <c r="M60" s="252" t="s">
        <v>133</v>
      </c>
    </row>
    <row r="61" spans="1:13" x14ac:dyDescent="0.2">
      <c r="A61" s="252" t="s">
        <v>126</v>
      </c>
      <c r="B61" s="252" t="s">
        <v>127</v>
      </c>
      <c r="C61" s="252" t="s">
        <v>12</v>
      </c>
      <c r="D61" s="252" t="s">
        <v>13</v>
      </c>
      <c r="E61" s="253">
        <v>43117</v>
      </c>
      <c r="F61" s="254">
        <v>7.0406279999999999</v>
      </c>
      <c r="G61" s="255" t="s">
        <v>15</v>
      </c>
      <c r="H61" s="252" t="s">
        <v>16</v>
      </c>
      <c r="I61" s="255">
        <v>4</v>
      </c>
      <c r="J61" s="255" t="s">
        <v>129</v>
      </c>
      <c r="K61" s="255" t="s">
        <v>130</v>
      </c>
      <c r="L61" s="252" t="s">
        <v>132</v>
      </c>
      <c r="M61" s="252" t="s">
        <v>133</v>
      </c>
    </row>
    <row r="62" spans="1:13" x14ac:dyDescent="0.2">
      <c r="A62" s="252" t="s">
        <v>126</v>
      </c>
      <c r="B62" s="252" t="s">
        <v>127</v>
      </c>
      <c r="C62" s="252" t="s">
        <v>12</v>
      </c>
      <c r="D62" s="252" t="s">
        <v>13</v>
      </c>
      <c r="E62" s="253">
        <v>43110</v>
      </c>
      <c r="F62" s="254">
        <v>41.1</v>
      </c>
      <c r="G62" s="255" t="s">
        <v>14</v>
      </c>
      <c r="H62" s="252" t="s">
        <v>128</v>
      </c>
      <c r="I62" s="255">
        <v>1</v>
      </c>
      <c r="J62" s="255" t="s">
        <v>129</v>
      </c>
      <c r="K62" s="255" t="s">
        <v>130</v>
      </c>
      <c r="L62" s="252" t="s">
        <v>131</v>
      </c>
      <c r="M62" s="252" t="s">
        <v>128</v>
      </c>
    </row>
    <row r="63" spans="1:13" x14ac:dyDescent="0.2">
      <c r="A63" s="252" t="s">
        <v>126</v>
      </c>
      <c r="B63" s="252" t="s">
        <v>127</v>
      </c>
      <c r="C63" s="252" t="s">
        <v>12</v>
      </c>
      <c r="D63" s="252" t="s">
        <v>13</v>
      </c>
      <c r="E63" s="253">
        <v>43110</v>
      </c>
      <c r="F63" s="254">
        <v>51.073326000000002</v>
      </c>
      <c r="G63" s="255" t="s">
        <v>15</v>
      </c>
      <c r="H63" s="252" t="s">
        <v>128</v>
      </c>
      <c r="I63" s="255">
        <v>1</v>
      </c>
      <c r="J63" s="255" t="s">
        <v>129</v>
      </c>
      <c r="K63" s="255" t="s">
        <v>130</v>
      </c>
      <c r="L63" s="252" t="s">
        <v>131</v>
      </c>
      <c r="M63" s="252" t="s">
        <v>128</v>
      </c>
    </row>
    <row r="64" spans="1:13" x14ac:dyDescent="0.2">
      <c r="A64" s="252" t="s">
        <v>126</v>
      </c>
      <c r="B64" s="252" t="s">
        <v>127</v>
      </c>
      <c r="C64" s="252" t="s">
        <v>12</v>
      </c>
      <c r="D64" s="252" t="s">
        <v>13</v>
      </c>
      <c r="E64" s="253">
        <v>43110</v>
      </c>
      <c r="F64" s="254">
        <v>5</v>
      </c>
      <c r="G64" s="255" t="s">
        <v>14</v>
      </c>
      <c r="H64" s="252" t="s">
        <v>16</v>
      </c>
      <c r="I64" s="255">
        <v>4</v>
      </c>
      <c r="J64" s="255" t="s">
        <v>129</v>
      </c>
      <c r="K64" s="255" t="s">
        <v>130</v>
      </c>
      <c r="L64" s="252" t="s">
        <v>132</v>
      </c>
      <c r="M64" s="252" t="s">
        <v>133</v>
      </c>
    </row>
    <row r="65" spans="1:13" x14ac:dyDescent="0.2">
      <c r="A65" s="252" t="s">
        <v>126</v>
      </c>
      <c r="B65" s="252" t="s">
        <v>127</v>
      </c>
      <c r="C65" s="252" t="s">
        <v>12</v>
      </c>
      <c r="D65" s="252" t="s">
        <v>13</v>
      </c>
      <c r="E65" s="253">
        <v>43110</v>
      </c>
      <c r="F65" s="254">
        <v>5.9630999999999998</v>
      </c>
      <c r="G65" s="255" t="s">
        <v>15</v>
      </c>
      <c r="H65" s="252" t="s">
        <v>16</v>
      </c>
      <c r="I65" s="255">
        <v>4</v>
      </c>
      <c r="J65" s="255" t="s">
        <v>129</v>
      </c>
      <c r="K65" s="255" t="s">
        <v>130</v>
      </c>
      <c r="L65" s="252" t="s">
        <v>132</v>
      </c>
      <c r="M65" s="252" t="s">
        <v>133</v>
      </c>
    </row>
    <row r="66" spans="1:13" x14ac:dyDescent="0.2">
      <c r="A66" s="252" t="s">
        <v>126</v>
      </c>
      <c r="B66" s="252" t="s">
        <v>127</v>
      </c>
      <c r="C66" s="252" t="s">
        <v>12</v>
      </c>
      <c r="D66" s="252" t="s">
        <v>13</v>
      </c>
      <c r="E66" s="253">
        <v>43103</v>
      </c>
      <c r="F66" s="254">
        <v>38.6</v>
      </c>
      <c r="G66" s="255" t="s">
        <v>14</v>
      </c>
      <c r="H66" s="252" t="s">
        <v>128</v>
      </c>
      <c r="I66" s="255">
        <v>1</v>
      </c>
      <c r="J66" s="255" t="s">
        <v>129</v>
      </c>
      <c r="K66" s="255" t="s">
        <v>130</v>
      </c>
      <c r="L66" s="252" t="s">
        <v>131</v>
      </c>
      <c r="M66" s="252" t="s">
        <v>128</v>
      </c>
    </row>
    <row r="67" spans="1:13" x14ac:dyDescent="0.2">
      <c r="A67" s="252" t="s">
        <v>126</v>
      </c>
      <c r="B67" s="252" t="s">
        <v>127</v>
      </c>
      <c r="C67" s="252" t="s">
        <v>12</v>
      </c>
      <c r="D67" s="252" t="s">
        <v>13</v>
      </c>
      <c r="E67" s="253">
        <v>43103</v>
      </c>
      <c r="F67" s="254">
        <v>52.473612000000003</v>
      </c>
      <c r="G67" s="255" t="s">
        <v>15</v>
      </c>
      <c r="H67" s="252" t="s">
        <v>128</v>
      </c>
      <c r="I67" s="255">
        <v>1</v>
      </c>
      <c r="J67" s="255" t="s">
        <v>129</v>
      </c>
      <c r="K67" s="255" t="s">
        <v>130</v>
      </c>
      <c r="L67" s="252" t="s">
        <v>131</v>
      </c>
      <c r="M67" s="252" t="s">
        <v>128</v>
      </c>
    </row>
    <row r="68" spans="1:13" x14ac:dyDescent="0.2">
      <c r="A68" s="252" t="s">
        <v>126</v>
      </c>
      <c r="B68" s="252" t="s">
        <v>127</v>
      </c>
      <c r="C68" s="252" t="s">
        <v>12</v>
      </c>
      <c r="D68" s="252" t="s">
        <v>13</v>
      </c>
      <c r="E68" s="253">
        <v>43103</v>
      </c>
      <c r="F68" s="254">
        <v>4.8</v>
      </c>
      <c r="G68" s="255" t="s">
        <v>14</v>
      </c>
      <c r="H68" s="252" t="s">
        <v>16</v>
      </c>
      <c r="I68" s="255">
        <v>4</v>
      </c>
      <c r="J68" s="255" t="s">
        <v>129</v>
      </c>
      <c r="K68" s="255" t="s">
        <v>130</v>
      </c>
      <c r="L68" s="252" t="s">
        <v>132</v>
      </c>
      <c r="M68" s="252" t="s">
        <v>133</v>
      </c>
    </row>
    <row r="69" spans="1:13" x14ac:dyDescent="0.2">
      <c r="A69" s="252" t="s">
        <v>126</v>
      </c>
      <c r="B69" s="252" t="s">
        <v>127</v>
      </c>
      <c r="C69" s="252" t="s">
        <v>12</v>
      </c>
      <c r="D69" s="252" t="s">
        <v>13</v>
      </c>
      <c r="E69" s="253">
        <v>43103</v>
      </c>
      <c r="F69" s="254">
        <v>5.4843840000000004</v>
      </c>
      <c r="G69" s="255" t="s">
        <v>15</v>
      </c>
      <c r="H69" s="252" t="s">
        <v>16</v>
      </c>
      <c r="I69" s="255">
        <v>4</v>
      </c>
      <c r="J69" s="255" t="s">
        <v>129</v>
      </c>
      <c r="K69" s="255" t="s">
        <v>130</v>
      </c>
      <c r="L69" s="252" t="s">
        <v>132</v>
      </c>
      <c r="M69" s="252" t="s">
        <v>133</v>
      </c>
    </row>
    <row r="70" spans="1:13" x14ac:dyDescent="0.2">
      <c r="A70" s="252" t="s">
        <v>126</v>
      </c>
      <c r="B70" s="252" t="s">
        <v>127</v>
      </c>
      <c r="C70" s="252" t="s">
        <v>12</v>
      </c>
      <c r="D70" s="252" t="s">
        <v>13</v>
      </c>
      <c r="E70" s="253">
        <v>43096</v>
      </c>
      <c r="F70" s="254">
        <v>60.2</v>
      </c>
      <c r="G70" s="255" t="s">
        <v>14</v>
      </c>
      <c r="H70" s="252" t="s">
        <v>128</v>
      </c>
      <c r="I70" s="255">
        <v>1</v>
      </c>
      <c r="J70" s="255" t="s">
        <v>129</v>
      </c>
      <c r="K70" s="255" t="s">
        <v>130</v>
      </c>
      <c r="L70" s="252" t="s">
        <v>131</v>
      </c>
      <c r="M70" s="252" t="s">
        <v>128</v>
      </c>
    </row>
    <row r="71" spans="1:13" x14ac:dyDescent="0.2">
      <c r="A71" s="252" t="s">
        <v>126</v>
      </c>
      <c r="B71" s="252" t="s">
        <v>127</v>
      </c>
      <c r="C71" s="252" t="s">
        <v>12</v>
      </c>
      <c r="D71" s="252" t="s">
        <v>13</v>
      </c>
      <c r="E71" s="253">
        <v>43096</v>
      </c>
      <c r="F71" s="254">
        <v>63.260567999999999</v>
      </c>
      <c r="G71" s="255" t="s">
        <v>15</v>
      </c>
      <c r="H71" s="252" t="s">
        <v>128</v>
      </c>
      <c r="I71" s="255">
        <v>1</v>
      </c>
      <c r="J71" s="255" t="s">
        <v>129</v>
      </c>
      <c r="K71" s="255" t="s">
        <v>130</v>
      </c>
      <c r="L71" s="252" t="s">
        <v>131</v>
      </c>
      <c r="M71" s="252" t="s">
        <v>128</v>
      </c>
    </row>
    <row r="72" spans="1:13" x14ac:dyDescent="0.2">
      <c r="A72" s="252" t="s">
        <v>126</v>
      </c>
      <c r="B72" s="252" t="s">
        <v>127</v>
      </c>
      <c r="C72" s="252" t="s">
        <v>12</v>
      </c>
      <c r="D72" s="252" t="s">
        <v>13</v>
      </c>
      <c r="E72" s="253">
        <v>43096</v>
      </c>
      <c r="F72" s="254">
        <v>2.98</v>
      </c>
      <c r="G72" s="255" t="s">
        <v>14</v>
      </c>
      <c r="H72" s="252" t="s">
        <v>16</v>
      </c>
      <c r="I72" s="255">
        <v>4</v>
      </c>
      <c r="J72" s="255" t="s">
        <v>129</v>
      </c>
      <c r="K72" s="255" t="s">
        <v>130</v>
      </c>
      <c r="L72" s="252" t="s">
        <v>132</v>
      </c>
      <c r="M72" s="252" t="s">
        <v>133</v>
      </c>
    </row>
    <row r="73" spans="1:13" x14ac:dyDescent="0.2">
      <c r="A73" s="252" t="s">
        <v>126</v>
      </c>
      <c r="B73" s="252" t="s">
        <v>127</v>
      </c>
      <c r="C73" s="252" t="s">
        <v>12</v>
      </c>
      <c r="D73" s="252" t="s">
        <v>13</v>
      </c>
      <c r="E73" s="253">
        <v>43096</v>
      </c>
      <c r="F73" s="254">
        <v>2.5598795999999999</v>
      </c>
      <c r="G73" s="255" t="s">
        <v>15</v>
      </c>
      <c r="H73" s="252" t="s">
        <v>16</v>
      </c>
      <c r="I73" s="255">
        <v>4</v>
      </c>
      <c r="J73" s="255" t="s">
        <v>129</v>
      </c>
      <c r="K73" s="255" t="s">
        <v>130</v>
      </c>
      <c r="L73" s="252" t="s">
        <v>132</v>
      </c>
      <c r="M73" s="252" t="s">
        <v>133</v>
      </c>
    </row>
    <row r="74" spans="1:13" x14ac:dyDescent="0.2">
      <c r="A74" s="252" t="s">
        <v>126</v>
      </c>
      <c r="B74" s="252" t="s">
        <v>127</v>
      </c>
      <c r="C74" s="252" t="s">
        <v>12</v>
      </c>
      <c r="D74" s="252" t="s">
        <v>13</v>
      </c>
      <c r="E74" s="253">
        <v>43089</v>
      </c>
      <c r="F74" s="254">
        <v>54</v>
      </c>
      <c r="G74" s="255" t="s">
        <v>14</v>
      </c>
      <c r="H74" s="252" t="s">
        <v>128</v>
      </c>
      <c r="I74" s="255">
        <v>1</v>
      </c>
      <c r="J74" s="255" t="s">
        <v>129</v>
      </c>
      <c r="K74" s="255" t="s">
        <v>130</v>
      </c>
      <c r="L74" s="252" t="s">
        <v>131</v>
      </c>
      <c r="M74" s="252" t="s">
        <v>128</v>
      </c>
    </row>
    <row r="75" spans="1:13" x14ac:dyDescent="0.2">
      <c r="A75" s="252" t="s">
        <v>126</v>
      </c>
      <c r="B75" s="252" t="s">
        <v>127</v>
      </c>
      <c r="C75" s="252" t="s">
        <v>12</v>
      </c>
      <c r="D75" s="252" t="s">
        <v>13</v>
      </c>
      <c r="E75" s="253">
        <v>43089</v>
      </c>
      <c r="F75" s="254">
        <v>56.295000000000002</v>
      </c>
      <c r="G75" s="255" t="s">
        <v>15</v>
      </c>
      <c r="H75" s="252" t="s">
        <v>128</v>
      </c>
      <c r="I75" s="255">
        <v>1</v>
      </c>
      <c r="J75" s="255" t="s">
        <v>129</v>
      </c>
      <c r="K75" s="255" t="s">
        <v>130</v>
      </c>
      <c r="L75" s="252" t="s">
        <v>131</v>
      </c>
      <c r="M75" s="252" t="s">
        <v>128</v>
      </c>
    </row>
    <row r="76" spans="1:13" x14ac:dyDescent="0.2">
      <c r="A76" s="252" t="s">
        <v>126</v>
      </c>
      <c r="B76" s="252" t="s">
        <v>127</v>
      </c>
      <c r="C76" s="252" t="s">
        <v>12</v>
      </c>
      <c r="D76" s="252" t="s">
        <v>13</v>
      </c>
      <c r="E76" s="253">
        <v>43089</v>
      </c>
      <c r="F76" s="254">
        <v>2.5299999999999998</v>
      </c>
      <c r="G76" s="255" t="s">
        <v>14</v>
      </c>
      <c r="H76" s="252" t="s">
        <v>16</v>
      </c>
      <c r="I76" s="255">
        <v>4</v>
      </c>
      <c r="J76" s="255" t="s">
        <v>129</v>
      </c>
      <c r="K76" s="255" t="s">
        <v>130</v>
      </c>
      <c r="L76" s="252" t="s">
        <v>132</v>
      </c>
      <c r="M76" s="252" t="s">
        <v>133</v>
      </c>
    </row>
    <row r="77" spans="1:13" x14ac:dyDescent="0.2">
      <c r="A77" s="252" t="s">
        <v>126</v>
      </c>
      <c r="B77" s="252" t="s">
        <v>127</v>
      </c>
      <c r="C77" s="252" t="s">
        <v>12</v>
      </c>
      <c r="D77" s="252" t="s">
        <v>13</v>
      </c>
      <c r="E77" s="253">
        <v>43089</v>
      </c>
      <c r="F77" s="254">
        <v>2.1944208000000001</v>
      </c>
      <c r="G77" s="255" t="s">
        <v>15</v>
      </c>
      <c r="H77" s="252" t="s">
        <v>16</v>
      </c>
      <c r="I77" s="255">
        <v>4</v>
      </c>
      <c r="J77" s="255" t="s">
        <v>129</v>
      </c>
      <c r="K77" s="255" t="s">
        <v>130</v>
      </c>
      <c r="L77" s="252" t="s">
        <v>132</v>
      </c>
      <c r="M77" s="252" t="s">
        <v>133</v>
      </c>
    </row>
    <row r="78" spans="1:13" x14ac:dyDescent="0.2">
      <c r="A78" s="252" t="s">
        <v>126</v>
      </c>
      <c r="B78" s="252" t="s">
        <v>127</v>
      </c>
      <c r="C78" s="252" t="s">
        <v>12</v>
      </c>
      <c r="D78" s="252" t="s">
        <v>13</v>
      </c>
      <c r="E78" s="253">
        <v>43082</v>
      </c>
      <c r="F78" s="254">
        <v>41.5</v>
      </c>
      <c r="G78" s="255" t="s">
        <v>14</v>
      </c>
      <c r="H78" s="252" t="s">
        <v>128</v>
      </c>
      <c r="I78" s="255">
        <v>1</v>
      </c>
      <c r="J78" s="255" t="s">
        <v>129</v>
      </c>
      <c r="K78" s="255" t="s">
        <v>130</v>
      </c>
      <c r="L78" s="252" t="s">
        <v>131</v>
      </c>
      <c r="M78" s="252" t="s">
        <v>128</v>
      </c>
    </row>
    <row r="79" spans="1:13" x14ac:dyDescent="0.2">
      <c r="A79" s="252" t="s">
        <v>126</v>
      </c>
      <c r="B79" s="252" t="s">
        <v>127</v>
      </c>
      <c r="C79" s="252" t="s">
        <v>12</v>
      </c>
      <c r="D79" s="252" t="s">
        <v>13</v>
      </c>
      <c r="E79" s="253">
        <v>43082</v>
      </c>
      <c r="F79" s="254">
        <v>47.417070000000002</v>
      </c>
      <c r="G79" s="255" t="s">
        <v>15</v>
      </c>
      <c r="H79" s="252" t="s">
        <v>128</v>
      </c>
      <c r="I79" s="255">
        <v>1</v>
      </c>
      <c r="J79" s="255" t="s">
        <v>129</v>
      </c>
      <c r="K79" s="255" t="s">
        <v>130</v>
      </c>
      <c r="L79" s="252" t="s">
        <v>131</v>
      </c>
      <c r="M79" s="252" t="s">
        <v>128</v>
      </c>
    </row>
    <row r="80" spans="1:13" x14ac:dyDescent="0.2">
      <c r="A80" s="252" t="s">
        <v>126</v>
      </c>
      <c r="B80" s="252" t="s">
        <v>127</v>
      </c>
      <c r="C80" s="252" t="s">
        <v>12</v>
      </c>
      <c r="D80" s="252" t="s">
        <v>13</v>
      </c>
      <c r="E80" s="253">
        <v>43082</v>
      </c>
      <c r="F80" s="254">
        <v>2.31</v>
      </c>
      <c r="G80" s="255" t="s">
        <v>14</v>
      </c>
      <c r="H80" s="252" t="s">
        <v>16</v>
      </c>
      <c r="I80" s="255">
        <v>4</v>
      </c>
      <c r="J80" s="255" t="s">
        <v>129</v>
      </c>
      <c r="K80" s="255" t="s">
        <v>130</v>
      </c>
      <c r="L80" s="252" t="s">
        <v>132</v>
      </c>
      <c r="M80" s="252" t="s">
        <v>133</v>
      </c>
    </row>
    <row r="81" spans="1:13" x14ac:dyDescent="0.2">
      <c r="A81" s="252" t="s">
        <v>126</v>
      </c>
      <c r="B81" s="252" t="s">
        <v>127</v>
      </c>
      <c r="C81" s="252" t="s">
        <v>12</v>
      </c>
      <c r="D81" s="252" t="s">
        <v>13</v>
      </c>
      <c r="E81" s="253">
        <v>43082</v>
      </c>
      <c r="F81" s="254">
        <v>1.9072746</v>
      </c>
      <c r="G81" s="255" t="s">
        <v>15</v>
      </c>
      <c r="H81" s="252" t="s">
        <v>16</v>
      </c>
      <c r="I81" s="255">
        <v>4</v>
      </c>
      <c r="J81" s="255" t="s">
        <v>129</v>
      </c>
      <c r="K81" s="255" t="s">
        <v>130</v>
      </c>
      <c r="L81" s="252" t="s">
        <v>132</v>
      </c>
      <c r="M81" s="252" t="s">
        <v>133</v>
      </c>
    </row>
    <row r="82" spans="1:13" x14ac:dyDescent="0.2">
      <c r="A82" s="252" t="s">
        <v>126</v>
      </c>
      <c r="B82" s="252" t="s">
        <v>127</v>
      </c>
      <c r="C82" s="252" t="s">
        <v>12</v>
      </c>
      <c r="D82" s="252" t="s">
        <v>13</v>
      </c>
      <c r="E82" s="253">
        <v>43075</v>
      </c>
      <c r="F82" s="254">
        <v>48.9</v>
      </c>
      <c r="G82" s="255" t="s">
        <v>14</v>
      </c>
      <c r="H82" s="252" t="s">
        <v>128</v>
      </c>
      <c r="I82" s="255">
        <v>1</v>
      </c>
      <c r="J82" s="255" t="s">
        <v>129</v>
      </c>
      <c r="K82" s="255" t="s">
        <v>130</v>
      </c>
      <c r="L82" s="252" t="s">
        <v>131</v>
      </c>
      <c r="M82" s="252" t="s">
        <v>128</v>
      </c>
    </row>
    <row r="83" spans="1:13" x14ac:dyDescent="0.2">
      <c r="A83" s="252" t="s">
        <v>126</v>
      </c>
      <c r="B83" s="252" t="s">
        <v>127</v>
      </c>
      <c r="C83" s="252" t="s">
        <v>12</v>
      </c>
      <c r="D83" s="252" t="s">
        <v>13</v>
      </c>
      <c r="E83" s="253">
        <v>43075</v>
      </c>
      <c r="F83" s="254">
        <v>55.056510000000003</v>
      </c>
      <c r="G83" s="255" t="s">
        <v>15</v>
      </c>
      <c r="H83" s="252" t="s">
        <v>128</v>
      </c>
      <c r="I83" s="255">
        <v>1</v>
      </c>
      <c r="J83" s="255" t="s">
        <v>129</v>
      </c>
      <c r="K83" s="255" t="s">
        <v>130</v>
      </c>
      <c r="L83" s="252" t="s">
        <v>131</v>
      </c>
      <c r="M83" s="252" t="s">
        <v>128</v>
      </c>
    </row>
    <row r="84" spans="1:13" x14ac:dyDescent="0.2">
      <c r="A84" s="252" t="s">
        <v>126</v>
      </c>
      <c r="B84" s="252" t="s">
        <v>127</v>
      </c>
      <c r="C84" s="252" t="s">
        <v>12</v>
      </c>
      <c r="D84" s="252" t="s">
        <v>13</v>
      </c>
      <c r="E84" s="253">
        <v>43075</v>
      </c>
      <c r="F84" s="254">
        <v>1.79</v>
      </c>
      <c r="G84" s="255" t="s">
        <v>14</v>
      </c>
      <c r="H84" s="252" t="s">
        <v>16</v>
      </c>
      <c r="I84" s="255">
        <v>4</v>
      </c>
      <c r="J84" s="255" t="s">
        <v>129</v>
      </c>
      <c r="K84" s="255" t="s">
        <v>130</v>
      </c>
      <c r="L84" s="252" t="s">
        <v>132</v>
      </c>
      <c r="M84" s="252" t="s">
        <v>133</v>
      </c>
    </row>
    <row r="85" spans="1:13" x14ac:dyDescent="0.2">
      <c r="A85" s="252" t="s">
        <v>126</v>
      </c>
      <c r="B85" s="252" t="s">
        <v>127</v>
      </c>
      <c r="C85" s="252" t="s">
        <v>12</v>
      </c>
      <c r="D85" s="252" t="s">
        <v>13</v>
      </c>
      <c r="E85" s="253">
        <v>43075</v>
      </c>
      <c r="F85" s="254">
        <v>1.6720032</v>
      </c>
      <c r="G85" s="255" t="s">
        <v>15</v>
      </c>
      <c r="H85" s="252" t="s">
        <v>16</v>
      </c>
      <c r="I85" s="255">
        <v>4</v>
      </c>
      <c r="J85" s="255" t="s">
        <v>129</v>
      </c>
      <c r="K85" s="255" t="s">
        <v>130</v>
      </c>
      <c r="L85" s="252" t="s">
        <v>132</v>
      </c>
      <c r="M85" s="252" t="s">
        <v>133</v>
      </c>
    </row>
    <row r="86" spans="1:13" x14ac:dyDescent="0.2">
      <c r="A86" s="252" t="s">
        <v>126</v>
      </c>
      <c r="B86" s="252" t="s">
        <v>127</v>
      </c>
      <c r="C86" s="252" t="s">
        <v>17</v>
      </c>
      <c r="D86" s="252" t="s">
        <v>13</v>
      </c>
      <c r="E86" s="253">
        <v>43215</v>
      </c>
      <c r="F86" s="254">
        <v>7.14</v>
      </c>
      <c r="G86" s="255" t="s">
        <v>14</v>
      </c>
      <c r="H86" s="252" t="s">
        <v>128</v>
      </c>
      <c r="I86" s="255">
        <v>1</v>
      </c>
      <c r="J86" s="255" t="s">
        <v>129</v>
      </c>
      <c r="K86" s="255" t="s">
        <v>130</v>
      </c>
      <c r="L86" s="252" t="s">
        <v>131</v>
      </c>
      <c r="M86" s="252" t="s">
        <v>128</v>
      </c>
    </row>
    <row r="87" spans="1:13" x14ac:dyDescent="0.2">
      <c r="A87" s="252" t="s">
        <v>126</v>
      </c>
      <c r="B87" s="252" t="s">
        <v>127</v>
      </c>
      <c r="C87" s="252" t="s">
        <v>17</v>
      </c>
      <c r="D87" s="252" t="s">
        <v>13</v>
      </c>
      <c r="E87" s="253">
        <v>43215</v>
      </c>
      <c r="F87" s="254">
        <v>10.718567999999999</v>
      </c>
      <c r="G87" s="255" t="s">
        <v>15</v>
      </c>
      <c r="H87" s="252" t="s">
        <v>128</v>
      </c>
      <c r="I87" s="255">
        <v>1</v>
      </c>
      <c r="J87" s="255" t="s">
        <v>129</v>
      </c>
      <c r="K87" s="255" t="s">
        <v>130</v>
      </c>
      <c r="L87" s="252" t="s">
        <v>131</v>
      </c>
      <c r="M87" s="252" t="s">
        <v>128</v>
      </c>
    </row>
    <row r="88" spans="1:13" x14ac:dyDescent="0.2">
      <c r="A88" s="252" t="s">
        <v>126</v>
      </c>
      <c r="B88" s="252" t="s">
        <v>127</v>
      </c>
      <c r="C88" s="252" t="s">
        <v>17</v>
      </c>
      <c r="D88" s="252" t="s">
        <v>13</v>
      </c>
      <c r="E88" s="253">
        <v>43215</v>
      </c>
      <c r="F88" s="254">
        <v>3.02</v>
      </c>
      <c r="G88" s="255" t="s">
        <v>14</v>
      </c>
      <c r="H88" s="252" t="s">
        <v>16</v>
      </c>
      <c r="I88" s="255">
        <v>4</v>
      </c>
      <c r="J88" s="255" t="s">
        <v>129</v>
      </c>
      <c r="K88" s="255" t="s">
        <v>130</v>
      </c>
      <c r="L88" s="252" t="s">
        <v>132</v>
      </c>
      <c r="M88" s="252" t="s">
        <v>133</v>
      </c>
    </row>
    <row r="89" spans="1:13" x14ac:dyDescent="0.2">
      <c r="A89" s="252" t="s">
        <v>126</v>
      </c>
      <c r="B89" s="252" t="s">
        <v>127</v>
      </c>
      <c r="C89" s="252" t="s">
        <v>17</v>
      </c>
      <c r="D89" s="252" t="s">
        <v>13</v>
      </c>
      <c r="E89" s="253">
        <v>43215</v>
      </c>
      <c r="F89" s="254">
        <v>3.4002180000000002</v>
      </c>
      <c r="G89" s="255" t="s">
        <v>15</v>
      </c>
      <c r="H89" s="252" t="s">
        <v>16</v>
      </c>
      <c r="I89" s="255">
        <v>4</v>
      </c>
      <c r="J89" s="255" t="s">
        <v>129</v>
      </c>
      <c r="K89" s="255" t="s">
        <v>130</v>
      </c>
      <c r="L89" s="252" t="s">
        <v>132</v>
      </c>
      <c r="M89" s="252" t="s">
        <v>133</v>
      </c>
    </row>
    <row r="90" spans="1:13" x14ac:dyDescent="0.2">
      <c r="A90" s="252" t="s">
        <v>126</v>
      </c>
      <c r="B90" s="252" t="s">
        <v>127</v>
      </c>
      <c r="C90" s="252" t="s">
        <v>17</v>
      </c>
      <c r="D90" s="252" t="s">
        <v>13</v>
      </c>
      <c r="E90" s="253">
        <v>43208</v>
      </c>
      <c r="F90" s="254">
        <v>6.37</v>
      </c>
      <c r="G90" s="255" t="s">
        <v>14</v>
      </c>
      <c r="H90" s="252" t="s">
        <v>128</v>
      </c>
      <c r="I90" s="255">
        <v>1</v>
      </c>
      <c r="J90" s="255" t="s">
        <v>129</v>
      </c>
      <c r="K90" s="255" t="s">
        <v>130</v>
      </c>
      <c r="L90" s="252" t="s">
        <v>131</v>
      </c>
      <c r="M90" s="252" t="s">
        <v>128</v>
      </c>
    </row>
    <row r="91" spans="1:13" x14ac:dyDescent="0.2">
      <c r="A91" s="252" t="s">
        <v>126</v>
      </c>
      <c r="B91" s="252" t="s">
        <v>127</v>
      </c>
      <c r="C91" s="252" t="s">
        <v>17</v>
      </c>
      <c r="D91" s="252" t="s">
        <v>13</v>
      </c>
      <c r="E91" s="253">
        <v>43208</v>
      </c>
      <c r="F91" s="254">
        <v>9.1376375999999997</v>
      </c>
      <c r="G91" s="255" t="s">
        <v>15</v>
      </c>
      <c r="H91" s="252" t="s">
        <v>128</v>
      </c>
      <c r="I91" s="255">
        <v>1</v>
      </c>
      <c r="J91" s="255" t="s">
        <v>129</v>
      </c>
      <c r="K91" s="255" t="s">
        <v>130</v>
      </c>
      <c r="L91" s="252" t="s">
        <v>131</v>
      </c>
      <c r="M91" s="252" t="s">
        <v>128</v>
      </c>
    </row>
    <row r="92" spans="1:13" x14ac:dyDescent="0.2">
      <c r="A92" s="252" t="s">
        <v>126</v>
      </c>
      <c r="B92" s="252" t="s">
        <v>127</v>
      </c>
      <c r="C92" s="252" t="s">
        <v>17</v>
      </c>
      <c r="D92" s="252" t="s">
        <v>13</v>
      </c>
      <c r="E92" s="253">
        <v>43208</v>
      </c>
      <c r="F92" s="254">
        <v>4.21</v>
      </c>
      <c r="G92" s="255" t="s">
        <v>14</v>
      </c>
      <c r="H92" s="252" t="s">
        <v>16</v>
      </c>
      <c r="I92" s="255">
        <v>4</v>
      </c>
      <c r="J92" s="255" t="s">
        <v>129</v>
      </c>
      <c r="K92" s="255" t="s">
        <v>130</v>
      </c>
      <c r="L92" s="252" t="s">
        <v>132</v>
      </c>
      <c r="M92" s="252" t="s">
        <v>133</v>
      </c>
    </row>
    <row r="93" spans="1:13" x14ac:dyDescent="0.2">
      <c r="A93" s="252" t="s">
        <v>126</v>
      </c>
      <c r="B93" s="252" t="s">
        <v>127</v>
      </c>
      <c r="C93" s="252" t="s">
        <v>17</v>
      </c>
      <c r="D93" s="252" t="s">
        <v>13</v>
      </c>
      <c r="E93" s="253">
        <v>43208</v>
      </c>
      <c r="F93" s="254">
        <v>5.2667099999999998</v>
      </c>
      <c r="G93" s="255" t="s">
        <v>15</v>
      </c>
      <c r="H93" s="252" t="s">
        <v>16</v>
      </c>
      <c r="I93" s="255">
        <v>4</v>
      </c>
      <c r="J93" s="255" t="s">
        <v>129</v>
      </c>
      <c r="K93" s="255" t="s">
        <v>130</v>
      </c>
      <c r="L93" s="252" t="s">
        <v>132</v>
      </c>
      <c r="M93" s="252" t="s">
        <v>133</v>
      </c>
    </row>
    <row r="94" spans="1:13" x14ac:dyDescent="0.2">
      <c r="A94" s="252" t="s">
        <v>126</v>
      </c>
      <c r="B94" s="252" t="s">
        <v>127</v>
      </c>
      <c r="C94" s="252" t="s">
        <v>17</v>
      </c>
      <c r="D94" s="252" t="s">
        <v>13</v>
      </c>
      <c r="E94" s="253">
        <v>43201</v>
      </c>
      <c r="F94" s="254">
        <v>6.7</v>
      </c>
      <c r="G94" s="255" t="s">
        <v>14</v>
      </c>
      <c r="H94" s="252" t="s">
        <v>128</v>
      </c>
      <c r="I94" s="255">
        <v>1</v>
      </c>
      <c r="J94" s="255" t="s">
        <v>129</v>
      </c>
      <c r="K94" s="255" t="s">
        <v>130</v>
      </c>
      <c r="L94" s="252" t="s">
        <v>131</v>
      </c>
      <c r="M94" s="252" t="s">
        <v>128</v>
      </c>
    </row>
    <row r="95" spans="1:13" x14ac:dyDescent="0.2">
      <c r="A95" s="252" t="s">
        <v>126</v>
      </c>
      <c r="B95" s="252" t="s">
        <v>127</v>
      </c>
      <c r="C95" s="252" t="s">
        <v>17</v>
      </c>
      <c r="D95" s="252" t="s">
        <v>13</v>
      </c>
      <c r="E95" s="253">
        <v>43201</v>
      </c>
      <c r="F95" s="254">
        <v>10.002162</v>
      </c>
      <c r="G95" s="255" t="s">
        <v>15</v>
      </c>
      <c r="H95" s="252" t="s">
        <v>128</v>
      </c>
      <c r="I95" s="255">
        <v>1</v>
      </c>
      <c r="J95" s="255" t="s">
        <v>129</v>
      </c>
      <c r="K95" s="255" t="s">
        <v>130</v>
      </c>
      <c r="L95" s="252" t="s">
        <v>131</v>
      </c>
      <c r="M95" s="252" t="s">
        <v>128</v>
      </c>
    </row>
    <row r="96" spans="1:13" x14ac:dyDescent="0.2">
      <c r="A96" s="252" t="s">
        <v>126</v>
      </c>
      <c r="B96" s="252" t="s">
        <v>127</v>
      </c>
      <c r="C96" s="252" t="s">
        <v>17</v>
      </c>
      <c r="D96" s="252" t="s">
        <v>13</v>
      </c>
      <c r="E96" s="253">
        <v>43201</v>
      </c>
      <c r="F96" s="254">
        <v>3.6</v>
      </c>
      <c r="G96" s="255" t="s">
        <v>14</v>
      </c>
      <c r="H96" s="252" t="s">
        <v>16</v>
      </c>
      <c r="I96" s="255">
        <v>4</v>
      </c>
      <c r="J96" s="255" t="s">
        <v>129</v>
      </c>
      <c r="K96" s="255" t="s">
        <v>130</v>
      </c>
      <c r="L96" s="252" t="s">
        <v>132</v>
      </c>
      <c r="M96" s="252" t="s">
        <v>133</v>
      </c>
    </row>
    <row r="97" spans="1:13" x14ac:dyDescent="0.2">
      <c r="A97" s="252" t="s">
        <v>126</v>
      </c>
      <c r="B97" s="252" t="s">
        <v>127</v>
      </c>
      <c r="C97" s="252" t="s">
        <v>17</v>
      </c>
      <c r="D97" s="252" t="s">
        <v>13</v>
      </c>
      <c r="E97" s="253">
        <v>43201</v>
      </c>
      <c r="F97" s="254">
        <v>5.4043200000000002</v>
      </c>
      <c r="G97" s="255" t="s">
        <v>15</v>
      </c>
      <c r="H97" s="252" t="s">
        <v>16</v>
      </c>
      <c r="I97" s="255">
        <v>4</v>
      </c>
      <c r="J97" s="255" t="s">
        <v>129</v>
      </c>
      <c r="K97" s="255" t="s">
        <v>130</v>
      </c>
      <c r="L97" s="252" t="s">
        <v>132</v>
      </c>
      <c r="M97" s="252" t="s">
        <v>133</v>
      </c>
    </row>
    <row r="98" spans="1:13" x14ac:dyDescent="0.2">
      <c r="A98" s="252" t="s">
        <v>126</v>
      </c>
      <c r="B98" s="252" t="s">
        <v>127</v>
      </c>
      <c r="C98" s="252" t="s">
        <v>17</v>
      </c>
      <c r="D98" s="252" t="s">
        <v>13</v>
      </c>
      <c r="E98" s="253">
        <v>43194</v>
      </c>
      <c r="F98" s="254">
        <v>3.65</v>
      </c>
      <c r="G98" s="255" t="s">
        <v>14</v>
      </c>
      <c r="H98" s="252" t="s">
        <v>128</v>
      </c>
      <c r="I98" s="255">
        <v>1</v>
      </c>
      <c r="J98" s="255" t="s">
        <v>129</v>
      </c>
      <c r="K98" s="255" t="s">
        <v>130</v>
      </c>
      <c r="L98" s="252" t="s">
        <v>131</v>
      </c>
      <c r="M98" s="252" t="s">
        <v>128</v>
      </c>
    </row>
    <row r="99" spans="1:13" x14ac:dyDescent="0.2">
      <c r="A99" s="252" t="s">
        <v>126</v>
      </c>
      <c r="B99" s="252" t="s">
        <v>127</v>
      </c>
      <c r="C99" s="252" t="s">
        <v>17</v>
      </c>
      <c r="D99" s="252" t="s">
        <v>13</v>
      </c>
      <c r="E99" s="253">
        <v>43194</v>
      </c>
      <c r="F99" s="254">
        <v>5.5098209999999996</v>
      </c>
      <c r="G99" s="255" t="s">
        <v>15</v>
      </c>
      <c r="H99" s="252" t="s">
        <v>128</v>
      </c>
      <c r="I99" s="255">
        <v>1</v>
      </c>
      <c r="J99" s="255" t="s">
        <v>129</v>
      </c>
      <c r="K99" s="255" t="s">
        <v>130</v>
      </c>
      <c r="L99" s="252" t="s">
        <v>131</v>
      </c>
      <c r="M99" s="252" t="s">
        <v>128</v>
      </c>
    </row>
    <row r="100" spans="1:13" x14ac:dyDescent="0.2">
      <c r="A100" s="252" t="s">
        <v>126</v>
      </c>
      <c r="B100" s="252" t="s">
        <v>127</v>
      </c>
      <c r="C100" s="252" t="s">
        <v>17</v>
      </c>
      <c r="D100" s="252" t="s">
        <v>13</v>
      </c>
      <c r="E100" s="253">
        <v>43194</v>
      </c>
      <c r="F100" s="254">
        <v>3.09</v>
      </c>
      <c r="G100" s="255" t="s">
        <v>14</v>
      </c>
      <c r="H100" s="252" t="s">
        <v>16</v>
      </c>
      <c r="I100" s="255">
        <v>4</v>
      </c>
      <c r="J100" s="255" t="s">
        <v>129</v>
      </c>
      <c r="K100" s="255" t="s">
        <v>130</v>
      </c>
      <c r="L100" s="252" t="s">
        <v>132</v>
      </c>
      <c r="M100" s="252" t="s">
        <v>133</v>
      </c>
    </row>
    <row r="101" spans="1:13" x14ac:dyDescent="0.2">
      <c r="A101" s="252" t="s">
        <v>126</v>
      </c>
      <c r="B101" s="252" t="s">
        <v>127</v>
      </c>
      <c r="C101" s="252" t="s">
        <v>17</v>
      </c>
      <c r="D101" s="252" t="s">
        <v>13</v>
      </c>
      <c r="E101" s="253">
        <v>43194</v>
      </c>
      <c r="F101" s="254">
        <v>4.4067726</v>
      </c>
      <c r="G101" s="255" t="s">
        <v>15</v>
      </c>
      <c r="H101" s="252" t="s">
        <v>16</v>
      </c>
      <c r="I101" s="255">
        <v>4</v>
      </c>
      <c r="J101" s="255" t="s">
        <v>129</v>
      </c>
      <c r="K101" s="255" t="s">
        <v>130</v>
      </c>
      <c r="L101" s="252" t="s">
        <v>132</v>
      </c>
      <c r="M101" s="252" t="s">
        <v>133</v>
      </c>
    </row>
    <row r="102" spans="1:13" x14ac:dyDescent="0.2">
      <c r="A102" s="252" t="s">
        <v>126</v>
      </c>
      <c r="B102" s="252" t="s">
        <v>127</v>
      </c>
      <c r="C102" s="252" t="s">
        <v>17</v>
      </c>
      <c r="D102" s="252" t="s">
        <v>13</v>
      </c>
      <c r="E102" s="253">
        <v>43187</v>
      </c>
      <c r="F102" s="254">
        <v>3.39</v>
      </c>
      <c r="G102" s="255" t="s">
        <v>14</v>
      </c>
      <c r="H102" s="252" t="s">
        <v>128</v>
      </c>
      <c r="I102" s="255">
        <v>1</v>
      </c>
      <c r="J102" s="255" t="s">
        <v>129</v>
      </c>
      <c r="K102" s="255" t="s">
        <v>130</v>
      </c>
      <c r="L102" s="252" t="s">
        <v>131</v>
      </c>
      <c r="M102" s="252" t="s">
        <v>128</v>
      </c>
    </row>
    <row r="103" spans="1:13" x14ac:dyDescent="0.2">
      <c r="A103" s="252" t="s">
        <v>126</v>
      </c>
      <c r="B103" s="252" t="s">
        <v>127</v>
      </c>
      <c r="C103" s="252" t="s">
        <v>17</v>
      </c>
      <c r="D103" s="252" t="s">
        <v>13</v>
      </c>
      <c r="E103" s="253">
        <v>43187</v>
      </c>
      <c r="F103" s="254">
        <v>4.6932516</v>
      </c>
      <c r="G103" s="255" t="s">
        <v>15</v>
      </c>
      <c r="H103" s="252" t="s">
        <v>128</v>
      </c>
      <c r="I103" s="255">
        <v>1</v>
      </c>
      <c r="J103" s="255" t="s">
        <v>129</v>
      </c>
      <c r="K103" s="255" t="s">
        <v>130</v>
      </c>
      <c r="L103" s="252" t="s">
        <v>131</v>
      </c>
      <c r="M103" s="252" t="s">
        <v>128</v>
      </c>
    </row>
    <row r="104" spans="1:13" x14ac:dyDescent="0.2">
      <c r="A104" s="252" t="s">
        <v>126</v>
      </c>
      <c r="B104" s="252" t="s">
        <v>127</v>
      </c>
      <c r="C104" s="252" t="s">
        <v>17</v>
      </c>
      <c r="D104" s="252" t="s">
        <v>13</v>
      </c>
      <c r="E104" s="253">
        <v>43187</v>
      </c>
      <c r="F104" s="254">
        <v>2.77</v>
      </c>
      <c r="G104" s="255" t="s">
        <v>14</v>
      </c>
      <c r="H104" s="252" t="s">
        <v>16</v>
      </c>
      <c r="I104" s="255">
        <v>4</v>
      </c>
      <c r="J104" s="255" t="s">
        <v>129</v>
      </c>
      <c r="K104" s="255" t="s">
        <v>130</v>
      </c>
      <c r="L104" s="252" t="s">
        <v>132</v>
      </c>
      <c r="M104" s="252" t="s">
        <v>133</v>
      </c>
    </row>
    <row r="105" spans="1:13" x14ac:dyDescent="0.2">
      <c r="A105" s="252" t="s">
        <v>126</v>
      </c>
      <c r="B105" s="252" t="s">
        <v>127</v>
      </c>
      <c r="C105" s="252" t="s">
        <v>17</v>
      </c>
      <c r="D105" s="252" t="s">
        <v>13</v>
      </c>
      <c r="E105" s="253">
        <v>43187</v>
      </c>
      <c r="F105" s="254">
        <v>7.5080850000000003</v>
      </c>
      <c r="G105" s="255" t="s">
        <v>15</v>
      </c>
      <c r="H105" s="252" t="s">
        <v>16</v>
      </c>
      <c r="I105" s="255">
        <v>4</v>
      </c>
      <c r="J105" s="255" t="s">
        <v>129</v>
      </c>
      <c r="K105" s="255" t="s">
        <v>130</v>
      </c>
      <c r="L105" s="252" t="s">
        <v>132</v>
      </c>
      <c r="M105" s="252" t="s">
        <v>133</v>
      </c>
    </row>
    <row r="106" spans="1:13" x14ac:dyDescent="0.2">
      <c r="A106" s="252" t="s">
        <v>126</v>
      </c>
      <c r="B106" s="252" t="s">
        <v>127</v>
      </c>
      <c r="C106" s="252" t="s">
        <v>17</v>
      </c>
      <c r="D106" s="252" t="s">
        <v>13</v>
      </c>
      <c r="E106" s="253">
        <v>43180</v>
      </c>
      <c r="F106" s="254">
        <v>5.21</v>
      </c>
      <c r="G106" s="255" t="s">
        <v>14</v>
      </c>
      <c r="H106" s="252" t="s">
        <v>128</v>
      </c>
      <c r="I106" s="255">
        <v>1</v>
      </c>
      <c r="J106" s="255" t="s">
        <v>129</v>
      </c>
      <c r="K106" s="255" t="s">
        <v>130</v>
      </c>
      <c r="L106" s="252" t="s">
        <v>131</v>
      </c>
      <c r="M106" s="252" t="s">
        <v>128</v>
      </c>
    </row>
    <row r="107" spans="1:13" x14ac:dyDescent="0.2">
      <c r="A107" s="252" t="s">
        <v>126</v>
      </c>
      <c r="B107" s="252" t="s">
        <v>127</v>
      </c>
      <c r="C107" s="252" t="s">
        <v>17</v>
      </c>
      <c r="D107" s="252" t="s">
        <v>13</v>
      </c>
      <c r="E107" s="253">
        <v>43180</v>
      </c>
      <c r="F107" s="254">
        <v>6.4308072000000003</v>
      </c>
      <c r="G107" s="255" t="s">
        <v>15</v>
      </c>
      <c r="H107" s="252" t="s">
        <v>128</v>
      </c>
      <c r="I107" s="255">
        <v>1</v>
      </c>
      <c r="J107" s="255" t="s">
        <v>129</v>
      </c>
      <c r="K107" s="255" t="s">
        <v>130</v>
      </c>
      <c r="L107" s="252" t="s">
        <v>131</v>
      </c>
      <c r="M107" s="252" t="s">
        <v>128</v>
      </c>
    </row>
    <row r="108" spans="1:13" x14ac:dyDescent="0.2">
      <c r="A108" s="252" t="s">
        <v>126</v>
      </c>
      <c r="B108" s="252" t="s">
        <v>127</v>
      </c>
      <c r="C108" s="252" t="s">
        <v>17</v>
      </c>
      <c r="D108" s="252" t="s">
        <v>13</v>
      </c>
      <c r="E108" s="253">
        <v>43180</v>
      </c>
      <c r="F108" s="254">
        <v>3.55</v>
      </c>
      <c r="G108" s="255" t="s">
        <v>14</v>
      </c>
      <c r="H108" s="252" t="s">
        <v>16</v>
      </c>
      <c r="I108" s="255">
        <v>4</v>
      </c>
      <c r="J108" s="255" t="s">
        <v>129</v>
      </c>
      <c r="K108" s="255" t="s">
        <v>130</v>
      </c>
      <c r="L108" s="252" t="s">
        <v>132</v>
      </c>
      <c r="M108" s="252" t="s">
        <v>133</v>
      </c>
    </row>
    <row r="109" spans="1:13" x14ac:dyDescent="0.2">
      <c r="A109" s="252" t="s">
        <v>126</v>
      </c>
      <c r="B109" s="252" t="s">
        <v>127</v>
      </c>
      <c r="C109" s="252" t="s">
        <v>17</v>
      </c>
      <c r="D109" s="252" t="s">
        <v>13</v>
      </c>
      <c r="E109" s="253">
        <v>43180</v>
      </c>
      <c r="F109" s="254">
        <v>3.3751980000000001</v>
      </c>
      <c r="G109" s="255" t="s">
        <v>15</v>
      </c>
      <c r="H109" s="252" t="s">
        <v>16</v>
      </c>
      <c r="I109" s="255">
        <v>4</v>
      </c>
      <c r="J109" s="255" t="s">
        <v>129</v>
      </c>
      <c r="K109" s="255" t="s">
        <v>130</v>
      </c>
      <c r="L109" s="252" t="s">
        <v>132</v>
      </c>
      <c r="M109" s="252" t="s">
        <v>133</v>
      </c>
    </row>
    <row r="110" spans="1:13" x14ac:dyDescent="0.2">
      <c r="A110" s="252" t="s">
        <v>126</v>
      </c>
      <c r="B110" s="252" t="s">
        <v>127</v>
      </c>
      <c r="C110" s="252" t="s">
        <v>17</v>
      </c>
      <c r="D110" s="252" t="s">
        <v>13</v>
      </c>
      <c r="E110" s="253">
        <v>43173</v>
      </c>
      <c r="F110" s="254">
        <v>6.61</v>
      </c>
      <c r="G110" s="255" t="s">
        <v>14</v>
      </c>
      <c r="H110" s="252" t="s">
        <v>128</v>
      </c>
      <c r="I110" s="255">
        <v>1</v>
      </c>
      <c r="J110" s="255" t="s">
        <v>129</v>
      </c>
      <c r="K110" s="255" t="s">
        <v>130</v>
      </c>
      <c r="L110" s="252" t="s">
        <v>131</v>
      </c>
      <c r="M110" s="252" t="s">
        <v>128</v>
      </c>
    </row>
    <row r="111" spans="1:13" x14ac:dyDescent="0.2">
      <c r="A111" s="252" t="s">
        <v>126</v>
      </c>
      <c r="B111" s="252" t="s">
        <v>127</v>
      </c>
      <c r="C111" s="252" t="s">
        <v>17</v>
      </c>
      <c r="D111" s="252" t="s">
        <v>13</v>
      </c>
      <c r="E111" s="253">
        <v>43173</v>
      </c>
      <c r="F111" s="254">
        <v>8.0486003999999998</v>
      </c>
      <c r="G111" s="255" t="s">
        <v>15</v>
      </c>
      <c r="H111" s="252" t="s">
        <v>128</v>
      </c>
      <c r="I111" s="255">
        <v>1</v>
      </c>
      <c r="J111" s="255" t="s">
        <v>129</v>
      </c>
      <c r="K111" s="255" t="s">
        <v>130</v>
      </c>
      <c r="L111" s="252" t="s">
        <v>131</v>
      </c>
      <c r="M111" s="252" t="s">
        <v>128</v>
      </c>
    </row>
    <row r="112" spans="1:13" x14ac:dyDescent="0.2">
      <c r="A112" s="252" t="s">
        <v>126</v>
      </c>
      <c r="B112" s="252" t="s">
        <v>127</v>
      </c>
      <c r="C112" s="252" t="s">
        <v>17</v>
      </c>
      <c r="D112" s="252" t="s">
        <v>13</v>
      </c>
      <c r="E112" s="253">
        <v>43173</v>
      </c>
      <c r="F112" s="254">
        <v>3.15</v>
      </c>
      <c r="G112" s="255" t="s">
        <v>14</v>
      </c>
      <c r="H112" s="252" t="s">
        <v>16</v>
      </c>
      <c r="I112" s="255">
        <v>4</v>
      </c>
      <c r="J112" s="255" t="s">
        <v>129</v>
      </c>
      <c r="K112" s="255" t="s">
        <v>130</v>
      </c>
      <c r="L112" s="252" t="s">
        <v>132</v>
      </c>
      <c r="M112" s="252" t="s">
        <v>133</v>
      </c>
    </row>
    <row r="113" spans="1:13" x14ac:dyDescent="0.2">
      <c r="A113" s="252" t="s">
        <v>126</v>
      </c>
      <c r="B113" s="252" t="s">
        <v>127</v>
      </c>
      <c r="C113" s="252" t="s">
        <v>17</v>
      </c>
      <c r="D113" s="252" t="s">
        <v>13</v>
      </c>
      <c r="E113" s="253">
        <v>43173</v>
      </c>
      <c r="F113" s="254">
        <v>2.4169320000000001</v>
      </c>
      <c r="G113" s="255" t="s">
        <v>15</v>
      </c>
      <c r="H113" s="252" t="s">
        <v>16</v>
      </c>
      <c r="I113" s="255">
        <v>4</v>
      </c>
      <c r="J113" s="255" t="s">
        <v>129</v>
      </c>
      <c r="K113" s="255" t="s">
        <v>130</v>
      </c>
      <c r="L113" s="252" t="s">
        <v>132</v>
      </c>
      <c r="M113" s="252" t="s">
        <v>133</v>
      </c>
    </row>
    <row r="114" spans="1:13" x14ac:dyDescent="0.2">
      <c r="A114" s="252" t="s">
        <v>126</v>
      </c>
      <c r="B114" s="252" t="s">
        <v>127</v>
      </c>
      <c r="C114" s="252" t="s">
        <v>17</v>
      </c>
      <c r="D114" s="252" t="s">
        <v>13</v>
      </c>
      <c r="E114" s="253">
        <v>43166</v>
      </c>
      <c r="F114" s="254">
        <v>3.72</v>
      </c>
      <c r="G114" s="255" t="s">
        <v>14</v>
      </c>
      <c r="H114" s="252" t="s">
        <v>128</v>
      </c>
      <c r="I114" s="255">
        <v>1</v>
      </c>
      <c r="J114" s="255" t="s">
        <v>129</v>
      </c>
      <c r="K114" s="255" t="s">
        <v>130</v>
      </c>
      <c r="L114" s="252" t="s">
        <v>131</v>
      </c>
      <c r="M114" s="252" t="s">
        <v>128</v>
      </c>
    </row>
    <row r="115" spans="1:13" x14ac:dyDescent="0.2">
      <c r="A115" s="252" t="s">
        <v>126</v>
      </c>
      <c r="B115" s="252" t="s">
        <v>127</v>
      </c>
      <c r="C115" s="252" t="s">
        <v>17</v>
      </c>
      <c r="D115" s="252" t="s">
        <v>13</v>
      </c>
      <c r="E115" s="253">
        <v>43166</v>
      </c>
      <c r="F115" s="254">
        <v>4.498596</v>
      </c>
      <c r="G115" s="255" t="s">
        <v>15</v>
      </c>
      <c r="H115" s="252" t="s">
        <v>128</v>
      </c>
      <c r="I115" s="255">
        <v>1</v>
      </c>
      <c r="J115" s="255" t="s">
        <v>129</v>
      </c>
      <c r="K115" s="255" t="s">
        <v>130</v>
      </c>
      <c r="L115" s="252" t="s">
        <v>131</v>
      </c>
      <c r="M115" s="252" t="s">
        <v>128</v>
      </c>
    </row>
    <row r="116" spans="1:13" x14ac:dyDescent="0.2">
      <c r="A116" s="252" t="s">
        <v>126</v>
      </c>
      <c r="B116" s="252" t="s">
        <v>127</v>
      </c>
      <c r="C116" s="252" t="s">
        <v>17</v>
      </c>
      <c r="D116" s="252" t="s">
        <v>13</v>
      </c>
      <c r="E116" s="253">
        <v>43166</v>
      </c>
      <c r="F116" s="254">
        <v>3.69</v>
      </c>
      <c r="G116" s="255" t="s">
        <v>14</v>
      </c>
      <c r="H116" s="252" t="s">
        <v>16</v>
      </c>
      <c r="I116" s="255">
        <v>4</v>
      </c>
      <c r="J116" s="255" t="s">
        <v>129</v>
      </c>
      <c r="K116" s="255" t="s">
        <v>130</v>
      </c>
      <c r="L116" s="252" t="s">
        <v>132</v>
      </c>
      <c r="M116" s="252" t="s">
        <v>133</v>
      </c>
    </row>
    <row r="117" spans="1:13" x14ac:dyDescent="0.2">
      <c r="A117" s="252" t="s">
        <v>126</v>
      </c>
      <c r="B117" s="252" t="s">
        <v>127</v>
      </c>
      <c r="C117" s="252" t="s">
        <v>17</v>
      </c>
      <c r="D117" s="252" t="s">
        <v>13</v>
      </c>
      <c r="E117" s="253">
        <v>43166</v>
      </c>
      <c r="F117" s="254">
        <v>7.8475229999999998</v>
      </c>
      <c r="G117" s="255" t="s">
        <v>15</v>
      </c>
      <c r="H117" s="252" t="s">
        <v>16</v>
      </c>
      <c r="I117" s="255">
        <v>4</v>
      </c>
      <c r="J117" s="255" t="s">
        <v>129</v>
      </c>
      <c r="K117" s="255" t="s">
        <v>130</v>
      </c>
      <c r="L117" s="252" t="s">
        <v>132</v>
      </c>
      <c r="M117" s="252" t="s">
        <v>133</v>
      </c>
    </row>
    <row r="118" spans="1:13" x14ac:dyDescent="0.2">
      <c r="A118" s="252" t="s">
        <v>126</v>
      </c>
      <c r="B118" s="252" t="s">
        <v>127</v>
      </c>
      <c r="C118" s="252" t="s">
        <v>17</v>
      </c>
      <c r="D118" s="252" t="s">
        <v>13</v>
      </c>
      <c r="E118" s="253">
        <v>43159</v>
      </c>
      <c r="F118" s="254">
        <v>4.13</v>
      </c>
      <c r="G118" s="255" t="s">
        <v>14</v>
      </c>
      <c r="H118" s="252" t="s">
        <v>128</v>
      </c>
      <c r="I118" s="255">
        <v>1</v>
      </c>
      <c r="J118" s="255" t="s">
        <v>129</v>
      </c>
      <c r="K118" s="255" t="s">
        <v>130</v>
      </c>
      <c r="L118" s="252" t="s">
        <v>131</v>
      </c>
      <c r="M118" s="252" t="s">
        <v>128</v>
      </c>
    </row>
    <row r="119" spans="1:13" x14ac:dyDescent="0.2">
      <c r="A119" s="252" t="s">
        <v>126</v>
      </c>
      <c r="B119" s="252" t="s">
        <v>127</v>
      </c>
      <c r="C119" s="252" t="s">
        <v>17</v>
      </c>
      <c r="D119" s="252" t="s">
        <v>13</v>
      </c>
      <c r="E119" s="253">
        <v>43159</v>
      </c>
      <c r="F119" s="254">
        <v>4.6499670000000002</v>
      </c>
      <c r="G119" s="255" t="s">
        <v>15</v>
      </c>
      <c r="H119" s="252" t="s">
        <v>128</v>
      </c>
      <c r="I119" s="255">
        <v>1</v>
      </c>
      <c r="J119" s="255" t="s">
        <v>129</v>
      </c>
      <c r="K119" s="255" t="s">
        <v>130</v>
      </c>
      <c r="L119" s="252" t="s">
        <v>131</v>
      </c>
      <c r="M119" s="252" t="s">
        <v>128</v>
      </c>
    </row>
    <row r="120" spans="1:13" x14ac:dyDescent="0.2">
      <c r="A120" s="252" t="s">
        <v>126</v>
      </c>
      <c r="B120" s="252" t="s">
        <v>127</v>
      </c>
      <c r="C120" s="252" t="s">
        <v>17</v>
      </c>
      <c r="D120" s="252" t="s">
        <v>13</v>
      </c>
      <c r="E120" s="253">
        <v>43159</v>
      </c>
      <c r="F120" s="254">
        <v>3.64</v>
      </c>
      <c r="G120" s="255" t="s">
        <v>14</v>
      </c>
      <c r="H120" s="252" t="s">
        <v>16</v>
      </c>
      <c r="I120" s="255">
        <v>4</v>
      </c>
      <c r="J120" s="255" t="s">
        <v>129</v>
      </c>
      <c r="K120" s="255" t="s">
        <v>130</v>
      </c>
      <c r="L120" s="252" t="s">
        <v>132</v>
      </c>
      <c r="M120" s="252" t="s">
        <v>133</v>
      </c>
    </row>
    <row r="121" spans="1:13" x14ac:dyDescent="0.2">
      <c r="A121" s="252" t="s">
        <v>126</v>
      </c>
      <c r="B121" s="252" t="s">
        <v>127</v>
      </c>
      <c r="C121" s="252" t="s">
        <v>17</v>
      </c>
      <c r="D121" s="252" t="s">
        <v>13</v>
      </c>
      <c r="E121" s="253">
        <v>43159</v>
      </c>
      <c r="F121" s="254">
        <v>3.946488</v>
      </c>
      <c r="G121" s="255" t="s">
        <v>15</v>
      </c>
      <c r="H121" s="252" t="s">
        <v>16</v>
      </c>
      <c r="I121" s="255">
        <v>4</v>
      </c>
      <c r="J121" s="255" t="s">
        <v>129</v>
      </c>
      <c r="K121" s="255" t="s">
        <v>130</v>
      </c>
      <c r="L121" s="252" t="s">
        <v>132</v>
      </c>
      <c r="M121" s="252" t="s">
        <v>133</v>
      </c>
    </row>
    <row r="122" spans="1:13" x14ac:dyDescent="0.2">
      <c r="A122" s="252" t="s">
        <v>126</v>
      </c>
      <c r="B122" s="252" t="s">
        <v>127</v>
      </c>
      <c r="C122" s="252" t="s">
        <v>17</v>
      </c>
      <c r="D122" s="252" t="s">
        <v>13</v>
      </c>
      <c r="E122" s="253">
        <v>43152</v>
      </c>
      <c r="F122" s="254">
        <v>3.53</v>
      </c>
      <c r="G122" s="255" t="s">
        <v>14</v>
      </c>
      <c r="H122" s="252" t="s">
        <v>128</v>
      </c>
      <c r="I122" s="255">
        <v>1</v>
      </c>
      <c r="J122" s="255" t="s">
        <v>129</v>
      </c>
      <c r="K122" s="255" t="s">
        <v>130</v>
      </c>
      <c r="L122" s="252" t="s">
        <v>131</v>
      </c>
      <c r="M122" s="252" t="s">
        <v>128</v>
      </c>
    </row>
    <row r="123" spans="1:13" x14ac:dyDescent="0.2">
      <c r="A123" s="252" t="s">
        <v>126</v>
      </c>
      <c r="B123" s="252" t="s">
        <v>127</v>
      </c>
      <c r="C123" s="252" t="s">
        <v>17</v>
      </c>
      <c r="D123" s="252" t="s">
        <v>13</v>
      </c>
      <c r="E123" s="253">
        <v>43152</v>
      </c>
      <c r="F123" s="254">
        <v>5.8880400000000002</v>
      </c>
      <c r="G123" s="255" t="s">
        <v>15</v>
      </c>
      <c r="H123" s="252" t="s">
        <v>128</v>
      </c>
      <c r="I123" s="255">
        <v>1</v>
      </c>
      <c r="J123" s="255" t="s">
        <v>129</v>
      </c>
      <c r="K123" s="255" t="s">
        <v>130</v>
      </c>
      <c r="L123" s="252" t="s">
        <v>131</v>
      </c>
      <c r="M123" s="252" t="s">
        <v>128</v>
      </c>
    </row>
    <row r="124" spans="1:13" x14ac:dyDescent="0.2">
      <c r="A124" s="252" t="s">
        <v>126</v>
      </c>
      <c r="B124" s="252" t="s">
        <v>127</v>
      </c>
      <c r="C124" s="252" t="s">
        <v>17</v>
      </c>
      <c r="D124" s="252" t="s">
        <v>13</v>
      </c>
      <c r="E124" s="253">
        <v>43152</v>
      </c>
      <c r="F124" s="254">
        <v>2.2999999999999998</v>
      </c>
      <c r="G124" s="255" t="s">
        <v>14</v>
      </c>
      <c r="H124" s="252" t="s">
        <v>16</v>
      </c>
      <c r="I124" s="255">
        <v>4</v>
      </c>
      <c r="J124" s="255" t="s">
        <v>129</v>
      </c>
      <c r="K124" s="255" t="s">
        <v>130</v>
      </c>
      <c r="L124" s="252" t="s">
        <v>132</v>
      </c>
      <c r="M124" s="252" t="s">
        <v>133</v>
      </c>
    </row>
    <row r="125" spans="1:13" x14ac:dyDescent="0.2">
      <c r="A125" s="252" t="s">
        <v>126</v>
      </c>
      <c r="B125" s="252" t="s">
        <v>127</v>
      </c>
      <c r="C125" s="252" t="s">
        <v>17</v>
      </c>
      <c r="D125" s="252" t="s">
        <v>13</v>
      </c>
      <c r="E125" s="253">
        <v>43152</v>
      </c>
      <c r="F125" s="254">
        <v>11.777748000000001</v>
      </c>
      <c r="G125" s="255" t="s">
        <v>15</v>
      </c>
      <c r="H125" s="252" t="s">
        <v>16</v>
      </c>
      <c r="I125" s="255">
        <v>4</v>
      </c>
      <c r="J125" s="255" t="s">
        <v>129</v>
      </c>
      <c r="K125" s="255" t="s">
        <v>130</v>
      </c>
      <c r="L125" s="252" t="s">
        <v>132</v>
      </c>
      <c r="M125" s="252" t="s">
        <v>133</v>
      </c>
    </row>
    <row r="126" spans="1:13" x14ac:dyDescent="0.2">
      <c r="A126" s="252" t="s">
        <v>126</v>
      </c>
      <c r="B126" s="252" t="s">
        <v>127</v>
      </c>
      <c r="C126" s="252" t="s">
        <v>17</v>
      </c>
      <c r="D126" s="252" t="s">
        <v>13</v>
      </c>
      <c r="E126" s="253">
        <v>43145</v>
      </c>
      <c r="F126" s="254">
        <v>4.97</v>
      </c>
      <c r="G126" s="255" t="s">
        <v>14</v>
      </c>
      <c r="H126" s="252" t="s">
        <v>128</v>
      </c>
      <c r="I126" s="255">
        <v>1</v>
      </c>
      <c r="J126" s="255" t="s">
        <v>129</v>
      </c>
      <c r="K126" s="255" t="s">
        <v>130</v>
      </c>
      <c r="L126" s="252" t="s">
        <v>131</v>
      </c>
      <c r="M126" s="252" t="s">
        <v>128</v>
      </c>
    </row>
    <row r="127" spans="1:13" x14ac:dyDescent="0.2">
      <c r="A127" s="252" t="s">
        <v>126</v>
      </c>
      <c r="B127" s="252" t="s">
        <v>127</v>
      </c>
      <c r="C127" s="252" t="s">
        <v>17</v>
      </c>
      <c r="D127" s="252" t="s">
        <v>13</v>
      </c>
      <c r="E127" s="253">
        <v>43145</v>
      </c>
      <c r="F127" s="254">
        <v>6.2589198000000001</v>
      </c>
      <c r="G127" s="255" t="s">
        <v>15</v>
      </c>
      <c r="H127" s="252" t="s">
        <v>128</v>
      </c>
      <c r="I127" s="255">
        <v>1</v>
      </c>
      <c r="J127" s="255" t="s">
        <v>129</v>
      </c>
      <c r="K127" s="255" t="s">
        <v>130</v>
      </c>
      <c r="L127" s="252" t="s">
        <v>131</v>
      </c>
      <c r="M127" s="252" t="s">
        <v>128</v>
      </c>
    </row>
    <row r="128" spans="1:13" x14ac:dyDescent="0.2">
      <c r="A128" s="252" t="s">
        <v>126</v>
      </c>
      <c r="B128" s="252" t="s">
        <v>127</v>
      </c>
      <c r="C128" s="252" t="s">
        <v>17</v>
      </c>
      <c r="D128" s="252" t="s">
        <v>13</v>
      </c>
      <c r="E128" s="253">
        <v>43145</v>
      </c>
      <c r="F128" s="254">
        <v>4.4400000000000004</v>
      </c>
      <c r="G128" s="255" t="s">
        <v>14</v>
      </c>
      <c r="H128" s="252" t="s">
        <v>16</v>
      </c>
      <c r="I128" s="255">
        <v>4</v>
      </c>
      <c r="J128" s="255" t="s">
        <v>129</v>
      </c>
      <c r="K128" s="255" t="s">
        <v>130</v>
      </c>
      <c r="L128" s="252" t="s">
        <v>132</v>
      </c>
      <c r="M128" s="252" t="s">
        <v>133</v>
      </c>
    </row>
    <row r="129" spans="1:13" x14ac:dyDescent="0.2">
      <c r="A129" s="252" t="s">
        <v>126</v>
      </c>
      <c r="B129" s="252" t="s">
        <v>127</v>
      </c>
      <c r="C129" s="252" t="s">
        <v>17</v>
      </c>
      <c r="D129" s="252" t="s">
        <v>13</v>
      </c>
      <c r="E129" s="253">
        <v>43145</v>
      </c>
      <c r="F129" s="254">
        <v>5.1100848000000001</v>
      </c>
      <c r="G129" s="255" t="s">
        <v>15</v>
      </c>
      <c r="H129" s="252" t="s">
        <v>16</v>
      </c>
      <c r="I129" s="255">
        <v>4</v>
      </c>
      <c r="J129" s="255" t="s">
        <v>129</v>
      </c>
      <c r="K129" s="255" t="s">
        <v>130</v>
      </c>
      <c r="L129" s="252" t="s">
        <v>132</v>
      </c>
      <c r="M129" s="252" t="s">
        <v>133</v>
      </c>
    </row>
    <row r="130" spans="1:13" x14ac:dyDescent="0.2">
      <c r="A130" s="252" t="s">
        <v>126</v>
      </c>
      <c r="B130" s="252" t="s">
        <v>127</v>
      </c>
      <c r="C130" s="252" t="s">
        <v>17</v>
      </c>
      <c r="D130" s="252" t="s">
        <v>13</v>
      </c>
      <c r="E130" s="253">
        <v>43138</v>
      </c>
      <c r="F130" s="254">
        <v>5.44</v>
      </c>
      <c r="G130" s="255" t="s">
        <v>14</v>
      </c>
      <c r="H130" s="252" t="s">
        <v>128</v>
      </c>
      <c r="I130" s="255">
        <v>1</v>
      </c>
      <c r="J130" s="255" t="s">
        <v>129</v>
      </c>
      <c r="K130" s="255" t="s">
        <v>130</v>
      </c>
      <c r="L130" s="252" t="s">
        <v>131</v>
      </c>
      <c r="M130" s="252" t="s">
        <v>128</v>
      </c>
    </row>
    <row r="131" spans="1:13" x14ac:dyDescent="0.2">
      <c r="A131" s="252" t="s">
        <v>126</v>
      </c>
      <c r="B131" s="252" t="s">
        <v>127</v>
      </c>
      <c r="C131" s="252" t="s">
        <v>17</v>
      </c>
      <c r="D131" s="252" t="s">
        <v>13</v>
      </c>
      <c r="E131" s="253">
        <v>43138</v>
      </c>
      <c r="F131" s="254">
        <v>5.6258303999999999</v>
      </c>
      <c r="G131" s="255" t="s">
        <v>15</v>
      </c>
      <c r="H131" s="252" t="s">
        <v>128</v>
      </c>
      <c r="I131" s="255">
        <v>1</v>
      </c>
      <c r="J131" s="255" t="s">
        <v>129</v>
      </c>
      <c r="K131" s="255" t="s">
        <v>130</v>
      </c>
      <c r="L131" s="252" t="s">
        <v>131</v>
      </c>
      <c r="M131" s="252" t="s">
        <v>128</v>
      </c>
    </row>
    <row r="132" spans="1:13" x14ac:dyDescent="0.2">
      <c r="A132" s="252" t="s">
        <v>126</v>
      </c>
      <c r="B132" s="252" t="s">
        <v>127</v>
      </c>
      <c r="C132" s="252" t="s">
        <v>17</v>
      </c>
      <c r="D132" s="252" t="s">
        <v>13</v>
      </c>
      <c r="E132" s="253">
        <v>43138</v>
      </c>
      <c r="F132" s="254">
        <v>3.77</v>
      </c>
      <c r="G132" s="255" t="s">
        <v>14</v>
      </c>
      <c r="H132" s="252" t="s">
        <v>16</v>
      </c>
      <c r="I132" s="255">
        <v>4</v>
      </c>
      <c r="J132" s="255" t="s">
        <v>129</v>
      </c>
      <c r="K132" s="255" t="s">
        <v>130</v>
      </c>
      <c r="L132" s="252" t="s">
        <v>132</v>
      </c>
      <c r="M132" s="252" t="s">
        <v>133</v>
      </c>
    </row>
    <row r="133" spans="1:13" x14ac:dyDescent="0.2">
      <c r="A133" s="252" t="s">
        <v>126</v>
      </c>
      <c r="B133" s="252" t="s">
        <v>127</v>
      </c>
      <c r="C133" s="252" t="s">
        <v>17</v>
      </c>
      <c r="D133" s="252" t="s">
        <v>13</v>
      </c>
      <c r="E133" s="253">
        <v>43138</v>
      </c>
      <c r="F133" s="254">
        <v>5.1564551999999999</v>
      </c>
      <c r="G133" s="255" t="s">
        <v>15</v>
      </c>
      <c r="H133" s="252" t="s">
        <v>16</v>
      </c>
      <c r="I133" s="255">
        <v>4</v>
      </c>
      <c r="J133" s="255" t="s">
        <v>129</v>
      </c>
      <c r="K133" s="255" t="s">
        <v>130</v>
      </c>
      <c r="L133" s="252" t="s">
        <v>132</v>
      </c>
      <c r="M133" s="252" t="s">
        <v>133</v>
      </c>
    </row>
    <row r="134" spans="1:13" x14ac:dyDescent="0.2">
      <c r="A134" s="252" t="s">
        <v>126</v>
      </c>
      <c r="B134" s="252" t="s">
        <v>127</v>
      </c>
      <c r="C134" s="252" t="s">
        <v>17</v>
      </c>
      <c r="D134" s="252" t="s">
        <v>13</v>
      </c>
      <c r="E134" s="253">
        <v>43131</v>
      </c>
      <c r="F134" s="254">
        <v>5.01</v>
      </c>
      <c r="G134" s="255" t="s">
        <v>14</v>
      </c>
      <c r="H134" s="252" t="s">
        <v>128</v>
      </c>
      <c r="I134" s="255">
        <v>1</v>
      </c>
      <c r="J134" s="255" t="s">
        <v>129</v>
      </c>
      <c r="K134" s="255" t="s">
        <v>130</v>
      </c>
      <c r="L134" s="252" t="s">
        <v>131</v>
      </c>
      <c r="M134" s="252" t="s">
        <v>128</v>
      </c>
    </row>
    <row r="135" spans="1:13" x14ac:dyDescent="0.2">
      <c r="A135" s="252" t="s">
        <v>126</v>
      </c>
      <c r="B135" s="252" t="s">
        <v>127</v>
      </c>
      <c r="C135" s="252" t="s">
        <v>17</v>
      </c>
      <c r="D135" s="252" t="s">
        <v>13</v>
      </c>
      <c r="E135" s="253">
        <v>43131</v>
      </c>
      <c r="F135" s="254">
        <v>5.7661091999999998</v>
      </c>
      <c r="G135" s="255" t="s">
        <v>15</v>
      </c>
      <c r="H135" s="252" t="s">
        <v>128</v>
      </c>
      <c r="I135" s="255">
        <v>1</v>
      </c>
      <c r="J135" s="255" t="s">
        <v>129</v>
      </c>
      <c r="K135" s="255" t="s">
        <v>130</v>
      </c>
      <c r="L135" s="252" t="s">
        <v>131</v>
      </c>
      <c r="M135" s="252" t="s">
        <v>128</v>
      </c>
    </row>
    <row r="136" spans="1:13" x14ac:dyDescent="0.2">
      <c r="A136" s="252" t="s">
        <v>126</v>
      </c>
      <c r="B136" s="252" t="s">
        <v>127</v>
      </c>
      <c r="C136" s="252" t="s">
        <v>17</v>
      </c>
      <c r="D136" s="252" t="s">
        <v>13</v>
      </c>
      <c r="E136" s="253">
        <v>43131</v>
      </c>
      <c r="F136" s="254">
        <v>3.29</v>
      </c>
      <c r="G136" s="255" t="s">
        <v>14</v>
      </c>
      <c r="H136" s="252" t="s">
        <v>16</v>
      </c>
      <c r="I136" s="255">
        <v>4</v>
      </c>
      <c r="J136" s="255" t="s">
        <v>129</v>
      </c>
      <c r="K136" s="255" t="s">
        <v>130</v>
      </c>
      <c r="L136" s="252" t="s">
        <v>132</v>
      </c>
      <c r="M136" s="252" t="s">
        <v>133</v>
      </c>
    </row>
    <row r="137" spans="1:13" x14ac:dyDescent="0.2">
      <c r="A137" s="252" t="s">
        <v>126</v>
      </c>
      <c r="B137" s="252" t="s">
        <v>127</v>
      </c>
      <c r="C137" s="252" t="s">
        <v>17</v>
      </c>
      <c r="D137" s="252" t="s">
        <v>13</v>
      </c>
      <c r="E137" s="253">
        <v>43131</v>
      </c>
      <c r="F137" s="254">
        <v>3.2103161999999998</v>
      </c>
      <c r="G137" s="255" t="s">
        <v>15</v>
      </c>
      <c r="H137" s="252" t="s">
        <v>16</v>
      </c>
      <c r="I137" s="255">
        <v>4</v>
      </c>
      <c r="J137" s="255" t="s">
        <v>129</v>
      </c>
      <c r="K137" s="255" t="s">
        <v>130</v>
      </c>
      <c r="L137" s="252" t="s">
        <v>132</v>
      </c>
      <c r="M137" s="252" t="s">
        <v>133</v>
      </c>
    </row>
    <row r="138" spans="1:13" x14ac:dyDescent="0.2">
      <c r="A138" s="252" t="s">
        <v>126</v>
      </c>
      <c r="B138" s="252" t="s">
        <v>127</v>
      </c>
      <c r="C138" s="252" t="s">
        <v>17</v>
      </c>
      <c r="D138" s="252" t="s">
        <v>13</v>
      </c>
      <c r="E138" s="253">
        <v>43124</v>
      </c>
      <c r="F138" s="254">
        <v>4.6399999999999997</v>
      </c>
      <c r="G138" s="255" t="s">
        <v>14</v>
      </c>
      <c r="H138" s="252" t="s">
        <v>128</v>
      </c>
      <c r="I138" s="255">
        <v>1</v>
      </c>
      <c r="J138" s="255" t="s">
        <v>129</v>
      </c>
      <c r="K138" s="255" t="s">
        <v>130</v>
      </c>
      <c r="L138" s="252" t="s">
        <v>131</v>
      </c>
      <c r="M138" s="252" t="s">
        <v>128</v>
      </c>
    </row>
    <row r="139" spans="1:13" x14ac:dyDescent="0.2">
      <c r="A139" s="252" t="s">
        <v>126</v>
      </c>
      <c r="B139" s="252" t="s">
        <v>127</v>
      </c>
      <c r="C139" s="252" t="s">
        <v>17</v>
      </c>
      <c r="D139" s="252" t="s">
        <v>13</v>
      </c>
      <c r="E139" s="253">
        <v>43124</v>
      </c>
      <c r="F139" s="254">
        <v>5.6885472000000004</v>
      </c>
      <c r="G139" s="255" t="s">
        <v>15</v>
      </c>
      <c r="H139" s="252" t="s">
        <v>128</v>
      </c>
      <c r="I139" s="255">
        <v>1</v>
      </c>
      <c r="J139" s="255" t="s">
        <v>129</v>
      </c>
      <c r="K139" s="255" t="s">
        <v>130</v>
      </c>
      <c r="L139" s="252" t="s">
        <v>131</v>
      </c>
      <c r="M139" s="252" t="s">
        <v>128</v>
      </c>
    </row>
    <row r="140" spans="1:13" x14ac:dyDescent="0.2">
      <c r="A140" s="252" t="s">
        <v>126</v>
      </c>
      <c r="B140" s="252" t="s">
        <v>127</v>
      </c>
      <c r="C140" s="252" t="s">
        <v>17</v>
      </c>
      <c r="D140" s="252" t="s">
        <v>13</v>
      </c>
      <c r="E140" s="253">
        <v>43124</v>
      </c>
      <c r="F140" s="254">
        <v>4.0199999999999996</v>
      </c>
      <c r="G140" s="255" t="s">
        <v>14</v>
      </c>
      <c r="H140" s="252" t="s">
        <v>16</v>
      </c>
      <c r="I140" s="255">
        <v>4</v>
      </c>
      <c r="J140" s="255" t="s">
        <v>129</v>
      </c>
      <c r="K140" s="255" t="s">
        <v>130</v>
      </c>
      <c r="L140" s="252" t="s">
        <v>132</v>
      </c>
      <c r="M140" s="252" t="s">
        <v>133</v>
      </c>
    </row>
    <row r="141" spans="1:13" x14ac:dyDescent="0.2">
      <c r="A141" s="252" t="s">
        <v>126</v>
      </c>
      <c r="B141" s="252" t="s">
        <v>127</v>
      </c>
      <c r="C141" s="252" t="s">
        <v>17</v>
      </c>
      <c r="D141" s="252" t="s">
        <v>13</v>
      </c>
      <c r="E141" s="253">
        <v>43124</v>
      </c>
      <c r="F141" s="254">
        <v>3.9561624000000002</v>
      </c>
      <c r="G141" s="255" t="s">
        <v>15</v>
      </c>
      <c r="H141" s="252" t="s">
        <v>16</v>
      </c>
      <c r="I141" s="255">
        <v>4</v>
      </c>
      <c r="J141" s="255" t="s">
        <v>129</v>
      </c>
      <c r="K141" s="255" t="s">
        <v>130</v>
      </c>
      <c r="L141" s="252" t="s">
        <v>132</v>
      </c>
      <c r="M141" s="252" t="s">
        <v>133</v>
      </c>
    </row>
    <row r="142" spans="1:13" x14ac:dyDescent="0.2">
      <c r="A142" s="252" t="s">
        <v>126</v>
      </c>
      <c r="B142" s="252" t="s">
        <v>127</v>
      </c>
      <c r="C142" s="252" t="s">
        <v>17</v>
      </c>
      <c r="D142" s="252" t="s">
        <v>13</v>
      </c>
      <c r="E142" s="253">
        <v>43117</v>
      </c>
      <c r="F142" s="254">
        <v>4.59</v>
      </c>
      <c r="G142" s="255" t="s">
        <v>14</v>
      </c>
      <c r="H142" s="252" t="s">
        <v>128</v>
      </c>
      <c r="I142" s="255">
        <v>1</v>
      </c>
      <c r="J142" s="255" t="s">
        <v>129</v>
      </c>
      <c r="K142" s="255" t="s">
        <v>130</v>
      </c>
      <c r="L142" s="252" t="s">
        <v>131</v>
      </c>
      <c r="M142" s="252" t="s">
        <v>128</v>
      </c>
    </row>
    <row r="143" spans="1:13" x14ac:dyDescent="0.2">
      <c r="A143" s="252" t="s">
        <v>126</v>
      </c>
      <c r="B143" s="252" t="s">
        <v>127</v>
      </c>
      <c r="C143" s="252" t="s">
        <v>17</v>
      </c>
      <c r="D143" s="252" t="s">
        <v>13</v>
      </c>
      <c r="E143" s="253">
        <v>43117</v>
      </c>
      <c r="F143" s="254">
        <v>5.8569317999999999</v>
      </c>
      <c r="G143" s="255" t="s">
        <v>15</v>
      </c>
      <c r="H143" s="252" t="s">
        <v>128</v>
      </c>
      <c r="I143" s="255">
        <v>1</v>
      </c>
      <c r="J143" s="255" t="s">
        <v>129</v>
      </c>
      <c r="K143" s="255" t="s">
        <v>130</v>
      </c>
      <c r="L143" s="252" t="s">
        <v>131</v>
      </c>
      <c r="M143" s="252" t="s">
        <v>128</v>
      </c>
    </row>
    <row r="144" spans="1:13" x14ac:dyDescent="0.2">
      <c r="A144" s="252" t="s">
        <v>126</v>
      </c>
      <c r="B144" s="252" t="s">
        <v>127</v>
      </c>
      <c r="C144" s="252" t="s">
        <v>17</v>
      </c>
      <c r="D144" s="252" t="s">
        <v>13</v>
      </c>
      <c r="E144" s="253">
        <v>43117</v>
      </c>
      <c r="F144" s="254">
        <v>4.5</v>
      </c>
      <c r="G144" s="255" t="s">
        <v>14</v>
      </c>
      <c r="H144" s="252" t="s">
        <v>16</v>
      </c>
      <c r="I144" s="255">
        <v>4</v>
      </c>
      <c r="J144" s="255" t="s">
        <v>129</v>
      </c>
      <c r="K144" s="255" t="s">
        <v>130</v>
      </c>
      <c r="L144" s="252" t="s">
        <v>132</v>
      </c>
      <c r="M144" s="252" t="s">
        <v>133</v>
      </c>
    </row>
    <row r="145" spans="1:13" x14ac:dyDescent="0.2">
      <c r="A145" s="252" t="s">
        <v>126</v>
      </c>
      <c r="B145" s="252" t="s">
        <v>127</v>
      </c>
      <c r="C145" s="252" t="s">
        <v>17</v>
      </c>
      <c r="D145" s="252" t="s">
        <v>13</v>
      </c>
      <c r="E145" s="253">
        <v>43117</v>
      </c>
      <c r="F145" s="254">
        <v>4.7287800000000004</v>
      </c>
      <c r="G145" s="255" t="s">
        <v>15</v>
      </c>
      <c r="H145" s="252" t="s">
        <v>16</v>
      </c>
      <c r="I145" s="255">
        <v>4</v>
      </c>
      <c r="J145" s="255" t="s">
        <v>129</v>
      </c>
      <c r="K145" s="255" t="s">
        <v>130</v>
      </c>
      <c r="L145" s="252" t="s">
        <v>132</v>
      </c>
      <c r="M145" s="252" t="s">
        <v>133</v>
      </c>
    </row>
    <row r="146" spans="1:13" x14ac:dyDescent="0.2">
      <c r="A146" s="252" t="s">
        <v>126</v>
      </c>
      <c r="B146" s="252" t="s">
        <v>127</v>
      </c>
      <c r="C146" s="252" t="s">
        <v>17</v>
      </c>
      <c r="D146" s="252" t="s">
        <v>13</v>
      </c>
      <c r="E146" s="253">
        <v>43110</v>
      </c>
      <c r="F146" s="254">
        <v>6.5</v>
      </c>
      <c r="G146" s="255" t="s">
        <v>14</v>
      </c>
      <c r="H146" s="252" t="s">
        <v>128</v>
      </c>
      <c r="I146" s="255">
        <v>1</v>
      </c>
      <c r="J146" s="255" t="s">
        <v>129</v>
      </c>
      <c r="K146" s="255" t="s">
        <v>130</v>
      </c>
      <c r="L146" s="252" t="s">
        <v>131</v>
      </c>
      <c r="M146" s="252" t="s">
        <v>128</v>
      </c>
    </row>
    <row r="147" spans="1:13" x14ac:dyDescent="0.2">
      <c r="A147" s="252" t="s">
        <v>126</v>
      </c>
      <c r="B147" s="252" t="s">
        <v>127</v>
      </c>
      <c r="C147" s="252" t="s">
        <v>17</v>
      </c>
      <c r="D147" s="252" t="s">
        <v>13</v>
      </c>
      <c r="E147" s="253">
        <v>43110</v>
      </c>
      <c r="F147" s="254">
        <v>8.0772899999999996</v>
      </c>
      <c r="G147" s="255" t="s">
        <v>15</v>
      </c>
      <c r="H147" s="252" t="s">
        <v>128</v>
      </c>
      <c r="I147" s="255">
        <v>1</v>
      </c>
      <c r="J147" s="255" t="s">
        <v>129</v>
      </c>
      <c r="K147" s="255" t="s">
        <v>130</v>
      </c>
      <c r="L147" s="252" t="s">
        <v>131</v>
      </c>
      <c r="M147" s="252" t="s">
        <v>128</v>
      </c>
    </row>
    <row r="148" spans="1:13" x14ac:dyDescent="0.2">
      <c r="A148" s="252" t="s">
        <v>126</v>
      </c>
      <c r="B148" s="252" t="s">
        <v>127</v>
      </c>
      <c r="C148" s="252" t="s">
        <v>17</v>
      </c>
      <c r="D148" s="252" t="s">
        <v>13</v>
      </c>
      <c r="E148" s="253">
        <v>43110</v>
      </c>
      <c r="F148" s="254">
        <v>4.18</v>
      </c>
      <c r="G148" s="255" t="s">
        <v>14</v>
      </c>
      <c r="H148" s="252" t="s">
        <v>16</v>
      </c>
      <c r="I148" s="255">
        <v>4</v>
      </c>
      <c r="J148" s="255" t="s">
        <v>129</v>
      </c>
      <c r="K148" s="255" t="s">
        <v>130</v>
      </c>
      <c r="L148" s="252" t="s">
        <v>132</v>
      </c>
      <c r="M148" s="252" t="s">
        <v>133</v>
      </c>
    </row>
    <row r="149" spans="1:13" x14ac:dyDescent="0.2">
      <c r="A149" s="252" t="s">
        <v>126</v>
      </c>
      <c r="B149" s="252" t="s">
        <v>127</v>
      </c>
      <c r="C149" s="252" t="s">
        <v>17</v>
      </c>
      <c r="D149" s="252" t="s">
        <v>13</v>
      </c>
      <c r="E149" s="253">
        <v>43110</v>
      </c>
      <c r="F149" s="254">
        <v>4.9851516</v>
      </c>
      <c r="G149" s="255" t="s">
        <v>15</v>
      </c>
      <c r="H149" s="252" t="s">
        <v>16</v>
      </c>
      <c r="I149" s="255">
        <v>4</v>
      </c>
      <c r="J149" s="255" t="s">
        <v>129</v>
      </c>
      <c r="K149" s="255" t="s">
        <v>130</v>
      </c>
      <c r="L149" s="252" t="s">
        <v>132</v>
      </c>
      <c r="M149" s="252" t="s">
        <v>133</v>
      </c>
    </row>
    <row r="150" spans="1:13" x14ac:dyDescent="0.2">
      <c r="A150" s="252" t="s">
        <v>126</v>
      </c>
      <c r="B150" s="252" t="s">
        <v>127</v>
      </c>
      <c r="C150" s="252" t="s">
        <v>17</v>
      </c>
      <c r="D150" s="252" t="s">
        <v>13</v>
      </c>
      <c r="E150" s="253">
        <v>43103</v>
      </c>
      <c r="F150" s="254">
        <v>4.33</v>
      </c>
      <c r="G150" s="255" t="s">
        <v>14</v>
      </c>
      <c r="H150" s="252" t="s">
        <v>128</v>
      </c>
      <c r="I150" s="255">
        <v>1</v>
      </c>
      <c r="J150" s="255" t="s">
        <v>129</v>
      </c>
      <c r="K150" s="255" t="s">
        <v>130</v>
      </c>
      <c r="L150" s="252" t="s">
        <v>131</v>
      </c>
      <c r="M150" s="252" t="s">
        <v>128</v>
      </c>
    </row>
    <row r="151" spans="1:13" x14ac:dyDescent="0.2">
      <c r="A151" s="252" t="s">
        <v>126</v>
      </c>
      <c r="B151" s="252" t="s">
        <v>127</v>
      </c>
      <c r="C151" s="252" t="s">
        <v>17</v>
      </c>
      <c r="D151" s="252" t="s">
        <v>13</v>
      </c>
      <c r="E151" s="253">
        <v>43103</v>
      </c>
      <c r="F151" s="254">
        <v>5.8862886000000003</v>
      </c>
      <c r="G151" s="255" t="s">
        <v>15</v>
      </c>
      <c r="H151" s="252" t="s">
        <v>128</v>
      </c>
      <c r="I151" s="255">
        <v>1</v>
      </c>
      <c r="J151" s="255" t="s">
        <v>129</v>
      </c>
      <c r="K151" s="255" t="s">
        <v>130</v>
      </c>
      <c r="L151" s="252" t="s">
        <v>131</v>
      </c>
      <c r="M151" s="252" t="s">
        <v>128</v>
      </c>
    </row>
    <row r="152" spans="1:13" x14ac:dyDescent="0.2">
      <c r="A152" s="252" t="s">
        <v>126</v>
      </c>
      <c r="B152" s="252" t="s">
        <v>127</v>
      </c>
      <c r="C152" s="252" t="s">
        <v>17</v>
      </c>
      <c r="D152" s="252" t="s">
        <v>13</v>
      </c>
      <c r="E152" s="253">
        <v>43103</v>
      </c>
      <c r="F152" s="254">
        <v>3.69</v>
      </c>
      <c r="G152" s="255" t="s">
        <v>14</v>
      </c>
      <c r="H152" s="252" t="s">
        <v>16</v>
      </c>
      <c r="I152" s="255">
        <v>4</v>
      </c>
      <c r="J152" s="255" t="s">
        <v>129</v>
      </c>
      <c r="K152" s="255" t="s">
        <v>130</v>
      </c>
      <c r="L152" s="252" t="s">
        <v>132</v>
      </c>
      <c r="M152" s="252" t="s">
        <v>133</v>
      </c>
    </row>
    <row r="153" spans="1:13" x14ac:dyDescent="0.2">
      <c r="A153" s="252" t="s">
        <v>126</v>
      </c>
      <c r="B153" s="252" t="s">
        <v>127</v>
      </c>
      <c r="C153" s="252" t="s">
        <v>17</v>
      </c>
      <c r="D153" s="252" t="s">
        <v>13</v>
      </c>
      <c r="E153" s="253">
        <v>43103</v>
      </c>
      <c r="F153" s="254">
        <v>4.2161201999999998</v>
      </c>
      <c r="G153" s="255" t="s">
        <v>15</v>
      </c>
      <c r="H153" s="252" t="s">
        <v>16</v>
      </c>
      <c r="I153" s="255">
        <v>4</v>
      </c>
      <c r="J153" s="255" t="s">
        <v>129</v>
      </c>
      <c r="K153" s="255" t="s">
        <v>130</v>
      </c>
      <c r="L153" s="252" t="s">
        <v>132</v>
      </c>
      <c r="M153" s="252" t="s">
        <v>133</v>
      </c>
    </row>
    <row r="154" spans="1:13" x14ac:dyDescent="0.2">
      <c r="A154" s="252" t="s">
        <v>126</v>
      </c>
      <c r="B154" s="252" t="s">
        <v>127</v>
      </c>
      <c r="C154" s="252" t="s">
        <v>17</v>
      </c>
      <c r="D154" s="252" t="s">
        <v>13</v>
      </c>
      <c r="E154" s="253">
        <v>43096</v>
      </c>
      <c r="F154" s="254">
        <v>6.26</v>
      </c>
      <c r="G154" s="255" t="s">
        <v>14</v>
      </c>
      <c r="H154" s="252" t="s">
        <v>128</v>
      </c>
      <c r="I154" s="255">
        <v>1</v>
      </c>
      <c r="J154" s="255" t="s">
        <v>129</v>
      </c>
      <c r="K154" s="255" t="s">
        <v>130</v>
      </c>
      <c r="L154" s="252" t="s">
        <v>131</v>
      </c>
      <c r="M154" s="252" t="s">
        <v>128</v>
      </c>
    </row>
    <row r="155" spans="1:13" x14ac:dyDescent="0.2">
      <c r="A155" s="252" t="s">
        <v>126</v>
      </c>
      <c r="B155" s="252" t="s">
        <v>127</v>
      </c>
      <c r="C155" s="252" t="s">
        <v>17</v>
      </c>
      <c r="D155" s="252" t="s">
        <v>13</v>
      </c>
      <c r="E155" s="253">
        <v>43096</v>
      </c>
      <c r="F155" s="254">
        <v>6.5782584000000002</v>
      </c>
      <c r="G155" s="255" t="s">
        <v>15</v>
      </c>
      <c r="H155" s="252" t="s">
        <v>128</v>
      </c>
      <c r="I155" s="255">
        <v>1</v>
      </c>
      <c r="J155" s="255" t="s">
        <v>129</v>
      </c>
      <c r="K155" s="255" t="s">
        <v>130</v>
      </c>
      <c r="L155" s="252" t="s">
        <v>131</v>
      </c>
      <c r="M155" s="252" t="s">
        <v>128</v>
      </c>
    </row>
    <row r="156" spans="1:13" x14ac:dyDescent="0.2">
      <c r="A156" s="252" t="s">
        <v>126</v>
      </c>
      <c r="B156" s="252" t="s">
        <v>127</v>
      </c>
      <c r="C156" s="252" t="s">
        <v>17</v>
      </c>
      <c r="D156" s="252" t="s">
        <v>13</v>
      </c>
      <c r="E156" s="253">
        <v>43096</v>
      </c>
      <c r="F156" s="254">
        <v>2.98</v>
      </c>
      <c r="G156" s="255" t="s">
        <v>14</v>
      </c>
      <c r="H156" s="252" t="s">
        <v>16</v>
      </c>
      <c r="I156" s="255">
        <v>4</v>
      </c>
      <c r="J156" s="255" t="s">
        <v>129</v>
      </c>
      <c r="K156" s="255" t="s">
        <v>130</v>
      </c>
      <c r="L156" s="252" t="s">
        <v>132</v>
      </c>
      <c r="M156" s="252" t="s">
        <v>133</v>
      </c>
    </row>
    <row r="157" spans="1:13" x14ac:dyDescent="0.2">
      <c r="A157" s="252" t="s">
        <v>126</v>
      </c>
      <c r="B157" s="252" t="s">
        <v>127</v>
      </c>
      <c r="C157" s="252" t="s">
        <v>17</v>
      </c>
      <c r="D157" s="252" t="s">
        <v>13</v>
      </c>
      <c r="E157" s="253">
        <v>43096</v>
      </c>
      <c r="F157" s="254">
        <v>2.5598795999999999</v>
      </c>
      <c r="G157" s="255" t="s">
        <v>15</v>
      </c>
      <c r="H157" s="252" t="s">
        <v>16</v>
      </c>
      <c r="I157" s="255">
        <v>4</v>
      </c>
      <c r="J157" s="255" t="s">
        <v>129</v>
      </c>
      <c r="K157" s="255" t="s">
        <v>130</v>
      </c>
      <c r="L157" s="252" t="s">
        <v>132</v>
      </c>
      <c r="M157" s="252" t="s">
        <v>133</v>
      </c>
    </row>
    <row r="158" spans="1:13" x14ac:dyDescent="0.2">
      <c r="A158" s="252" t="s">
        <v>126</v>
      </c>
      <c r="B158" s="252" t="s">
        <v>127</v>
      </c>
      <c r="C158" s="252" t="s">
        <v>17</v>
      </c>
      <c r="D158" s="252" t="s">
        <v>13</v>
      </c>
      <c r="E158" s="253">
        <v>43089</v>
      </c>
      <c r="F158" s="254">
        <v>5.79</v>
      </c>
      <c r="G158" s="255" t="s">
        <v>14</v>
      </c>
      <c r="H158" s="252" t="s">
        <v>128</v>
      </c>
      <c r="I158" s="255">
        <v>1</v>
      </c>
      <c r="J158" s="255" t="s">
        <v>129</v>
      </c>
      <c r="K158" s="255" t="s">
        <v>130</v>
      </c>
      <c r="L158" s="252" t="s">
        <v>131</v>
      </c>
      <c r="M158" s="252" t="s">
        <v>128</v>
      </c>
    </row>
    <row r="159" spans="1:13" x14ac:dyDescent="0.2">
      <c r="A159" s="252" t="s">
        <v>126</v>
      </c>
      <c r="B159" s="252" t="s">
        <v>127</v>
      </c>
      <c r="C159" s="252" t="s">
        <v>17</v>
      </c>
      <c r="D159" s="252" t="s">
        <v>13</v>
      </c>
      <c r="E159" s="253">
        <v>43089</v>
      </c>
      <c r="F159" s="254">
        <v>6.0360750000000003</v>
      </c>
      <c r="G159" s="255" t="s">
        <v>15</v>
      </c>
      <c r="H159" s="252" t="s">
        <v>128</v>
      </c>
      <c r="I159" s="255">
        <v>1</v>
      </c>
      <c r="J159" s="255" t="s">
        <v>129</v>
      </c>
      <c r="K159" s="255" t="s">
        <v>130</v>
      </c>
      <c r="L159" s="252" t="s">
        <v>131</v>
      </c>
      <c r="M159" s="252" t="s">
        <v>128</v>
      </c>
    </row>
    <row r="160" spans="1:13" x14ac:dyDescent="0.2">
      <c r="A160" s="252" t="s">
        <v>126</v>
      </c>
      <c r="B160" s="252" t="s">
        <v>127</v>
      </c>
      <c r="C160" s="252" t="s">
        <v>17</v>
      </c>
      <c r="D160" s="252" t="s">
        <v>13</v>
      </c>
      <c r="E160" s="253">
        <v>43089</v>
      </c>
      <c r="F160" s="254">
        <v>2.5299999999999998</v>
      </c>
      <c r="G160" s="255" t="s">
        <v>14</v>
      </c>
      <c r="H160" s="252" t="s">
        <v>16</v>
      </c>
      <c r="I160" s="255">
        <v>4</v>
      </c>
      <c r="J160" s="255" t="s">
        <v>129</v>
      </c>
      <c r="K160" s="255" t="s">
        <v>130</v>
      </c>
      <c r="L160" s="252" t="s">
        <v>132</v>
      </c>
      <c r="M160" s="252" t="s">
        <v>133</v>
      </c>
    </row>
    <row r="161" spans="1:13" x14ac:dyDescent="0.2">
      <c r="A161" s="252" t="s">
        <v>126</v>
      </c>
      <c r="B161" s="252" t="s">
        <v>127</v>
      </c>
      <c r="C161" s="252" t="s">
        <v>17</v>
      </c>
      <c r="D161" s="252" t="s">
        <v>13</v>
      </c>
      <c r="E161" s="253">
        <v>43089</v>
      </c>
      <c r="F161" s="254">
        <v>2.1944208000000001</v>
      </c>
      <c r="G161" s="255" t="s">
        <v>15</v>
      </c>
      <c r="H161" s="252" t="s">
        <v>16</v>
      </c>
      <c r="I161" s="255">
        <v>4</v>
      </c>
      <c r="J161" s="255" t="s">
        <v>129</v>
      </c>
      <c r="K161" s="255" t="s">
        <v>130</v>
      </c>
      <c r="L161" s="252" t="s">
        <v>132</v>
      </c>
      <c r="M161" s="252" t="s">
        <v>133</v>
      </c>
    </row>
    <row r="162" spans="1:13" x14ac:dyDescent="0.2">
      <c r="A162" s="252" t="s">
        <v>126</v>
      </c>
      <c r="B162" s="252" t="s">
        <v>127</v>
      </c>
      <c r="C162" s="252" t="s">
        <v>17</v>
      </c>
      <c r="D162" s="252" t="s">
        <v>13</v>
      </c>
      <c r="E162" s="253">
        <v>43082</v>
      </c>
      <c r="F162" s="254">
        <v>4.8600000000000003</v>
      </c>
      <c r="G162" s="255" t="s">
        <v>14</v>
      </c>
      <c r="H162" s="252" t="s">
        <v>128</v>
      </c>
      <c r="I162" s="255">
        <v>1</v>
      </c>
      <c r="J162" s="255" t="s">
        <v>129</v>
      </c>
      <c r="K162" s="255" t="s">
        <v>130</v>
      </c>
      <c r="L162" s="252" t="s">
        <v>131</v>
      </c>
      <c r="M162" s="252" t="s">
        <v>128</v>
      </c>
    </row>
    <row r="163" spans="1:13" x14ac:dyDescent="0.2">
      <c r="A163" s="252" t="s">
        <v>126</v>
      </c>
      <c r="B163" s="252" t="s">
        <v>127</v>
      </c>
      <c r="C163" s="252" t="s">
        <v>17</v>
      </c>
      <c r="D163" s="252" t="s">
        <v>13</v>
      </c>
      <c r="E163" s="253">
        <v>43082</v>
      </c>
      <c r="F163" s="254">
        <v>5.5529387999999997</v>
      </c>
      <c r="G163" s="255" t="s">
        <v>15</v>
      </c>
      <c r="H163" s="252" t="s">
        <v>128</v>
      </c>
      <c r="I163" s="255">
        <v>1</v>
      </c>
      <c r="J163" s="255" t="s">
        <v>129</v>
      </c>
      <c r="K163" s="255" t="s">
        <v>130</v>
      </c>
      <c r="L163" s="252" t="s">
        <v>131</v>
      </c>
      <c r="M163" s="252" t="s">
        <v>128</v>
      </c>
    </row>
    <row r="164" spans="1:13" x14ac:dyDescent="0.2">
      <c r="A164" s="252" t="s">
        <v>126</v>
      </c>
      <c r="B164" s="252" t="s">
        <v>127</v>
      </c>
      <c r="C164" s="252" t="s">
        <v>17</v>
      </c>
      <c r="D164" s="252" t="s">
        <v>13</v>
      </c>
      <c r="E164" s="253">
        <v>43082</v>
      </c>
      <c r="F164" s="254">
        <v>2.31</v>
      </c>
      <c r="G164" s="255" t="s">
        <v>14</v>
      </c>
      <c r="H164" s="252" t="s">
        <v>16</v>
      </c>
      <c r="I164" s="255">
        <v>4</v>
      </c>
      <c r="J164" s="255" t="s">
        <v>129</v>
      </c>
      <c r="K164" s="255" t="s">
        <v>130</v>
      </c>
      <c r="L164" s="252" t="s">
        <v>132</v>
      </c>
      <c r="M164" s="252" t="s">
        <v>133</v>
      </c>
    </row>
    <row r="165" spans="1:13" x14ac:dyDescent="0.2">
      <c r="A165" s="252" t="s">
        <v>126</v>
      </c>
      <c r="B165" s="252" t="s">
        <v>127</v>
      </c>
      <c r="C165" s="252" t="s">
        <v>17</v>
      </c>
      <c r="D165" s="252" t="s">
        <v>13</v>
      </c>
      <c r="E165" s="253">
        <v>43082</v>
      </c>
      <c r="F165" s="254">
        <v>1.9072746</v>
      </c>
      <c r="G165" s="255" t="s">
        <v>15</v>
      </c>
      <c r="H165" s="252" t="s">
        <v>16</v>
      </c>
      <c r="I165" s="255">
        <v>4</v>
      </c>
      <c r="J165" s="255" t="s">
        <v>129</v>
      </c>
      <c r="K165" s="255" t="s">
        <v>130</v>
      </c>
      <c r="L165" s="252" t="s">
        <v>132</v>
      </c>
      <c r="M165" s="252" t="s">
        <v>133</v>
      </c>
    </row>
    <row r="166" spans="1:13" x14ac:dyDescent="0.2">
      <c r="A166" s="252" t="s">
        <v>126</v>
      </c>
      <c r="B166" s="252" t="s">
        <v>127</v>
      </c>
      <c r="C166" s="252" t="s">
        <v>17</v>
      </c>
      <c r="D166" s="252" t="s">
        <v>13</v>
      </c>
      <c r="E166" s="253">
        <v>43075</v>
      </c>
      <c r="F166" s="254">
        <v>4.6399999999999997</v>
      </c>
      <c r="G166" s="255" t="s">
        <v>14</v>
      </c>
      <c r="H166" s="252" t="s">
        <v>128</v>
      </c>
      <c r="I166" s="255">
        <v>1</v>
      </c>
      <c r="J166" s="255" t="s">
        <v>129</v>
      </c>
      <c r="K166" s="255" t="s">
        <v>130</v>
      </c>
      <c r="L166" s="252" t="s">
        <v>131</v>
      </c>
      <c r="M166" s="252" t="s">
        <v>128</v>
      </c>
    </row>
    <row r="167" spans="1:13" x14ac:dyDescent="0.2">
      <c r="A167" s="252" t="s">
        <v>126</v>
      </c>
      <c r="B167" s="252" t="s">
        <v>127</v>
      </c>
      <c r="C167" s="252" t="s">
        <v>17</v>
      </c>
      <c r="D167" s="252" t="s">
        <v>13</v>
      </c>
      <c r="E167" s="253">
        <v>43075</v>
      </c>
      <c r="F167" s="254">
        <v>5.2241759999999999</v>
      </c>
      <c r="G167" s="255" t="s">
        <v>15</v>
      </c>
      <c r="H167" s="252" t="s">
        <v>128</v>
      </c>
      <c r="I167" s="255">
        <v>1</v>
      </c>
      <c r="J167" s="255" t="s">
        <v>129</v>
      </c>
      <c r="K167" s="255" t="s">
        <v>130</v>
      </c>
      <c r="L167" s="252" t="s">
        <v>131</v>
      </c>
      <c r="M167" s="252" t="s">
        <v>128</v>
      </c>
    </row>
    <row r="168" spans="1:13" x14ac:dyDescent="0.2">
      <c r="A168" s="252" t="s">
        <v>126</v>
      </c>
      <c r="B168" s="252" t="s">
        <v>127</v>
      </c>
      <c r="C168" s="252" t="s">
        <v>17</v>
      </c>
      <c r="D168" s="252" t="s">
        <v>13</v>
      </c>
      <c r="E168" s="253">
        <v>43075</v>
      </c>
      <c r="F168" s="254">
        <v>1.79</v>
      </c>
      <c r="G168" s="255" t="s">
        <v>14</v>
      </c>
      <c r="H168" s="252" t="s">
        <v>16</v>
      </c>
      <c r="I168" s="255">
        <v>4</v>
      </c>
      <c r="J168" s="255" t="s">
        <v>129</v>
      </c>
      <c r="K168" s="255" t="s">
        <v>130</v>
      </c>
      <c r="L168" s="252" t="s">
        <v>132</v>
      </c>
      <c r="M168" s="252" t="s">
        <v>133</v>
      </c>
    </row>
    <row r="169" spans="1:13" x14ac:dyDescent="0.2">
      <c r="A169" s="252" t="s">
        <v>126</v>
      </c>
      <c r="B169" s="252" t="s">
        <v>127</v>
      </c>
      <c r="C169" s="252" t="s">
        <v>17</v>
      </c>
      <c r="D169" s="252" t="s">
        <v>13</v>
      </c>
      <c r="E169" s="253">
        <v>43075</v>
      </c>
      <c r="F169" s="254">
        <v>1.6720032</v>
      </c>
      <c r="G169" s="255" t="s">
        <v>15</v>
      </c>
      <c r="H169" s="252" t="s">
        <v>16</v>
      </c>
      <c r="I169" s="255">
        <v>4</v>
      </c>
      <c r="J169" s="255" t="s">
        <v>129</v>
      </c>
      <c r="K169" s="255" t="s">
        <v>130</v>
      </c>
      <c r="L169" s="252" t="s">
        <v>132</v>
      </c>
      <c r="M169" s="252" t="s">
        <v>133</v>
      </c>
    </row>
    <row r="170" spans="1:13" x14ac:dyDescent="0.2">
      <c r="A170" s="252" t="s">
        <v>126</v>
      </c>
      <c r="B170" s="252" t="s">
        <v>127</v>
      </c>
      <c r="C170" s="252" t="s">
        <v>17</v>
      </c>
      <c r="D170" s="252" t="s">
        <v>13</v>
      </c>
      <c r="E170" s="253">
        <v>43068</v>
      </c>
      <c r="F170" s="254">
        <v>5.2</v>
      </c>
      <c r="G170" s="255" t="s">
        <v>14</v>
      </c>
      <c r="H170" s="252" t="s">
        <v>128</v>
      </c>
      <c r="I170" s="255">
        <v>1</v>
      </c>
      <c r="J170" s="255" t="s">
        <v>129</v>
      </c>
      <c r="K170" s="255" t="s">
        <v>130</v>
      </c>
      <c r="L170" s="252" t="s">
        <v>131</v>
      </c>
      <c r="M170" s="252" t="s">
        <v>128</v>
      </c>
    </row>
    <row r="171" spans="1:13" x14ac:dyDescent="0.2">
      <c r="A171" s="252" t="s">
        <v>126</v>
      </c>
      <c r="B171" s="252" t="s">
        <v>127</v>
      </c>
      <c r="C171" s="252" t="s">
        <v>17</v>
      </c>
      <c r="D171" s="252" t="s">
        <v>13</v>
      </c>
      <c r="E171" s="253">
        <v>43068</v>
      </c>
      <c r="F171" s="254">
        <v>5.9847840000000003</v>
      </c>
      <c r="G171" s="255" t="s">
        <v>15</v>
      </c>
      <c r="H171" s="252" t="s">
        <v>128</v>
      </c>
      <c r="I171" s="255">
        <v>1</v>
      </c>
      <c r="J171" s="255" t="s">
        <v>129</v>
      </c>
      <c r="K171" s="255" t="s">
        <v>130</v>
      </c>
      <c r="L171" s="252" t="s">
        <v>131</v>
      </c>
      <c r="M171" s="252" t="s">
        <v>128</v>
      </c>
    </row>
    <row r="172" spans="1:13" x14ac:dyDescent="0.2">
      <c r="A172" s="252" t="s">
        <v>126</v>
      </c>
      <c r="B172" s="252" t="s">
        <v>127</v>
      </c>
      <c r="C172" s="252" t="s">
        <v>17</v>
      </c>
      <c r="D172" s="252" t="s">
        <v>13</v>
      </c>
      <c r="E172" s="253">
        <v>43068</v>
      </c>
      <c r="F172" s="254">
        <v>2.21</v>
      </c>
      <c r="G172" s="255" t="s">
        <v>14</v>
      </c>
      <c r="H172" s="252" t="s">
        <v>16</v>
      </c>
      <c r="I172" s="255">
        <v>4</v>
      </c>
      <c r="J172" s="255" t="s">
        <v>129</v>
      </c>
      <c r="K172" s="255" t="s">
        <v>130</v>
      </c>
      <c r="L172" s="252" t="s">
        <v>132</v>
      </c>
      <c r="M172" s="252" t="s">
        <v>133</v>
      </c>
    </row>
    <row r="173" spans="1:13" x14ac:dyDescent="0.2">
      <c r="A173" s="252" t="s">
        <v>126</v>
      </c>
      <c r="B173" s="252" t="s">
        <v>127</v>
      </c>
      <c r="C173" s="252" t="s">
        <v>17</v>
      </c>
      <c r="D173" s="252" t="s">
        <v>13</v>
      </c>
      <c r="E173" s="253">
        <v>43068</v>
      </c>
      <c r="F173" s="254">
        <v>1.8615714000000001</v>
      </c>
      <c r="G173" s="255" t="s">
        <v>15</v>
      </c>
      <c r="H173" s="252" t="s">
        <v>16</v>
      </c>
      <c r="I173" s="255">
        <v>4</v>
      </c>
      <c r="J173" s="255" t="s">
        <v>129</v>
      </c>
      <c r="K173" s="255" t="s">
        <v>130</v>
      </c>
      <c r="L173" s="252" t="s">
        <v>132</v>
      </c>
      <c r="M173" s="252" t="s">
        <v>133</v>
      </c>
    </row>
    <row r="174" spans="1:13" x14ac:dyDescent="0.2">
      <c r="A174" s="252" t="s">
        <v>126</v>
      </c>
      <c r="B174" s="252" t="s">
        <v>127</v>
      </c>
      <c r="C174" s="252" t="s">
        <v>17</v>
      </c>
      <c r="D174" s="252" t="s">
        <v>13</v>
      </c>
      <c r="E174" s="253">
        <v>43061</v>
      </c>
      <c r="F174" s="254">
        <v>9.92</v>
      </c>
      <c r="G174" s="255" t="s">
        <v>14</v>
      </c>
      <c r="H174" s="252" t="s">
        <v>128</v>
      </c>
      <c r="I174" s="255">
        <v>1</v>
      </c>
      <c r="J174" s="255" t="s">
        <v>129</v>
      </c>
      <c r="K174" s="255" t="s">
        <v>130</v>
      </c>
      <c r="L174" s="252" t="s">
        <v>131</v>
      </c>
      <c r="M174" s="252" t="s">
        <v>128</v>
      </c>
    </row>
    <row r="175" spans="1:13" x14ac:dyDescent="0.2">
      <c r="A175" s="252" t="s">
        <v>126</v>
      </c>
      <c r="B175" s="252" t="s">
        <v>127</v>
      </c>
      <c r="C175" s="252" t="s">
        <v>17</v>
      </c>
      <c r="D175" s="252" t="s">
        <v>13</v>
      </c>
      <c r="E175" s="253">
        <v>43061</v>
      </c>
      <c r="F175" s="254">
        <v>11.582592</v>
      </c>
      <c r="G175" s="255" t="s">
        <v>15</v>
      </c>
      <c r="H175" s="252" t="s">
        <v>128</v>
      </c>
      <c r="I175" s="255">
        <v>1</v>
      </c>
      <c r="J175" s="255" t="s">
        <v>129</v>
      </c>
      <c r="K175" s="255" t="s">
        <v>130</v>
      </c>
      <c r="L175" s="252" t="s">
        <v>131</v>
      </c>
      <c r="M175" s="252" t="s">
        <v>128</v>
      </c>
    </row>
    <row r="176" spans="1:13" x14ac:dyDescent="0.2">
      <c r="A176" s="252" t="s">
        <v>126</v>
      </c>
      <c r="B176" s="252" t="s">
        <v>127</v>
      </c>
      <c r="C176" s="252" t="s">
        <v>17</v>
      </c>
      <c r="D176" s="252" t="s">
        <v>13</v>
      </c>
      <c r="E176" s="253">
        <v>43061</v>
      </c>
      <c r="F176" s="254">
        <v>2.93</v>
      </c>
      <c r="G176" s="255" t="s">
        <v>14</v>
      </c>
      <c r="H176" s="252" t="s">
        <v>16</v>
      </c>
      <c r="I176" s="255">
        <v>4</v>
      </c>
      <c r="J176" s="255" t="s">
        <v>129</v>
      </c>
      <c r="K176" s="255" t="s">
        <v>130</v>
      </c>
      <c r="L176" s="252" t="s">
        <v>132</v>
      </c>
      <c r="M176" s="252" t="s">
        <v>133</v>
      </c>
    </row>
    <row r="177" spans="1:13" x14ac:dyDescent="0.2">
      <c r="A177" s="252" t="s">
        <v>126</v>
      </c>
      <c r="B177" s="252" t="s">
        <v>127</v>
      </c>
      <c r="C177" s="252" t="s">
        <v>17</v>
      </c>
      <c r="D177" s="252" t="s">
        <v>13</v>
      </c>
      <c r="E177" s="253">
        <v>43061</v>
      </c>
      <c r="F177" s="254">
        <v>2.4191837999999999</v>
      </c>
      <c r="G177" s="255" t="s">
        <v>15</v>
      </c>
      <c r="H177" s="252" t="s">
        <v>16</v>
      </c>
      <c r="I177" s="255">
        <v>4</v>
      </c>
      <c r="J177" s="255" t="s">
        <v>129</v>
      </c>
      <c r="K177" s="255" t="s">
        <v>130</v>
      </c>
      <c r="L177" s="252" t="s">
        <v>132</v>
      </c>
      <c r="M177" s="252" t="s">
        <v>133</v>
      </c>
    </row>
    <row r="178" spans="1:13" x14ac:dyDescent="0.2">
      <c r="A178" s="252" t="s">
        <v>126</v>
      </c>
      <c r="B178" s="252" t="s">
        <v>127</v>
      </c>
      <c r="C178" s="252" t="s">
        <v>17</v>
      </c>
      <c r="D178" s="252" t="s">
        <v>13</v>
      </c>
      <c r="E178" s="253">
        <v>43054</v>
      </c>
      <c r="F178" s="254">
        <v>5.63</v>
      </c>
      <c r="G178" s="255" t="s">
        <v>14</v>
      </c>
      <c r="H178" s="252" t="s">
        <v>128</v>
      </c>
      <c r="I178" s="255">
        <v>1</v>
      </c>
      <c r="J178" s="255" t="s">
        <v>129</v>
      </c>
      <c r="K178" s="255" t="s">
        <v>130</v>
      </c>
      <c r="L178" s="252" t="s">
        <v>131</v>
      </c>
      <c r="M178" s="252" t="s">
        <v>128</v>
      </c>
    </row>
    <row r="179" spans="1:13" x14ac:dyDescent="0.2">
      <c r="A179" s="252" t="s">
        <v>126</v>
      </c>
      <c r="B179" s="252" t="s">
        <v>127</v>
      </c>
      <c r="C179" s="252" t="s">
        <v>17</v>
      </c>
      <c r="D179" s="252" t="s">
        <v>13</v>
      </c>
      <c r="E179" s="253">
        <v>43054</v>
      </c>
      <c r="F179" s="254">
        <v>6.9961757999999996</v>
      </c>
      <c r="G179" s="255" t="s">
        <v>15</v>
      </c>
      <c r="H179" s="252" t="s">
        <v>128</v>
      </c>
      <c r="I179" s="255">
        <v>1</v>
      </c>
      <c r="J179" s="255" t="s">
        <v>129</v>
      </c>
      <c r="K179" s="255" t="s">
        <v>130</v>
      </c>
      <c r="L179" s="252" t="s">
        <v>131</v>
      </c>
      <c r="M179" s="252" t="s">
        <v>128</v>
      </c>
    </row>
    <row r="180" spans="1:13" x14ac:dyDescent="0.2">
      <c r="A180" s="252" t="s">
        <v>126</v>
      </c>
      <c r="B180" s="252" t="s">
        <v>127</v>
      </c>
      <c r="C180" s="252" t="s">
        <v>17</v>
      </c>
      <c r="D180" s="252" t="s">
        <v>13</v>
      </c>
      <c r="E180" s="253">
        <v>43054</v>
      </c>
      <c r="F180" s="254">
        <v>3.2</v>
      </c>
      <c r="G180" s="255" t="s">
        <v>14</v>
      </c>
      <c r="H180" s="252" t="s">
        <v>16</v>
      </c>
      <c r="I180" s="255">
        <v>4</v>
      </c>
      <c r="J180" s="255" t="s">
        <v>129</v>
      </c>
      <c r="K180" s="255" t="s">
        <v>130</v>
      </c>
      <c r="L180" s="252" t="s">
        <v>132</v>
      </c>
      <c r="M180" s="252" t="s">
        <v>133</v>
      </c>
    </row>
    <row r="181" spans="1:13" x14ac:dyDescent="0.2">
      <c r="A181" s="252" t="s">
        <v>126</v>
      </c>
      <c r="B181" s="252" t="s">
        <v>127</v>
      </c>
      <c r="C181" s="252" t="s">
        <v>17</v>
      </c>
      <c r="D181" s="252" t="s">
        <v>13</v>
      </c>
      <c r="E181" s="253">
        <v>43054</v>
      </c>
      <c r="F181" s="254">
        <v>4.3768320000000003</v>
      </c>
      <c r="G181" s="255" t="s">
        <v>15</v>
      </c>
      <c r="H181" s="252" t="s">
        <v>16</v>
      </c>
      <c r="I181" s="255">
        <v>4</v>
      </c>
      <c r="J181" s="255" t="s">
        <v>129</v>
      </c>
      <c r="K181" s="255" t="s">
        <v>130</v>
      </c>
      <c r="L181" s="252" t="s">
        <v>132</v>
      </c>
      <c r="M181" s="252" t="s">
        <v>133</v>
      </c>
    </row>
    <row r="182" spans="1:13" x14ac:dyDescent="0.2">
      <c r="A182" s="252" t="s">
        <v>126</v>
      </c>
      <c r="B182" s="252" t="s">
        <v>127</v>
      </c>
      <c r="C182" s="252" t="s">
        <v>17</v>
      </c>
      <c r="D182" s="252" t="s">
        <v>13</v>
      </c>
      <c r="E182" s="253">
        <v>43047</v>
      </c>
      <c r="F182" s="254">
        <v>5.78</v>
      </c>
      <c r="G182" s="255" t="s">
        <v>14</v>
      </c>
      <c r="H182" s="252" t="s">
        <v>128</v>
      </c>
      <c r="I182" s="255">
        <v>1</v>
      </c>
      <c r="J182" s="255" t="s">
        <v>129</v>
      </c>
      <c r="K182" s="255" t="s">
        <v>130</v>
      </c>
      <c r="L182" s="252" t="s">
        <v>131</v>
      </c>
      <c r="M182" s="252" t="s">
        <v>128</v>
      </c>
    </row>
    <row r="183" spans="1:13" x14ac:dyDescent="0.2">
      <c r="A183" s="252" t="s">
        <v>126</v>
      </c>
      <c r="B183" s="252" t="s">
        <v>127</v>
      </c>
      <c r="C183" s="252" t="s">
        <v>17</v>
      </c>
      <c r="D183" s="252" t="s">
        <v>13</v>
      </c>
      <c r="E183" s="253">
        <v>43047</v>
      </c>
      <c r="F183" s="254">
        <v>6.8933435999999997</v>
      </c>
      <c r="G183" s="255" t="s">
        <v>15</v>
      </c>
      <c r="H183" s="252" t="s">
        <v>128</v>
      </c>
      <c r="I183" s="255">
        <v>1</v>
      </c>
      <c r="J183" s="255" t="s">
        <v>129</v>
      </c>
      <c r="K183" s="255" t="s">
        <v>130</v>
      </c>
      <c r="L183" s="252" t="s">
        <v>131</v>
      </c>
      <c r="M183" s="252" t="s">
        <v>128</v>
      </c>
    </row>
    <row r="184" spans="1:13" x14ac:dyDescent="0.2">
      <c r="A184" s="252" t="s">
        <v>126</v>
      </c>
      <c r="B184" s="252" t="s">
        <v>127</v>
      </c>
      <c r="C184" s="252" t="s">
        <v>17</v>
      </c>
      <c r="D184" s="252" t="s">
        <v>13</v>
      </c>
      <c r="E184" s="253">
        <v>43047</v>
      </c>
      <c r="F184" s="254">
        <v>3.33</v>
      </c>
      <c r="G184" s="255" t="s">
        <v>14</v>
      </c>
      <c r="H184" s="252" t="s">
        <v>16</v>
      </c>
      <c r="I184" s="255">
        <v>4</v>
      </c>
      <c r="J184" s="255" t="s">
        <v>129</v>
      </c>
      <c r="K184" s="255" t="s">
        <v>130</v>
      </c>
      <c r="L184" s="252" t="s">
        <v>132</v>
      </c>
      <c r="M184" s="252" t="s">
        <v>133</v>
      </c>
    </row>
    <row r="185" spans="1:13" x14ac:dyDescent="0.2">
      <c r="A185" s="252" t="s">
        <v>126</v>
      </c>
      <c r="B185" s="252" t="s">
        <v>127</v>
      </c>
      <c r="C185" s="252" t="s">
        <v>17</v>
      </c>
      <c r="D185" s="252" t="s">
        <v>13</v>
      </c>
      <c r="E185" s="253">
        <v>43047</v>
      </c>
      <c r="F185" s="254">
        <v>2.7494478</v>
      </c>
      <c r="G185" s="255" t="s">
        <v>15</v>
      </c>
      <c r="H185" s="252" t="s">
        <v>16</v>
      </c>
      <c r="I185" s="255">
        <v>4</v>
      </c>
      <c r="J185" s="255" t="s">
        <v>129</v>
      </c>
      <c r="K185" s="255" t="s">
        <v>130</v>
      </c>
      <c r="L185" s="252" t="s">
        <v>132</v>
      </c>
      <c r="M185" s="252" t="s">
        <v>133</v>
      </c>
    </row>
    <row r="186" spans="1:13" x14ac:dyDescent="0.2">
      <c r="A186" s="252" t="s">
        <v>126</v>
      </c>
      <c r="B186" s="252" t="s">
        <v>127</v>
      </c>
      <c r="C186" s="252" t="s">
        <v>17</v>
      </c>
      <c r="D186" s="252" t="s">
        <v>13</v>
      </c>
      <c r="E186" s="253">
        <v>43040</v>
      </c>
      <c r="F186" s="254">
        <v>5.24</v>
      </c>
      <c r="G186" s="255" t="s">
        <v>14</v>
      </c>
      <c r="H186" s="252" t="s">
        <v>128</v>
      </c>
      <c r="I186" s="255">
        <v>1</v>
      </c>
      <c r="J186" s="255" t="s">
        <v>129</v>
      </c>
      <c r="K186" s="255" t="s">
        <v>130</v>
      </c>
      <c r="L186" s="252" t="s">
        <v>131</v>
      </c>
      <c r="M186" s="252" t="s">
        <v>128</v>
      </c>
    </row>
    <row r="187" spans="1:13" x14ac:dyDescent="0.2">
      <c r="A187" s="252" t="s">
        <v>126</v>
      </c>
      <c r="B187" s="252" t="s">
        <v>127</v>
      </c>
      <c r="C187" s="252" t="s">
        <v>17</v>
      </c>
      <c r="D187" s="252" t="s">
        <v>13</v>
      </c>
      <c r="E187" s="253">
        <v>43040</v>
      </c>
      <c r="F187" s="254">
        <v>6.3367319999999996</v>
      </c>
      <c r="G187" s="255" t="s">
        <v>15</v>
      </c>
      <c r="H187" s="252" t="s">
        <v>128</v>
      </c>
      <c r="I187" s="255">
        <v>1</v>
      </c>
      <c r="J187" s="255" t="s">
        <v>129</v>
      </c>
      <c r="K187" s="255" t="s">
        <v>130</v>
      </c>
      <c r="L187" s="252" t="s">
        <v>131</v>
      </c>
      <c r="M187" s="252" t="s">
        <v>128</v>
      </c>
    </row>
    <row r="188" spans="1:13" x14ac:dyDescent="0.2">
      <c r="A188" s="252" t="s">
        <v>126</v>
      </c>
      <c r="B188" s="252" t="s">
        <v>127</v>
      </c>
      <c r="C188" s="252" t="s">
        <v>17</v>
      </c>
      <c r="D188" s="252" t="s">
        <v>13</v>
      </c>
      <c r="E188" s="253">
        <v>43040</v>
      </c>
      <c r="F188" s="254">
        <v>2.75</v>
      </c>
      <c r="G188" s="255" t="s">
        <v>14</v>
      </c>
      <c r="H188" s="252" t="s">
        <v>16</v>
      </c>
      <c r="I188" s="255">
        <v>4</v>
      </c>
      <c r="J188" s="255" t="s">
        <v>129</v>
      </c>
      <c r="K188" s="255" t="s">
        <v>130</v>
      </c>
      <c r="L188" s="252" t="s">
        <v>132</v>
      </c>
      <c r="M188" s="252" t="s">
        <v>133</v>
      </c>
    </row>
    <row r="189" spans="1:13" x14ac:dyDescent="0.2">
      <c r="A189" s="252" t="s">
        <v>126</v>
      </c>
      <c r="B189" s="252" t="s">
        <v>127</v>
      </c>
      <c r="C189" s="252" t="s">
        <v>17</v>
      </c>
      <c r="D189" s="252" t="s">
        <v>13</v>
      </c>
      <c r="E189" s="253">
        <v>43040</v>
      </c>
      <c r="F189" s="254">
        <v>6.7887599999999999</v>
      </c>
      <c r="G189" s="255" t="s">
        <v>15</v>
      </c>
      <c r="H189" s="252" t="s">
        <v>16</v>
      </c>
      <c r="I189" s="255">
        <v>4</v>
      </c>
      <c r="J189" s="255" t="s">
        <v>129</v>
      </c>
      <c r="K189" s="255" t="s">
        <v>130</v>
      </c>
      <c r="L189" s="252" t="s">
        <v>132</v>
      </c>
      <c r="M189" s="252" t="s">
        <v>133</v>
      </c>
    </row>
    <row r="190" spans="1:13" x14ac:dyDescent="0.2">
      <c r="A190" s="252" t="s">
        <v>126</v>
      </c>
      <c r="B190" s="252" t="s">
        <v>127</v>
      </c>
      <c r="C190" s="252" t="s">
        <v>17</v>
      </c>
      <c r="D190" s="252" t="s">
        <v>13</v>
      </c>
      <c r="E190" s="253">
        <v>43033</v>
      </c>
      <c r="F190" s="254">
        <v>6.47</v>
      </c>
      <c r="G190" s="255" t="s">
        <v>14</v>
      </c>
      <c r="H190" s="252" t="s">
        <v>128</v>
      </c>
      <c r="I190" s="255">
        <v>1</v>
      </c>
      <c r="J190" s="255" t="s">
        <v>129</v>
      </c>
      <c r="K190" s="255" t="s">
        <v>130</v>
      </c>
      <c r="L190" s="252" t="s">
        <v>131</v>
      </c>
      <c r="M190" s="252" t="s">
        <v>128</v>
      </c>
    </row>
    <row r="191" spans="1:13" x14ac:dyDescent="0.2">
      <c r="A191" s="252" t="s">
        <v>126</v>
      </c>
      <c r="B191" s="252" t="s">
        <v>127</v>
      </c>
      <c r="C191" s="252" t="s">
        <v>17</v>
      </c>
      <c r="D191" s="252" t="s">
        <v>13</v>
      </c>
      <c r="E191" s="253">
        <v>43033</v>
      </c>
      <c r="F191" s="254">
        <v>7.3924925999999997</v>
      </c>
      <c r="G191" s="255" t="s">
        <v>15</v>
      </c>
      <c r="H191" s="252" t="s">
        <v>128</v>
      </c>
      <c r="I191" s="255">
        <v>1</v>
      </c>
      <c r="J191" s="255" t="s">
        <v>129</v>
      </c>
      <c r="K191" s="255" t="s">
        <v>130</v>
      </c>
      <c r="L191" s="252" t="s">
        <v>131</v>
      </c>
      <c r="M191" s="252" t="s">
        <v>128</v>
      </c>
    </row>
    <row r="192" spans="1:13" x14ac:dyDescent="0.2">
      <c r="A192" s="252" t="s">
        <v>126</v>
      </c>
      <c r="B192" s="252" t="s">
        <v>127</v>
      </c>
      <c r="C192" s="252" t="s">
        <v>17</v>
      </c>
      <c r="D192" s="252" t="s">
        <v>13</v>
      </c>
      <c r="E192" s="253">
        <v>43033</v>
      </c>
      <c r="F192" s="254">
        <v>3.62</v>
      </c>
      <c r="G192" s="255" t="s">
        <v>14</v>
      </c>
      <c r="H192" s="252" t="s">
        <v>16</v>
      </c>
      <c r="I192" s="255">
        <v>4</v>
      </c>
      <c r="J192" s="255" t="s">
        <v>129</v>
      </c>
      <c r="K192" s="255" t="s">
        <v>130</v>
      </c>
      <c r="L192" s="252" t="s">
        <v>132</v>
      </c>
      <c r="M192" s="252" t="s">
        <v>133</v>
      </c>
    </row>
    <row r="193" spans="1:13" x14ac:dyDescent="0.2">
      <c r="A193" s="252" t="s">
        <v>126</v>
      </c>
      <c r="B193" s="252" t="s">
        <v>127</v>
      </c>
      <c r="C193" s="252" t="s">
        <v>17</v>
      </c>
      <c r="D193" s="252" t="s">
        <v>13</v>
      </c>
      <c r="E193" s="253">
        <v>43033</v>
      </c>
      <c r="F193" s="254">
        <v>1.5397308000000001</v>
      </c>
      <c r="G193" s="255" t="s">
        <v>15</v>
      </c>
      <c r="H193" s="252" t="s">
        <v>16</v>
      </c>
      <c r="I193" s="255">
        <v>4</v>
      </c>
      <c r="J193" s="255" t="s">
        <v>129</v>
      </c>
      <c r="K193" s="255" t="s">
        <v>130</v>
      </c>
      <c r="L193" s="252" t="s">
        <v>132</v>
      </c>
      <c r="M193" s="252" t="s">
        <v>133</v>
      </c>
    </row>
    <row r="194" spans="1:13" x14ac:dyDescent="0.2">
      <c r="A194" s="252" t="s">
        <v>126</v>
      </c>
      <c r="B194" s="252" t="s">
        <v>127</v>
      </c>
      <c r="C194" s="252" t="s">
        <v>17</v>
      </c>
      <c r="D194" s="252" t="s">
        <v>13</v>
      </c>
      <c r="E194" s="253">
        <v>43026</v>
      </c>
      <c r="F194" s="254">
        <v>5.0599999999999996</v>
      </c>
      <c r="G194" s="255" t="s">
        <v>14</v>
      </c>
      <c r="H194" s="252" t="s">
        <v>128</v>
      </c>
      <c r="I194" s="255">
        <v>1</v>
      </c>
      <c r="J194" s="255" t="s">
        <v>129</v>
      </c>
      <c r="K194" s="255" t="s">
        <v>130</v>
      </c>
      <c r="L194" s="252" t="s">
        <v>131</v>
      </c>
      <c r="M194" s="252" t="s">
        <v>128</v>
      </c>
    </row>
    <row r="195" spans="1:13" x14ac:dyDescent="0.2">
      <c r="A195" s="252" t="s">
        <v>126</v>
      </c>
      <c r="B195" s="252" t="s">
        <v>127</v>
      </c>
      <c r="C195" s="252" t="s">
        <v>17</v>
      </c>
      <c r="D195" s="252" t="s">
        <v>13</v>
      </c>
      <c r="E195" s="253">
        <v>43026</v>
      </c>
      <c r="F195" s="254">
        <v>5.8236552000000001</v>
      </c>
      <c r="G195" s="255" t="s">
        <v>15</v>
      </c>
      <c r="H195" s="252" t="s">
        <v>128</v>
      </c>
      <c r="I195" s="255">
        <v>1</v>
      </c>
      <c r="J195" s="255" t="s">
        <v>129</v>
      </c>
      <c r="K195" s="255" t="s">
        <v>130</v>
      </c>
      <c r="L195" s="252" t="s">
        <v>131</v>
      </c>
      <c r="M195" s="252" t="s">
        <v>128</v>
      </c>
    </row>
    <row r="196" spans="1:13" x14ac:dyDescent="0.2">
      <c r="A196" s="252" t="s">
        <v>126</v>
      </c>
      <c r="B196" s="252" t="s">
        <v>127</v>
      </c>
      <c r="C196" s="252" t="s">
        <v>17</v>
      </c>
      <c r="D196" s="252" t="s">
        <v>13</v>
      </c>
      <c r="E196" s="253">
        <v>43026</v>
      </c>
      <c r="F196" s="254">
        <v>2.93</v>
      </c>
      <c r="G196" s="255" t="s">
        <v>14</v>
      </c>
      <c r="H196" s="252" t="s">
        <v>16</v>
      </c>
      <c r="I196" s="255">
        <v>4</v>
      </c>
      <c r="J196" s="255" t="s">
        <v>129</v>
      </c>
      <c r="K196" s="255" t="s">
        <v>130</v>
      </c>
      <c r="L196" s="252" t="s">
        <v>132</v>
      </c>
      <c r="M196" s="252" t="s">
        <v>133</v>
      </c>
    </row>
    <row r="197" spans="1:13" x14ac:dyDescent="0.2">
      <c r="A197" s="252" t="s">
        <v>126</v>
      </c>
      <c r="B197" s="252" t="s">
        <v>127</v>
      </c>
      <c r="C197" s="252" t="s">
        <v>17</v>
      </c>
      <c r="D197" s="252" t="s">
        <v>13</v>
      </c>
      <c r="E197" s="253">
        <v>43026</v>
      </c>
      <c r="F197" s="254">
        <v>2.2236942000000002</v>
      </c>
      <c r="G197" s="255" t="s">
        <v>15</v>
      </c>
      <c r="H197" s="252" t="s">
        <v>16</v>
      </c>
      <c r="I197" s="255">
        <v>4</v>
      </c>
      <c r="J197" s="255" t="s">
        <v>129</v>
      </c>
      <c r="K197" s="255" t="s">
        <v>130</v>
      </c>
      <c r="L197" s="252" t="s">
        <v>132</v>
      </c>
      <c r="M197" s="252" t="s">
        <v>133</v>
      </c>
    </row>
    <row r="198" spans="1:13" x14ac:dyDescent="0.2">
      <c r="A198" s="252" t="s">
        <v>126</v>
      </c>
      <c r="B198" s="252" t="s">
        <v>127</v>
      </c>
      <c r="C198" s="252" t="s">
        <v>17</v>
      </c>
      <c r="D198" s="252" t="s">
        <v>13</v>
      </c>
      <c r="E198" s="253">
        <v>43019</v>
      </c>
      <c r="F198" s="254">
        <v>3.18</v>
      </c>
      <c r="G198" s="255" t="s">
        <v>14</v>
      </c>
      <c r="H198" s="252" t="s">
        <v>128</v>
      </c>
      <c r="I198" s="255">
        <v>1</v>
      </c>
      <c r="J198" s="255" t="s">
        <v>129</v>
      </c>
      <c r="K198" s="255" t="s">
        <v>130</v>
      </c>
      <c r="L198" s="252" t="s">
        <v>131</v>
      </c>
      <c r="M198" s="252" t="s">
        <v>128</v>
      </c>
    </row>
    <row r="199" spans="1:13" x14ac:dyDescent="0.2">
      <c r="A199" s="252" t="s">
        <v>126</v>
      </c>
      <c r="B199" s="252" t="s">
        <v>127</v>
      </c>
      <c r="C199" s="252" t="s">
        <v>17</v>
      </c>
      <c r="D199" s="252" t="s">
        <v>13</v>
      </c>
      <c r="E199" s="253">
        <v>43019</v>
      </c>
      <c r="F199" s="254">
        <v>5.9142276000000003</v>
      </c>
      <c r="G199" s="255" t="s">
        <v>15</v>
      </c>
      <c r="H199" s="252" t="s">
        <v>128</v>
      </c>
      <c r="I199" s="255">
        <v>1</v>
      </c>
      <c r="J199" s="255" t="s">
        <v>129</v>
      </c>
      <c r="K199" s="255" t="s">
        <v>130</v>
      </c>
      <c r="L199" s="252" t="s">
        <v>131</v>
      </c>
      <c r="M199" s="252" t="s">
        <v>128</v>
      </c>
    </row>
    <row r="200" spans="1:13" x14ac:dyDescent="0.2">
      <c r="A200" s="252" t="s">
        <v>126</v>
      </c>
      <c r="B200" s="252" t="s">
        <v>127</v>
      </c>
      <c r="C200" s="252" t="s">
        <v>17</v>
      </c>
      <c r="D200" s="252" t="s">
        <v>13</v>
      </c>
      <c r="E200" s="253">
        <v>43019</v>
      </c>
      <c r="F200" s="254">
        <v>8.3000000000000004E-2</v>
      </c>
      <c r="G200" s="255" t="s">
        <v>14</v>
      </c>
      <c r="H200" s="252" t="s">
        <v>16</v>
      </c>
      <c r="I200" s="255">
        <v>4</v>
      </c>
      <c r="J200" s="255" t="s">
        <v>129</v>
      </c>
      <c r="K200" s="255" t="s">
        <v>130</v>
      </c>
      <c r="L200" s="252" t="s">
        <v>132</v>
      </c>
      <c r="M200" s="252" t="s">
        <v>133</v>
      </c>
    </row>
    <row r="201" spans="1:13" x14ac:dyDescent="0.2">
      <c r="A201" s="252" t="s">
        <v>126</v>
      </c>
      <c r="B201" s="252" t="s">
        <v>127</v>
      </c>
      <c r="C201" s="252" t="s">
        <v>17</v>
      </c>
      <c r="D201" s="252" t="s">
        <v>13</v>
      </c>
      <c r="E201" s="253">
        <v>43019</v>
      </c>
      <c r="F201" s="254">
        <v>0.14675060000000001</v>
      </c>
      <c r="G201" s="255" t="s">
        <v>15</v>
      </c>
      <c r="H201" s="252" t="s">
        <v>16</v>
      </c>
      <c r="I201" s="255">
        <v>4</v>
      </c>
      <c r="J201" s="255" t="s">
        <v>129</v>
      </c>
      <c r="K201" s="255" t="s">
        <v>130</v>
      </c>
      <c r="L201" s="252" t="s">
        <v>132</v>
      </c>
      <c r="M201" s="252" t="s">
        <v>133</v>
      </c>
    </row>
    <row r="202" spans="1:13" x14ac:dyDescent="0.2">
      <c r="A202" s="252" t="s">
        <v>126</v>
      </c>
      <c r="B202" s="252" t="s">
        <v>127</v>
      </c>
      <c r="C202" s="252" t="s">
        <v>17</v>
      </c>
      <c r="D202" s="252" t="s">
        <v>13</v>
      </c>
      <c r="E202" s="253">
        <v>43012</v>
      </c>
      <c r="F202" s="254">
        <v>6.09</v>
      </c>
      <c r="G202" s="255" t="s">
        <v>14</v>
      </c>
      <c r="H202" s="252" t="s">
        <v>128</v>
      </c>
      <c r="I202" s="255">
        <v>1</v>
      </c>
      <c r="J202" s="255" t="s">
        <v>129</v>
      </c>
      <c r="K202" s="255" t="s">
        <v>130</v>
      </c>
      <c r="L202" s="252" t="s">
        <v>131</v>
      </c>
      <c r="M202" s="252" t="s">
        <v>128</v>
      </c>
    </row>
    <row r="203" spans="1:13" x14ac:dyDescent="0.2">
      <c r="A203" s="252" t="s">
        <v>126</v>
      </c>
      <c r="B203" s="252" t="s">
        <v>127</v>
      </c>
      <c r="C203" s="252" t="s">
        <v>17</v>
      </c>
      <c r="D203" s="252" t="s">
        <v>13</v>
      </c>
      <c r="E203" s="253">
        <v>43012</v>
      </c>
      <c r="F203" s="254">
        <v>6.8567309999999999</v>
      </c>
      <c r="G203" s="255" t="s">
        <v>15</v>
      </c>
      <c r="H203" s="252" t="s">
        <v>128</v>
      </c>
      <c r="I203" s="255">
        <v>1</v>
      </c>
      <c r="J203" s="255" t="s">
        <v>129</v>
      </c>
      <c r="K203" s="255" t="s">
        <v>130</v>
      </c>
      <c r="L203" s="252" t="s">
        <v>131</v>
      </c>
      <c r="M203" s="252" t="s">
        <v>128</v>
      </c>
    </row>
    <row r="204" spans="1:13" x14ac:dyDescent="0.2">
      <c r="A204" s="252" t="s">
        <v>126</v>
      </c>
      <c r="B204" s="252" t="s">
        <v>127</v>
      </c>
      <c r="C204" s="252" t="s">
        <v>17</v>
      </c>
      <c r="D204" s="252" t="s">
        <v>13</v>
      </c>
      <c r="E204" s="253">
        <v>43012</v>
      </c>
      <c r="F204" s="254">
        <v>0.46200000000000002</v>
      </c>
      <c r="G204" s="255" t="s">
        <v>14</v>
      </c>
      <c r="H204" s="252" t="s">
        <v>16</v>
      </c>
      <c r="I204" s="255">
        <v>4</v>
      </c>
      <c r="J204" s="255" t="s">
        <v>129</v>
      </c>
      <c r="K204" s="255" t="s">
        <v>130</v>
      </c>
      <c r="L204" s="252" t="s">
        <v>132</v>
      </c>
      <c r="M204" s="252" t="s">
        <v>133</v>
      </c>
    </row>
    <row r="205" spans="1:13" x14ac:dyDescent="0.2">
      <c r="A205" s="252" t="s">
        <v>126</v>
      </c>
      <c r="B205" s="252" t="s">
        <v>127</v>
      </c>
      <c r="C205" s="252" t="s">
        <v>17</v>
      </c>
      <c r="D205" s="252" t="s">
        <v>13</v>
      </c>
      <c r="E205" s="253">
        <v>43012</v>
      </c>
      <c r="F205" s="254">
        <v>0.24659710000000001</v>
      </c>
      <c r="G205" s="255" t="s">
        <v>15</v>
      </c>
      <c r="H205" s="252" t="s">
        <v>16</v>
      </c>
      <c r="I205" s="255">
        <v>4</v>
      </c>
      <c r="J205" s="255" t="s">
        <v>129</v>
      </c>
      <c r="K205" s="255" t="s">
        <v>130</v>
      </c>
      <c r="L205" s="252" t="s">
        <v>132</v>
      </c>
      <c r="M205" s="252" t="s">
        <v>133</v>
      </c>
    </row>
    <row r="206" spans="1:13" x14ac:dyDescent="0.2">
      <c r="A206" s="252" t="s">
        <v>126</v>
      </c>
      <c r="B206" s="252" t="s">
        <v>127</v>
      </c>
      <c r="C206" s="252" t="s">
        <v>17</v>
      </c>
      <c r="D206" s="252" t="s">
        <v>13</v>
      </c>
      <c r="E206" s="253">
        <v>43005</v>
      </c>
      <c r="F206" s="254">
        <v>5.05</v>
      </c>
      <c r="G206" s="255" t="s">
        <v>14</v>
      </c>
      <c r="H206" s="252" t="s">
        <v>128</v>
      </c>
      <c r="I206" s="255">
        <v>1</v>
      </c>
      <c r="J206" s="255" t="s">
        <v>129</v>
      </c>
      <c r="K206" s="255" t="s">
        <v>130</v>
      </c>
      <c r="L206" s="252" t="s">
        <v>131</v>
      </c>
      <c r="M206" s="252" t="s">
        <v>128</v>
      </c>
    </row>
    <row r="207" spans="1:13" x14ac:dyDescent="0.2">
      <c r="A207" s="252" t="s">
        <v>126</v>
      </c>
      <c r="B207" s="252" t="s">
        <v>127</v>
      </c>
      <c r="C207" s="252" t="s">
        <v>17</v>
      </c>
      <c r="D207" s="252" t="s">
        <v>13</v>
      </c>
      <c r="E207" s="253">
        <v>43005</v>
      </c>
      <c r="F207" s="254">
        <v>4.6328699999999996</v>
      </c>
      <c r="G207" s="255" t="s">
        <v>15</v>
      </c>
      <c r="H207" s="252" t="s">
        <v>128</v>
      </c>
      <c r="I207" s="255">
        <v>1</v>
      </c>
      <c r="J207" s="255" t="s">
        <v>129</v>
      </c>
      <c r="K207" s="255" t="s">
        <v>130</v>
      </c>
      <c r="L207" s="252" t="s">
        <v>131</v>
      </c>
      <c r="M207" s="252" t="s">
        <v>128</v>
      </c>
    </row>
    <row r="208" spans="1:13" x14ac:dyDescent="0.2">
      <c r="A208" s="252" t="s">
        <v>126</v>
      </c>
      <c r="B208" s="252" t="s">
        <v>127</v>
      </c>
      <c r="C208" s="252" t="s">
        <v>17</v>
      </c>
      <c r="D208" s="252" t="s">
        <v>13</v>
      </c>
      <c r="E208" s="253">
        <v>43005</v>
      </c>
      <c r="F208" s="254">
        <v>0.45200000000000001</v>
      </c>
      <c r="G208" s="255" t="s">
        <v>14</v>
      </c>
      <c r="H208" s="252" t="s">
        <v>16</v>
      </c>
      <c r="I208" s="255">
        <v>4</v>
      </c>
      <c r="J208" s="255" t="s">
        <v>129</v>
      </c>
      <c r="K208" s="255" t="s">
        <v>130</v>
      </c>
      <c r="L208" s="252" t="s">
        <v>132</v>
      </c>
      <c r="M208" s="252" t="s">
        <v>133</v>
      </c>
    </row>
    <row r="209" spans="1:14" x14ac:dyDescent="0.2">
      <c r="A209" s="252" t="s">
        <v>126</v>
      </c>
      <c r="B209" s="252" t="s">
        <v>127</v>
      </c>
      <c r="C209" s="252" t="s">
        <v>17</v>
      </c>
      <c r="D209" s="252" t="s">
        <v>13</v>
      </c>
      <c r="E209" s="253">
        <v>43005</v>
      </c>
      <c r="F209" s="254">
        <v>0.2148717</v>
      </c>
      <c r="G209" s="255" t="s">
        <v>15</v>
      </c>
      <c r="H209" s="252" t="s">
        <v>16</v>
      </c>
      <c r="I209" s="255">
        <v>4</v>
      </c>
      <c r="J209" s="255" t="s">
        <v>129</v>
      </c>
      <c r="K209" s="255" t="s">
        <v>130</v>
      </c>
      <c r="L209" s="252" t="s">
        <v>132</v>
      </c>
      <c r="M209" s="252" t="s">
        <v>133</v>
      </c>
    </row>
    <row r="210" spans="1:14" x14ac:dyDescent="0.2">
      <c r="A210" s="252" t="s">
        <v>126</v>
      </c>
      <c r="B210" s="252" t="s">
        <v>127</v>
      </c>
      <c r="C210" s="252" t="s">
        <v>17</v>
      </c>
      <c r="D210" s="252" t="s">
        <v>13</v>
      </c>
      <c r="E210" s="253">
        <v>42998</v>
      </c>
      <c r="F210" s="254">
        <v>6.02</v>
      </c>
      <c r="G210" s="255" t="s">
        <v>14</v>
      </c>
      <c r="H210" s="252" t="s">
        <v>128</v>
      </c>
      <c r="I210" s="255">
        <v>1</v>
      </c>
      <c r="J210" s="255" t="s">
        <v>129</v>
      </c>
      <c r="K210" s="255" t="s">
        <v>130</v>
      </c>
      <c r="L210" s="252" t="s">
        <v>131</v>
      </c>
      <c r="M210" s="252" t="s">
        <v>128</v>
      </c>
    </row>
    <row r="211" spans="1:14" x14ac:dyDescent="0.2">
      <c r="A211" s="252" t="s">
        <v>126</v>
      </c>
      <c r="B211" s="252" t="s">
        <v>127</v>
      </c>
      <c r="C211" s="252" t="s">
        <v>17</v>
      </c>
      <c r="D211" s="252" t="s">
        <v>13</v>
      </c>
      <c r="E211" s="253">
        <v>42998</v>
      </c>
      <c r="F211" s="254">
        <v>9.8405328000000001</v>
      </c>
      <c r="G211" s="255" t="s">
        <v>15</v>
      </c>
      <c r="H211" s="252" t="s">
        <v>128</v>
      </c>
      <c r="I211" s="255">
        <v>1</v>
      </c>
      <c r="J211" s="255" t="s">
        <v>129</v>
      </c>
      <c r="K211" s="255" t="s">
        <v>130</v>
      </c>
      <c r="L211" s="252" t="s">
        <v>131</v>
      </c>
      <c r="M211" s="252" t="s">
        <v>128</v>
      </c>
    </row>
    <row r="212" spans="1:14" x14ac:dyDescent="0.2">
      <c r="A212" s="252" t="s">
        <v>126</v>
      </c>
      <c r="B212" s="252" t="s">
        <v>127</v>
      </c>
      <c r="C212" s="252" t="s">
        <v>17</v>
      </c>
      <c r="D212" s="252" t="s">
        <v>13</v>
      </c>
      <c r="E212" s="253">
        <v>42998</v>
      </c>
      <c r="F212" s="254">
        <v>0.41899999999999998</v>
      </c>
      <c r="G212" s="255" t="s">
        <v>14</v>
      </c>
      <c r="H212" s="252" t="s">
        <v>16</v>
      </c>
      <c r="I212" s="255">
        <v>4</v>
      </c>
      <c r="J212" s="255" t="s">
        <v>129</v>
      </c>
      <c r="K212" s="255" t="s">
        <v>130</v>
      </c>
      <c r="L212" s="252" t="s">
        <v>132</v>
      </c>
      <c r="M212" s="252" t="s">
        <v>133</v>
      </c>
    </row>
    <row r="213" spans="1:14" x14ac:dyDescent="0.2">
      <c r="A213" s="252" t="s">
        <v>126</v>
      </c>
      <c r="B213" s="252" t="s">
        <v>127</v>
      </c>
      <c r="C213" s="252" t="s">
        <v>17</v>
      </c>
      <c r="D213" s="252" t="s">
        <v>13</v>
      </c>
      <c r="E213" s="253">
        <v>42998</v>
      </c>
      <c r="F213" s="254">
        <v>0.64298060000000001</v>
      </c>
      <c r="G213" s="255" t="s">
        <v>15</v>
      </c>
      <c r="H213" s="252" t="s">
        <v>16</v>
      </c>
      <c r="I213" s="255">
        <v>4</v>
      </c>
      <c r="J213" s="255" t="s">
        <v>129</v>
      </c>
      <c r="K213" s="255" t="s">
        <v>130</v>
      </c>
      <c r="L213" s="252" t="s">
        <v>132</v>
      </c>
      <c r="M213" s="252" t="s">
        <v>133</v>
      </c>
    </row>
    <row r="214" spans="1:14" x14ac:dyDescent="0.2">
      <c r="A214" s="252" t="s">
        <v>126</v>
      </c>
      <c r="B214" s="252" t="s">
        <v>127</v>
      </c>
      <c r="C214" s="252" t="s">
        <v>17</v>
      </c>
      <c r="D214" s="252" t="s">
        <v>13</v>
      </c>
      <c r="E214" s="253">
        <v>42991</v>
      </c>
      <c r="F214" s="254">
        <v>4.88</v>
      </c>
      <c r="G214" s="255" t="s">
        <v>14</v>
      </c>
      <c r="H214" s="252" t="s">
        <v>128</v>
      </c>
      <c r="I214" s="255">
        <v>1</v>
      </c>
      <c r="J214" s="255" t="s">
        <v>129</v>
      </c>
      <c r="K214" s="255" t="s">
        <v>130</v>
      </c>
      <c r="L214" s="252" t="s">
        <v>131</v>
      </c>
      <c r="M214" s="252" t="s">
        <v>128</v>
      </c>
    </row>
    <row r="215" spans="1:14" x14ac:dyDescent="0.2">
      <c r="A215" s="252" t="s">
        <v>126</v>
      </c>
      <c r="B215" s="252" t="s">
        <v>127</v>
      </c>
      <c r="C215" s="252" t="s">
        <v>17</v>
      </c>
      <c r="D215" s="252" t="s">
        <v>13</v>
      </c>
      <c r="E215" s="253">
        <v>42991</v>
      </c>
      <c r="F215" s="254">
        <v>5.2094975999999997</v>
      </c>
      <c r="G215" s="255" t="s">
        <v>15</v>
      </c>
      <c r="H215" s="252" t="s">
        <v>128</v>
      </c>
      <c r="I215" s="255">
        <v>1</v>
      </c>
      <c r="J215" s="255" t="s">
        <v>129</v>
      </c>
      <c r="K215" s="255" t="s">
        <v>130</v>
      </c>
      <c r="L215" s="252" t="s">
        <v>131</v>
      </c>
      <c r="M215" s="252" t="s">
        <v>128</v>
      </c>
    </row>
    <row r="216" spans="1:14" x14ac:dyDescent="0.2">
      <c r="A216" s="252" t="s">
        <v>126</v>
      </c>
      <c r="B216" s="252" t="s">
        <v>127</v>
      </c>
      <c r="C216" s="252" t="s">
        <v>17</v>
      </c>
      <c r="D216" s="252" t="s">
        <v>13</v>
      </c>
      <c r="E216" s="253">
        <v>42991</v>
      </c>
      <c r="F216" s="254">
        <v>0.317</v>
      </c>
      <c r="G216" s="255" t="s">
        <v>14</v>
      </c>
      <c r="H216" s="252" t="s">
        <v>16</v>
      </c>
      <c r="I216" s="255">
        <v>4</v>
      </c>
      <c r="J216" s="255" t="s">
        <v>129</v>
      </c>
      <c r="K216" s="255" t="s">
        <v>130</v>
      </c>
      <c r="L216" s="252" t="s">
        <v>132</v>
      </c>
      <c r="M216" s="252" t="s">
        <v>133</v>
      </c>
    </row>
    <row r="217" spans="1:14" x14ac:dyDescent="0.2">
      <c r="A217" s="252" t="s">
        <v>126</v>
      </c>
      <c r="B217" s="252" t="s">
        <v>127</v>
      </c>
      <c r="C217" s="252" t="s">
        <v>17</v>
      </c>
      <c r="D217" s="252" t="s">
        <v>13</v>
      </c>
      <c r="E217" s="253">
        <v>42991</v>
      </c>
      <c r="F217" s="254">
        <v>0.1427641</v>
      </c>
      <c r="G217" s="255" t="s">
        <v>15</v>
      </c>
      <c r="H217" s="252" t="s">
        <v>16</v>
      </c>
      <c r="I217" s="255">
        <v>4</v>
      </c>
      <c r="J217" s="255" t="s">
        <v>129</v>
      </c>
      <c r="K217" s="255" t="s">
        <v>130</v>
      </c>
      <c r="L217" s="252" t="s">
        <v>132</v>
      </c>
      <c r="M217" s="252" t="s">
        <v>133</v>
      </c>
    </row>
    <row r="218" spans="1:14" x14ac:dyDescent="0.2">
      <c r="A218" s="252" t="s">
        <v>126</v>
      </c>
      <c r="B218" s="252" t="s">
        <v>127</v>
      </c>
      <c r="C218" s="252" t="s">
        <v>17</v>
      </c>
      <c r="D218" s="252" t="s">
        <v>13</v>
      </c>
      <c r="E218" s="253">
        <v>42984</v>
      </c>
      <c r="F218" s="254">
        <v>5.99</v>
      </c>
      <c r="G218" s="255" t="s">
        <v>14</v>
      </c>
      <c r="H218" s="252" t="s">
        <v>128</v>
      </c>
      <c r="I218" s="255">
        <v>1</v>
      </c>
      <c r="J218" s="255" t="s">
        <v>129</v>
      </c>
      <c r="K218" s="255" t="s">
        <v>130</v>
      </c>
      <c r="L218" s="252" t="s">
        <v>131</v>
      </c>
      <c r="M218" s="252" t="s">
        <v>128</v>
      </c>
    </row>
    <row r="219" spans="1:14" x14ac:dyDescent="0.2">
      <c r="A219" s="252" t="s">
        <v>126</v>
      </c>
      <c r="B219" s="252" t="s">
        <v>127</v>
      </c>
      <c r="C219" s="252" t="s">
        <v>17</v>
      </c>
      <c r="D219" s="252" t="s">
        <v>13</v>
      </c>
      <c r="E219" s="253">
        <v>42984</v>
      </c>
      <c r="F219" s="254">
        <v>8.7424049999999998</v>
      </c>
      <c r="G219" s="255" t="s">
        <v>15</v>
      </c>
      <c r="H219" s="252" t="s">
        <v>128</v>
      </c>
      <c r="I219" s="255">
        <v>1</v>
      </c>
      <c r="J219" s="255" t="s">
        <v>129</v>
      </c>
      <c r="K219" s="255" t="s">
        <v>130</v>
      </c>
      <c r="L219" s="252" t="s">
        <v>131</v>
      </c>
      <c r="M219" s="252" t="s">
        <v>128</v>
      </c>
    </row>
    <row r="220" spans="1:14" x14ac:dyDescent="0.2">
      <c r="A220" s="252" t="s">
        <v>126</v>
      </c>
      <c r="B220" s="252" t="s">
        <v>127</v>
      </c>
      <c r="C220" s="252" t="s">
        <v>17</v>
      </c>
      <c r="D220" s="252" t="s">
        <v>13</v>
      </c>
      <c r="E220" s="253">
        <v>42984</v>
      </c>
      <c r="F220" s="254">
        <v>0.441</v>
      </c>
      <c r="G220" s="255" t="s">
        <v>14</v>
      </c>
      <c r="H220" s="252" t="s">
        <v>16</v>
      </c>
      <c r="I220" s="255">
        <v>4</v>
      </c>
      <c r="J220" s="255" t="s">
        <v>129</v>
      </c>
      <c r="K220" s="255" t="s">
        <v>130</v>
      </c>
      <c r="L220" s="252" t="s">
        <v>132</v>
      </c>
      <c r="M220" s="252" t="s">
        <v>133</v>
      </c>
    </row>
    <row r="221" spans="1:14" x14ac:dyDescent="0.2">
      <c r="A221" s="252" t="s">
        <v>126</v>
      </c>
      <c r="B221" s="252" t="s">
        <v>127</v>
      </c>
      <c r="C221" s="252" t="s">
        <v>17</v>
      </c>
      <c r="D221" s="252" t="s">
        <v>13</v>
      </c>
      <c r="E221" s="253">
        <v>42984</v>
      </c>
      <c r="F221" s="254">
        <v>0.2059646</v>
      </c>
      <c r="G221" s="255" t="s">
        <v>15</v>
      </c>
      <c r="H221" s="252" t="s">
        <v>16</v>
      </c>
      <c r="I221" s="255">
        <v>4</v>
      </c>
      <c r="J221" s="255" t="s">
        <v>129</v>
      </c>
      <c r="K221" s="255" t="s">
        <v>130</v>
      </c>
      <c r="L221" s="252" t="s">
        <v>132</v>
      </c>
      <c r="M221" s="252" t="s">
        <v>133</v>
      </c>
    </row>
    <row r="222" spans="1:14" ht="15" x14ac:dyDescent="0.25">
      <c r="A222" s="251"/>
      <c r="B222" s="251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</row>
    <row r="223" spans="1:14" ht="15" x14ac:dyDescent="0.25">
      <c r="A223" s="251"/>
      <c r="B223" s="251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</row>
    <row r="224" spans="1:14" ht="15" x14ac:dyDescent="0.25">
      <c r="A224" s="251"/>
      <c r="B224" s="251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</row>
    <row r="225" spans="1:14" ht="15" x14ac:dyDescent="0.25">
      <c r="A225" s="251"/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</row>
    <row r="226" spans="1:14" ht="15" x14ac:dyDescent="0.25">
      <c r="A226" s="251"/>
      <c r="B226" s="251"/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</row>
    <row r="227" spans="1:14" ht="15" x14ac:dyDescent="0.25">
      <c r="A227" s="251"/>
      <c r="B227" s="251"/>
      <c r="C227" s="251"/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</row>
    <row r="228" spans="1:14" ht="15" x14ac:dyDescent="0.25">
      <c r="A228" s="251"/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</row>
    <row r="229" spans="1:14" ht="15" x14ac:dyDescent="0.25">
      <c r="A229" s="251"/>
      <c r="B229" s="251"/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</row>
    <row r="230" spans="1:14" ht="15" x14ac:dyDescent="0.25">
      <c r="A230" s="251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</row>
    <row r="231" spans="1:14" ht="15" x14ac:dyDescent="0.25">
      <c r="A231" s="251"/>
      <c r="B231" s="251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</row>
    <row r="232" spans="1:14" ht="15" x14ac:dyDescent="0.25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</row>
    <row r="233" spans="1:14" ht="15" x14ac:dyDescent="0.25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</row>
    <row r="234" spans="1:14" ht="15" x14ac:dyDescent="0.25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</row>
    <row r="235" spans="1:14" ht="15" x14ac:dyDescent="0.25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</row>
    <row r="236" spans="1:14" ht="15" x14ac:dyDescent="0.25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</row>
    <row r="237" spans="1:14" ht="15" x14ac:dyDescent="0.25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T7" sqref="T7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6.7109375" style="8" customWidth="1"/>
    <col min="7" max="8" width="9" style="8" customWidth="1"/>
    <col min="9" max="11" width="6" style="8" customWidth="1"/>
    <col min="12" max="12" width="6.710937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2.7109375" style="8" customWidth="1"/>
    <col min="19" max="19" width="4.42578125" style="8" bestFit="1" customWidth="1"/>
    <col min="20" max="20" width="9" style="8" bestFit="1" customWidth="1"/>
    <col min="21" max="21" width="8.7109375" style="8" bestFit="1" customWidth="1"/>
    <col min="22" max="22" width="8.42578125" style="8" bestFit="1" customWidth="1"/>
    <col min="23" max="24" width="6.85546875" style="8" bestFit="1" customWidth="1"/>
    <col min="25" max="25" width="8.85546875" style="8" bestFit="1" customWidth="1"/>
    <col min="26" max="26" width="8.5703125" style="8" bestFit="1" customWidth="1"/>
    <col min="27" max="16384" width="9.140625" style="8"/>
  </cols>
  <sheetData>
    <row r="1" spans="1:17" ht="12.75" x14ac:dyDescent="0.2">
      <c r="A1" s="234" t="s">
        <v>134</v>
      </c>
      <c r="B1" s="235"/>
      <c r="C1" s="236" t="s">
        <v>18</v>
      </c>
      <c r="D1" s="236"/>
      <c r="E1" s="237">
        <v>42979</v>
      </c>
      <c r="F1" s="238"/>
      <c r="G1" s="6"/>
      <c r="L1" s="1" t="s">
        <v>135</v>
      </c>
    </row>
    <row r="2" spans="1:17" x14ac:dyDescent="0.2">
      <c r="A2" s="34" t="s">
        <v>19</v>
      </c>
      <c r="B2" s="9">
        <f>MIN(WapelloNDD!E:E)</f>
        <v>42984</v>
      </c>
      <c r="C2" s="239" t="s">
        <v>38</v>
      </c>
      <c r="D2" s="239"/>
      <c r="E2" s="240">
        <f>(B3-B2)/30</f>
        <v>7.7</v>
      </c>
      <c r="F2" s="241"/>
    </row>
    <row r="3" spans="1:17" x14ac:dyDescent="0.2">
      <c r="A3" s="35" t="s">
        <v>20</v>
      </c>
      <c r="B3" s="36">
        <f>MAX(WapelloNDD!E:E)</f>
        <v>43215</v>
      </c>
      <c r="C3" s="217"/>
      <c r="D3" s="217"/>
      <c r="E3" s="217"/>
      <c r="F3" s="218"/>
    </row>
    <row r="4" spans="1:17" ht="12" thickBot="1" x14ac:dyDescent="0.25"/>
    <row r="5" spans="1:17" ht="11.25" customHeight="1" x14ac:dyDescent="0.2">
      <c r="A5" s="242" t="s">
        <v>21</v>
      </c>
      <c r="B5" s="219" t="s">
        <v>21</v>
      </c>
      <c r="C5" s="222" t="s">
        <v>22</v>
      </c>
      <c r="D5" s="223"/>
      <c r="E5" s="223"/>
      <c r="F5" s="223"/>
      <c r="G5" s="223"/>
      <c r="H5" s="223"/>
      <c r="I5" s="224" t="s">
        <v>39</v>
      </c>
      <c r="J5" s="224"/>
      <c r="K5" s="224"/>
      <c r="L5" s="224"/>
      <c r="M5" s="224"/>
      <c r="N5" s="224"/>
      <c r="O5" s="225" t="s">
        <v>23</v>
      </c>
      <c r="P5" s="226"/>
      <c r="Q5" s="245" t="s">
        <v>24</v>
      </c>
    </row>
    <row r="6" spans="1:17" ht="11.25" customHeight="1" x14ac:dyDescent="0.2">
      <c r="A6" s="243"/>
      <c r="B6" s="220"/>
      <c r="C6" s="229" t="s">
        <v>25</v>
      </c>
      <c r="D6" s="230"/>
      <c r="E6" s="229" t="s">
        <v>26</v>
      </c>
      <c r="F6" s="231"/>
      <c r="G6" s="231"/>
      <c r="H6" s="230"/>
      <c r="I6" s="229" t="s">
        <v>25</v>
      </c>
      <c r="J6" s="230"/>
      <c r="K6" s="229" t="s">
        <v>26</v>
      </c>
      <c r="L6" s="231"/>
      <c r="M6" s="231"/>
      <c r="N6" s="231"/>
      <c r="O6" s="227"/>
      <c r="P6" s="228"/>
      <c r="Q6" s="246"/>
    </row>
    <row r="7" spans="1:17" ht="33.75" x14ac:dyDescent="0.2">
      <c r="A7" s="243"/>
      <c r="B7" s="221"/>
      <c r="C7" s="10" t="s">
        <v>27</v>
      </c>
      <c r="D7" s="11" t="s">
        <v>28</v>
      </c>
      <c r="E7" s="10" t="s">
        <v>27</v>
      </c>
      <c r="F7" s="12" t="s">
        <v>29</v>
      </c>
      <c r="G7" s="13" t="s">
        <v>30</v>
      </c>
      <c r="H7" s="14" t="s">
        <v>40</v>
      </c>
      <c r="I7" s="10" t="s">
        <v>27</v>
      </c>
      <c r="J7" s="11" t="s">
        <v>28</v>
      </c>
      <c r="K7" s="10" t="s">
        <v>27</v>
      </c>
      <c r="L7" s="12" t="s">
        <v>29</v>
      </c>
      <c r="M7" s="15" t="s">
        <v>31</v>
      </c>
      <c r="N7" s="14" t="s">
        <v>41</v>
      </c>
      <c r="O7" s="16" t="s">
        <v>32</v>
      </c>
      <c r="P7" s="212" t="s">
        <v>33</v>
      </c>
      <c r="Q7" s="37" t="s">
        <v>42</v>
      </c>
    </row>
    <row r="8" spans="1:17" s="25" customFormat="1" x14ac:dyDescent="0.2">
      <c r="A8" s="243"/>
      <c r="B8" s="78" t="s">
        <v>34</v>
      </c>
      <c r="C8" s="38">
        <f>COUNTIFS(WapelloNDD!C:C,"NITROGEN, TOTAL (AS N)",WapelloNDD!G:G,"MG/L",WapelloNDD!H:H,"RAW WASTE")</f>
        <v>21</v>
      </c>
      <c r="D8" s="39">
        <f>AVERAGEIFS(WapelloNDD!F:F,(WapelloNDD!C:C),("NITROGEN, TOTAL (AS N)"),(WapelloNDD!H:H),("RAW WASTE"),(WapelloNDD!G:G),("MG/L"))</f>
        <v>39.119047619047628</v>
      </c>
      <c r="E8" s="40">
        <f>COUNTIFS(WapelloNDD!C:C,"NITROGEN, TOTAL (AS N)",WapelloNDD!G:G,"LBS/DAY",WapelloNDD!H:H,"RAW WASTE")</f>
        <v>21</v>
      </c>
      <c r="F8" s="256">
        <f>AVERAGEIFS(WapelloNDD!F:F,(WapelloNDD!C:C),("NITROGEN, TOTAL (AS N)"),(WapelloNDD!H:H),("RAW WASTE"),(WapelloNDD!G:G),("LBS/DAY"))</f>
        <v>48.657625142857128</v>
      </c>
      <c r="G8" s="42">
        <f>(SUMIFS(WapelloNDD!F:F,(WapelloNDD!C:C),("NITROGEN, TOTAL (AS N)"),(WapelloNDD!H:H),("RAW WASTE"),(WapelloNDD!G:G),("LBS/DAY")))</f>
        <v>1021.8101279999997</v>
      </c>
      <c r="H8" s="43">
        <f>F8*365</f>
        <v>17760.03317714285</v>
      </c>
      <c r="I8" s="40">
        <f>COUNTIFS(WapelloNDD!C:C,"NITROGEN, TOTAL (AS N)",WapelloNDD!G:G,"MG/L",WapelloNDD!H:H,"FINAL EFFLUENT")</f>
        <v>21</v>
      </c>
      <c r="J8" s="39">
        <f>(AVERAGEIFS(WapelloNDD!F:F,(WapelloNDD!C:C),("NITROGEN, TOTAL (AS N)"),(WapelloNDD!H:H),("FINAL EFFLUENT"),(WapelloNDD!G:G),("MG/L")))</f>
        <v>6.8100000000000005</v>
      </c>
      <c r="K8" s="40">
        <f>COUNTIFS(WapelloNDD!C:C,"NITROGEN, TOTAL (AS N)",WapelloNDD!G:G,"LBS/DAY",WapelloNDD!H:H,"FINAL EFFLUENT")</f>
        <v>21</v>
      </c>
      <c r="L8" s="41">
        <f>AVERAGEIFS(WapelloNDD!F:F,(WapelloNDD!C:C),("NITROGEN, TOTAL (AS N)"),(WapelloNDD!H:H),("FINAL EFFLUENT"),(WapelloNDD!G:G),("LBS/DAY"))</f>
        <v>10.677515342857141</v>
      </c>
      <c r="M8" s="42">
        <f>SUMIFS(WapelloNDD!F:F,(WapelloNDD!C:C),("NITROGEN, TOTAL (AS N)"),(WapelloNDD!H:H),("FINAL EFFLUENT"),(WapelloNDD!G:G),("LBS/DAY"))</f>
        <v>224.22782219999996</v>
      </c>
      <c r="N8" s="43">
        <f>L8*365</f>
        <v>3897.2931001428565</v>
      </c>
      <c r="O8" s="44">
        <f>((D8-J8))/D8</f>
        <v>0.82591600730371273</v>
      </c>
      <c r="P8" s="45">
        <f>((F8-L8))/F8</f>
        <v>0.78055823087320186</v>
      </c>
      <c r="Q8" s="46">
        <f>(F8-L8)*365</f>
        <v>13862.740076999995</v>
      </c>
    </row>
    <row r="9" spans="1:17" s="25" customFormat="1" ht="5.25" customHeight="1" x14ac:dyDescent="0.2">
      <c r="A9" s="243"/>
      <c r="B9" s="78"/>
      <c r="C9" s="17"/>
      <c r="D9" s="18"/>
      <c r="E9" s="19"/>
      <c r="F9" s="21"/>
      <c r="G9" s="21"/>
      <c r="H9" s="22"/>
      <c r="I9" s="19"/>
      <c r="J9" s="18"/>
      <c r="K9" s="19"/>
      <c r="L9" s="20"/>
      <c r="M9" s="21"/>
      <c r="N9" s="22"/>
      <c r="O9" s="23"/>
      <c r="P9" s="24"/>
      <c r="Q9" s="47"/>
    </row>
    <row r="10" spans="1:17" s="48" customFormat="1" x14ac:dyDescent="0.2">
      <c r="A10" s="243"/>
      <c r="B10" s="79" t="s">
        <v>46</v>
      </c>
      <c r="C10" s="80">
        <f>COUNTIFS(WapelloNDD!$E:$E,"&gt;=5/1/2014",WapelloNDD!$E:$E,"&lt;=4/30/2015",WapelloNDD!$C:$C,"NITROGEN, TOTAL (AS N)",WapelloNDD!$G:$G,"MG/L",WapelloNDD!$H:$H,"RAW WASTE")</f>
        <v>0</v>
      </c>
      <c r="D10" s="81" t="e">
        <f>AVERAGEIFS(WapelloNDD!$F:$F,WapelloNDD!$E:$E,"&gt;=5/1/2014",WapelloNDD!$E:$E,"&lt;=4/30/2015",(WapelloNDD!$C:$C),("NITROGEN, TOTAL (AS N)"),(WapelloNDD!$H:$H),("RAW WASTE"),(WapelloNDD!$G:$G),("MG/L"))</f>
        <v>#DIV/0!</v>
      </c>
      <c r="E10" s="82">
        <f>COUNTIFS(WapelloNDD!$E:$E,"&gt;=5/1/2014",WapelloNDD!$E:$E,"&lt;=4/30/2015",WapelloNDD!$C:$C,"NITROGEN, TOTAL (AS N)",WapelloNDD!$G:$G,"LBS/DAY",WapelloNDD!$H:$H,"RAW WASTE")</f>
        <v>0</v>
      </c>
      <c r="F10" s="84" t="e">
        <f>AVERAGEIFS(WapelloNDD!$F:$F,WapelloNDD!$E:$E,"&gt;=5/1/2014",WapelloNDD!$E:$E,"&lt;=4/30/2015",(WapelloNDD!$C:$C),("NITROGEN, TOTAL (AS N)"),(WapelloNDD!$H:$H),("RAW WASTE"),(WapelloNDD!$G:$G),("LBS/DAY"))</f>
        <v>#DIV/0!</v>
      </c>
      <c r="G10" s="84">
        <f>SUMIFS(WapelloNDD!$F:$F,WapelloNDD!$E:$E,"&gt;=5/1/2014",WapelloNDD!$E:$E,"&lt;=4/30/2015",(WapelloNDD!$C:$C),("NITROGEN, TOTAL (AS N)"),(WapelloNDD!$H:$H),("RAW WASTE"),(WapelloNDD!$G:$G),("LBS/DAY"))</f>
        <v>0</v>
      </c>
      <c r="H10" s="85" t="e">
        <f>F10*365</f>
        <v>#DIV/0!</v>
      </c>
      <c r="I10" s="82">
        <f>COUNTIFS(WapelloNDD!$E:$E,"&gt;=5/1/2014",WapelloNDD!$E:$E,"&lt;=4/30/2015",WapelloNDD!$C:$C,"NITROGEN, TOTAL (AS N)",WapelloNDD!$G:$G,"MG/L",WapelloNDD!$H:$H,"FINAL EFFLUENT")</f>
        <v>0</v>
      </c>
      <c r="J10" s="81" t="e">
        <f>AVERAGEIFS(WapelloNDD!$F:$F,WapelloNDD!$E:$E,"&gt;=5/1/2014",WapelloNDD!$E:$E,"&lt;=4/30/2015",(WapelloNDD!$C:$C),("NITROGEN, TOTAL (AS N)"),(WapelloNDD!$H:$H),("FINAL EFFLUENT"),(WapelloNDD!$G:$G),("MG/L"))</f>
        <v>#DIV/0!</v>
      </c>
      <c r="K10" s="82">
        <f>COUNTIFS(WapelloNDD!$E:$E,"&gt;=5/1/2014",WapelloNDD!$E:$E,"&lt;=4/30/2015",WapelloNDD!$C:$C,"NITROGEN, TOTAL (AS N)",WapelloNDD!$G:$G,"LBS/DAY",WapelloNDD!$H:$H,"FINAL EFFLUENT")</f>
        <v>0</v>
      </c>
      <c r="L10" s="83" t="e">
        <f>AVERAGEIFS((WapelloNDD!$F:$F),WapelloNDD!$E:$E,"&gt;=5/1/2014",WapelloNDD!$E:$E,"&lt;=4/30/2015",(WapelloNDD!$C:$C),("NITROGEN, TOTAL (AS N)"),(WapelloNDD!$H:$H),("FINAL EFFLUENT"),(WapelloNDD!$G:$G),("LBS/DAY"))</f>
        <v>#DIV/0!</v>
      </c>
      <c r="M10" s="84">
        <f>SUMIFS(WapelloNDD!$F:$F,WapelloNDD!$E:$E,"&gt;=5/1/2014",WapelloNDD!$E:$E,"&lt;=4/30/2015",(WapelloNDD!$C:$C),("NITROGEN, TOTAL (AS N)"),(WapelloNDD!$H:$H),("FINAL EFFLUENT"),(WapelloNDD!$G:$G),("LBS/DAY"))</f>
        <v>0</v>
      </c>
      <c r="N10" s="85" t="e">
        <f>L10*365</f>
        <v>#DIV/0!</v>
      </c>
      <c r="O10" s="86" t="e">
        <f>((D10-J10))/D10</f>
        <v>#DIV/0!</v>
      </c>
      <c r="P10" s="87" t="e">
        <f>((F10-L10))/F10</f>
        <v>#DIV/0!</v>
      </c>
      <c r="Q10" s="88" t="s">
        <v>118</v>
      </c>
    </row>
    <row r="11" spans="1:17" s="25" customFormat="1" ht="5.25" customHeight="1" x14ac:dyDescent="0.2">
      <c r="A11" s="243"/>
      <c r="B11" s="78"/>
      <c r="C11" s="17"/>
      <c r="D11" s="18"/>
      <c r="E11" s="19"/>
      <c r="F11" s="21"/>
      <c r="G11" s="21"/>
      <c r="H11" s="22"/>
      <c r="I11" s="19"/>
      <c r="J11" s="18"/>
      <c r="K11" s="19"/>
      <c r="L11" s="20"/>
      <c r="M11" s="20"/>
      <c r="N11" s="22"/>
      <c r="O11" s="23"/>
      <c r="P11" s="24"/>
      <c r="Q11" s="47"/>
    </row>
    <row r="12" spans="1:17" s="58" customFormat="1" x14ac:dyDescent="0.2">
      <c r="A12" s="243"/>
      <c r="B12" s="89" t="s">
        <v>43</v>
      </c>
      <c r="C12" s="49">
        <f>COUNTIFS(WapelloNDD!$E:$E,"&gt;=1/1/2015",WapelloNDD!$E:$E,"&lt;=12/31/2015",WapelloNDD!$C:$C,"NITROGEN, TOTAL (AS N)",WapelloNDD!$G:$G,"MG/L",WapelloNDD!$H:$H,"RAW WASTE")</f>
        <v>0</v>
      </c>
      <c r="D12" s="50" t="e">
        <f>AVERAGEIFS(WapelloNDD!$F:$F,WapelloNDD!$E:$E,"&gt;=1/1/2015",WapelloNDD!$E:$E,"&lt;=12/31/2015",(WapelloNDD!$C:$C),("NITROGEN, TOTAL (AS N)"),(WapelloNDD!$H:$H),("RAW WASTE"),(WapelloNDD!$G:$G),("MG/L"))</f>
        <v>#DIV/0!</v>
      </c>
      <c r="E12" s="49">
        <f>COUNTIFS(WapelloNDD!$E:$E,"&gt;=1/1/2015",WapelloNDD!$E:$E,"&lt;=12/31/2015",WapelloNDD!$C:$C,"NITROGEN, TOTAL (AS N)",WapelloNDD!$G:$G,"LBS/DAY",WapelloNDD!$H:$H,"RAW WASTE")</f>
        <v>0</v>
      </c>
      <c r="F12" s="51" t="e">
        <f>AVERAGEIFS(WapelloNDD!$F:$F,WapelloNDD!$E:$E,"&gt;=1/1/2015",WapelloNDD!$E:$E,"&lt;=12/31/2015",(WapelloNDD!$C:$C),("NITROGEN, TOTAL (AS N)"),(WapelloNDD!$H:$H),("RAW WASTE"),(WapelloNDD!$G:$G),("LBS/DAY"))</f>
        <v>#DIV/0!</v>
      </c>
      <c r="G12" s="51">
        <f>SUMIFS(WapelloNDD!$F:$F,WapelloNDD!$E:$E,"&gt;=1/1/2015",WapelloNDD!$E:$E,"&lt;=12/31/2015",(WapelloNDD!$C:$C),("NITROGEN, TOTAL (AS N)"),(WapelloNDD!$H:$H),("RAW WASTE"),(WapelloNDD!$G:$G),("LBS/DAY"))</f>
        <v>0</v>
      </c>
      <c r="H12" s="52" t="e">
        <f>F12*365</f>
        <v>#DIV/0!</v>
      </c>
      <c r="I12" s="49">
        <f>COUNTIFS(WapelloNDD!$E:$E,"&gt;=1/1/2015",WapelloNDD!$E:$E,"&lt;=12/31/2015",WapelloNDD!$C:$C,"NITROGEN, TOTAL (AS N)",WapelloNDD!$G:$G,"MG/L",WapelloNDD!$H:$H,"FINAL EFFLUENT")</f>
        <v>0</v>
      </c>
      <c r="J12" s="53" t="e">
        <f>AVERAGEIFS(WapelloNDD!$F:$F,WapelloNDD!$E:$E,"&gt;=1/1/2015",WapelloNDD!$E:$E,"&lt;=12/31/2015",(WapelloNDD!$C:$C),("NITROGEN, TOTAL (AS N)"),(WapelloNDD!$H:$H),("FINAL EFFLUENT"),(WapelloNDD!$G:$G),("MG/L"))</f>
        <v>#DIV/0!</v>
      </c>
      <c r="K12" s="49">
        <f>COUNTIFS(WapelloNDD!$E:$E,"&gt;=1/1/2015",WapelloNDD!$E:$E,"&lt;=12/31/2015",WapelloNDD!$C:$C,"NITROGEN, TOTAL (AS N)",WapelloNDD!$G:$G,"LBS/DAY",WapelloNDD!$H:$H,"FINAL EFFLUENT")</f>
        <v>0</v>
      </c>
      <c r="L12" s="91" t="e">
        <f>AVERAGEIFS((WapelloNDD!$F:$F),WapelloNDD!$E:$E,"&gt;=1/1/2015",WapelloNDD!$E:$E,"&lt;=12/31/2015",(WapelloNDD!$C:$C),("NITROGEN, TOTAL (AS N)"),(WapelloNDD!$H:$H),("FINAL EFFLUENT"),(WapelloNDD!$G:$G),("LBS/DAY"))</f>
        <v>#DIV/0!</v>
      </c>
      <c r="M12" s="51">
        <f>SUMIFS(WapelloNDD!$F:$F,WapelloNDD!$E:$E,"&gt;=1/1/2015",WapelloNDD!$E:$E,"&lt;=12/31/2015",(WapelloNDD!$C:$C),("NITROGEN, TOTAL (AS N)"),(WapelloNDD!$H:$H),("FINAL EFFLUENT"),(WapelloNDD!$G:$G),("LBS/DAY"))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s">
        <v>118</v>
      </c>
    </row>
    <row r="13" spans="1:17" s="48" customFormat="1" x14ac:dyDescent="0.2">
      <c r="A13" s="243"/>
      <c r="B13" s="92" t="s">
        <v>47</v>
      </c>
      <c r="C13" s="59">
        <f>COUNTIFS(WapelloNDD!$E:$E,"&gt;=5/1/2015",WapelloNDD!$E:$E,"&lt;=4/30/2016",WapelloNDD!$C:$C,"NITROGEN, TOTAL (AS N)",WapelloNDD!$G:$G,"MG/L",WapelloNDD!$H:$H,"RAW WASTE")</f>
        <v>0</v>
      </c>
      <c r="D13" s="60" t="e">
        <f>AVERAGEIFS(WapelloNDD!$F:$F,WapelloNDD!$E:$E,"&gt;=5/1/2015",WapelloNDD!$E:$E,"&lt;=4/30/2016",(WapelloNDD!$C:$C),("NITROGEN, TOTAL (AS N)"),(WapelloNDD!$H:$H),("RAW WASTE"),(WapelloNDD!$G:$G),("MG/L"))</f>
        <v>#DIV/0!</v>
      </c>
      <c r="E13" s="59">
        <f>COUNTIFS(WapelloNDD!$E:$E,"&gt;=5/1/2015",WapelloNDD!$E:$E,"&lt;=4/30/2016",WapelloNDD!$C:$C,"NITROGEN, TOTAL (AS N)",WapelloNDD!$G:$G,"LBS/DAY",WapelloNDD!$H:$H,"RAW WASTE")</f>
        <v>0</v>
      </c>
      <c r="F13" s="61" t="e">
        <f>AVERAGEIFS(WapelloNDD!$F:$F,WapelloNDD!$E:$E,"&gt;=5/1/2015",WapelloNDD!$E:$E,"&lt;=4/30/2016",(WapelloNDD!$C:$C),("NITROGEN, TOTAL (AS N)"),(WapelloNDD!$H:$H),("RAW WASTE"),(WapelloNDD!$G:$G),("LBS/DAY"))</f>
        <v>#DIV/0!</v>
      </c>
      <c r="G13" s="61">
        <f>SUMIFS(WapelloNDD!$F:$F,WapelloNDD!$E:$E,"&gt;=5/1/2015",WapelloNDD!$E:$E,"&lt;=4/30/2016",(WapelloNDD!$C:$C),("NITROGEN, TOTAL (AS N)"),(WapelloNDD!$H:$H),("RAW WASTE"),(WapelloNDD!$G:$G),("LBS/DAY"))</f>
        <v>0</v>
      </c>
      <c r="H13" s="62" t="e">
        <f>F13*365</f>
        <v>#DIV/0!</v>
      </c>
      <c r="I13" s="59">
        <f>COUNTIFS(WapelloNDD!$E:$E,"&gt;=5/1/2015",WapelloNDD!$E:$E,"&lt;=4/30/2016",WapelloNDD!$C:$C,"NITROGEN, TOTAL (AS N)",WapelloNDD!$G:$G,"MG/L",WapelloNDD!$H:$H,"FINAL EFFLUENT")</f>
        <v>0</v>
      </c>
      <c r="J13" s="60" t="e">
        <f>AVERAGEIFS(WapelloNDD!$F:$F,WapelloNDD!$E:$E,"&gt;=5/1/2015",WapelloNDD!$E:$E,"&lt;=4/30/2016",(WapelloNDD!$C:$C),("NITROGEN, TOTAL (AS N)"),(WapelloNDD!$H:$H),("FINAL EFFLUENT"),(WapelloNDD!$G:$G),("MG/L"))</f>
        <v>#DIV/0!</v>
      </c>
      <c r="K13" s="59">
        <f>COUNTIFS(WapelloNDD!$E:$E,"&gt;=5/1/2015",WapelloNDD!$E:$E,"&lt;=4/30/2016",WapelloNDD!$C:$C,"NITROGEN, TOTAL (AS N)",WapelloNDD!$G:$G,"LBS/DAY",WapelloNDD!$H:$H,"FINAL EFFLUENT")</f>
        <v>0</v>
      </c>
      <c r="L13" s="93" t="e">
        <f>AVERAGEIFS((WapelloNDD!$F:$F),WapelloNDD!$E:$E,"&gt;=5/1/2015",WapelloNDD!$E:$E,"&lt;=4/30/2016",(WapelloNDD!$C:$C),("NITROGEN, TOTAL (AS N)"),(WapelloNDD!$H:$H),("FINAL EFFLUENT"),(WapelloNDD!$G:$G),("LBS/DAY"))</f>
        <v>#DIV/0!</v>
      </c>
      <c r="M13" s="61">
        <f>SUMIFS(WapelloNDD!$F:$F,WapelloNDD!$E:$E,"&gt;=5/1/2015",WapelloNDD!$E:$E,"&lt;=4/30/2016",(WapelloNDD!$C:$C),("NITROGEN, TOTAL (AS N)"),(WapelloNDD!$H:$H),("FINAL EFFLUENT"),(WapelloNDD!$G:$G),("LBS/DAY"))</f>
        <v>0</v>
      </c>
      <c r="N13" s="62" t="e">
        <f>L13*365</f>
        <v>#DIV/0!</v>
      </c>
      <c r="O13" s="63" t="e">
        <f>((D13-J13))/D13</f>
        <v>#DIV/0!</v>
      </c>
      <c r="P13" s="64" t="e">
        <f>((F13-L13))/F13</f>
        <v>#DIV/0!</v>
      </c>
      <c r="Q13" s="65" t="s">
        <v>118</v>
      </c>
    </row>
    <row r="14" spans="1:17" s="75" customFormat="1" ht="5.25" customHeight="1" x14ac:dyDescent="0.2">
      <c r="A14" s="243"/>
      <c r="B14" s="94"/>
      <c r="C14" s="66"/>
      <c r="D14" s="67"/>
      <c r="E14" s="66"/>
      <c r="F14" s="68"/>
      <c r="G14" s="68"/>
      <c r="H14" s="69"/>
      <c r="I14" s="66"/>
      <c r="J14" s="70"/>
      <c r="K14" s="66"/>
      <c r="L14" s="96"/>
      <c r="M14" s="68"/>
      <c r="N14" s="71"/>
      <c r="O14" s="72"/>
      <c r="P14" s="73"/>
      <c r="Q14" s="74"/>
    </row>
    <row r="15" spans="1:17" s="75" customFormat="1" x14ac:dyDescent="0.2">
      <c r="A15" s="243"/>
      <c r="B15" s="97" t="s">
        <v>44</v>
      </c>
      <c r="C15" s="26">
        <f>COUNTIFS(WapelloNDD!$E:$E,"&gt;=1/1/2016",WapelloNDD!$E:$E,"&lt;=12/31/2016",WapelloNDD!$C:$C,"NITROGEN, TOTAL (AS N)",WapelloNDD!$G:$G,"MG/L",WapelloNDD!$H:$H,"RAW WASTE")</f>
        <v>0</v>
      </c>
      <c r="D15" s="27" t="e">
        <f>AVERAGEIFS(WapelloNDD!$F:$F,WapelloNDD!$E:$E,"&gt;=1/1/2016",WapelloNDD!$E:$E,"&lt;=12/31/2016",(WapelloNDD!$C:$C),("NITROGEN, TOTAL (AS N)"),(WapelloNDD!$H:$H),("RAW WASTE"),(WapelloNDD!$G:$G),("MG/L"))</f>
        <v>#DIV/0!</v>
      </c>
      <c r="E15" s="26">
        <f>COUNTIFS(WapelloNDD!$E:$E,"&gt;=1/1/2016",WapelloNDD!$E:$E,"&lt;=12/31/2016",WapelloNDD!$C:$C,"NITROGEN, TOTAL (AS N)",WapelloNDD!$G:$G,"LBS/DAY",WapelloNDD!$H:$H,"RAW WASTE")</f>
        <v>0</v>
      </c>
      <c r="F15" s="28" t="e">
        <f>AVERAGEIFS(WapelloNDD!$F:$F,WapelloNDD!$E:$E,"&gt;=1/1/2016",WapelloNDD!$E:$E,"&lt;=12/31/2016",(WapelloNDD!$C:$C),("NITROGEN, TOTAL (AS N)"),(WapelloNDD!$H:$H),("RAW WASTE"),(WapelloNDD!$G:$G),("LBS/DAY"))</f>
        <v>#DIV/0!</v>
      </c>
      <c r="G15" s="28">
        <f>SUMIFS(WapelloNDD!$F:$F,WapelloNDD!$E:$E,"&gt;=1/1/2016",WapelloNDD!$E:$E,"&lt;=12/31/2016",(WapelloNDD!$C:$C),("NITROGEN, TOTAL (AS N)"),(WapelloNDD!$H:$H),("RAW WASTE"),(WapelloNDD!$G:$G),("LBS/DAY"))</f>
        <v>0</v>
      </c>
      <c r="H15" s="29" t="e">
        <f>F15*365</f>
        <v>#DIV/0!</v>
      </c>
      <c r="I15" s="26">
        <f>COUNTIFS(WapelloNDD!$E:$E,"&gt;=1/1/2016",WapelloNDD!$E:$E,"&lt;=12/31/2016",WapelloNDD!$C:$C,"NITROGEN, TOTAL (AS N)",WapelloNDD!$G:$G,"MG/L",WapelloNDD!$H:$H,"FINAL EFFLUENT")</f>
        <v>0</v>
      </c>
      <c r="J15" s="30" t="e">
        <f>AVERAGEIFS(WapelloNDD!$F:$F,WapelloNDD!$E:$E,"&gt;=1/1/2016",WapelloNDD!$E:$E,"&lt;=12/31/2016",(WapelloNDD!$C:$C),("NITROGEN, TOTAL (AS N)"),(WapelloNDD!$H:$H),("FINAL EFFLUENT"),(WapelloNDD!$G:$G),("MG/L"))</f>
        <v>#DIV/0!</v>
      </c>
      <c r="K15" s="26">
        <f>COUNTIFS(WapelloNDD!$E:$E,"&gt;=1/1/2016",WapelloNDD!$E:$E,"&lt;=12/31/2016",WapelloNDD!$C:$C,"NITROGEN, TOTAL (AS N)",WapelloNDD!$G:$G,"LBS/DAY",WapelloNDD!$H:$H,"FINAL EFFLUENT")</f>
        <v>0</v>
      </c>
      <c r="L15" s="99" t="e">
        <f>AVERAGEIFS((WapelloNDD!$F:$F),WapelloNDD!$E:$E,"&gt;=1/1/2016",WapelloNDD!$E:$E,"&lt;=12/31/2016",(WapelloNDD!$C:$C),("NITROGEN, TOTAL (AS N)"),(WapelloNDD!$H:$H),("FINAL EFFLUENT"),(WapelloNDD!$G:$G),("LBS/DAY"))</f>
        <v>#DIV/0!</v>
      </c>
      <c r="M15" s="28">
        <f>SUMIFS(WapelloNDD!$F:$F,WapelloNDD!$E:$E,"&gt;=1/1/2016",WapelloNDD!$E:$E,"&lt;=12/31/2016",(WapelloNDD!$C:$C),("NITROGEN, TOTAL (AS N)"),(WapelloNDD!$H:$H),("FINAL EFFLUENT"),(WapelloNDD!$G:$G),("LBS/DAY"))</f>
        <v>0</v>
      </c>
      <c r="N15" s="31" t="e">
        <f>L15*365</f>
        <v>#DIV/0!</v>
      </c>
      <c r="O15" s="32" t="e">
        <f>((D15-J15))/D15</f>
        <v>#DIV/0!</v>
      </c>
      <c r="P15" s="33" t="e">
        <f>((F15-L15))/F15</f>
        <v>#DIV/0!</v>
      </c>
      <c r="Q15" s="76" t="s">
        <v>118</v>
      </c>
    </row>
    <row r="16" spans="1:17" s="48" customFormat="1" x14ac:dyDescent="0.2">
      <c r="A16" s="243"/>
      <c r="B16" s="100" t="s">
        <v>48</v>
      </c>
      <c r="C16" s="101">
        <f>COUNTIFS(WapelloNDD!$E:$E,"&gt;=5/1/2016",WapelloNDD!$E:$E,"&lt;=4/30/2017",WapelloNDD!$C:$C,"NITROGEN, TOTAL (AS N)",WapelloNDD!$G:$G,"MG/L",WapelloNDD!$H:$H,"RAW WASTE")</f>
        <v>0</v>
      </c>
      <c r="D16" s="102" t="e">
        <f>AVERAGEIFS(WapelloNDD!$F:$F,WapelloNDD!$E:$E,"&gt;=5/1/2016",WapelloNDD!$E:$E,"&lt;=4/30/2017",(WapelloNDD!$C:$C),("NITROGEN, TOTAL (AS N)"),(WapelloNDD!$H:$H),("RAW WASTE"),(WapelloNDD!$G:$G),("MG/L"))</f>
        <v>#DIV/0!</v>
      </c>
      <c r="E16" s="101">
        <f>COUNTIFS(WapelloNDD!$E:$E,"&gt;=5/1/2016",WapelloNDD!$E:$E,"&lt;=4/30/2017",WapelloNDD!$C:$C,"NITROGEN, TOTAL (AS N)",WapelloNDD!$G:$G,"LBS/DAY",WapelloNDD!$H:$H,"RAW WASTE")</f>
        <v>0</v>
      </c>
      <c r="F16" s="104" t="e">
        <f>AVERAGEIFS(WapelloNDD!$F:$F,WapelloNDD!$E:$E,"&gt;=5/1/2016",WapelloNDD!$E:$E,"&lt;=4/30/2017",(WapelloNDD!$C:$C),("NITROGEN, TOTAL (AS N)"),(WapelloNDD!$H:$H),("RAW WASTE"),(WapelloNDD!$G:$G),("LBS/DAY"))</f>
        <v>#DIV/0!</v>
      </c>
      <c r="G16" s="104">
        <f>SUMIFS(WapelloNDD!$F:$F,WapelloNDD!$E:$E,"&gt;=5/1/2016",WapelloNDD!$E:$E,"&lt;=4/30/2017",(WapelloNDD!$C:$C),("NITROGEN, TOTAL (AS N)"),(WapelloNDD!$H:$H),("RAW WASTE"),(WapelloNDD!$G:$G),("LBS/DAY"))</f>
        <v>0</v>
      </c>
      <c r="H16" s="105" t="e">
        <f>F16*365</f>
        <v>#DIV/0!</v>
      </c>
      <c r="I16" s="101">
        <f>COUNTIFS(WapelloNDD!$E:$E,"&gt;=5/1/2016",WapelloNDD!$E:$E,"&lt;=4/30/2017",WapelloNDD!$C:$C,"NITROGEN, TOTAL (AS N)",WapelloNDD!$G:$G,"MG/L",WapelloNDD!$H:$H,"FINAL EFFLUENT")</f>
        <v>0</v>
      </c>
      <c r="J16" s="102" t="e">
        <f>AVERAGEIFS(WapelloNDD!$F:$F,WapelloNDD!$E:$E,"&gt;=5/1/2016",WapelloNDD!$E:$E,"&lt;=4/30/2017",(WapelloNDD!$C:$C),("NITROGEN, TOTAL (AS N)"),(WapelloNDD!$H:$H),("FINAL EFFLUENT"),(WapelloNDD!$G:$G),("MG/L"))</f>
        <v>#DIV/0!</v>
      </c>
      <c r="K16" s="101">
        <f>COUNTIFS(WapelloNDD!$E:$E,"&gt;=5/1/2016",WapelloNDD!$E:$E,"&lt;=4/30/2017",WapelloNDD!$C:$C,"NITROGEN, TOTAL (AS N)",WapelloNDD!$G:$G,"LBS/DAY",WapelloNDD!$H:$H,"FINAL EFFLUENT")</f>
        <v>0</v>
      </c>
      <c r="L16" s="103" t="e">
        <f>AVERAGEIFS((WapelloNDD!$F:$F),WapelloNDD!$E:$E,"&gt;=5/1/2016",WapelloNDD!$E:$E,"&lt;=4/30/2017",(WapelloNDD!$C:$C),("NITROGEN, TOTAL (AS N)"),(WapelloNDD!$H:$H),("FINAL EFFLUENT"),(WapelloNDD!$G:$G),("LBS/DAY"))</f>
        <v>#DIV/0!</v>
      </c>
      <c r="M16" s="104">
        <f>SUMIFS(WapelloNDD!$F:$F,WapelloNDD!$E:$E,"&gt;=5/1/2016",WapelloNDD!$E:$E,"&lt;=4/30/2017",(WapelloNDD!$C:$C),("NITROGEN, TOTAL (AS N)"),(WapelloNDD!$H:$H),("FINAL EFFLUENT"),(WapelloNDD!$G:$G),("LBS/DAY"))</f>
        <v>0</v>
      </c>
      <c r="N16" s="105" t="e">
        <f>L16*365</f>
        <v>#DIV/0!</v>
      </c>
      <c r="O16" s="106" t="e">
        <f>((D16-J16))/D16</f>
        <v>#DIV/0!</v>
      </c>
      <c r="P16" s="107" t="e">
        <f>((F16-L16))/F16</f>
        <v>#DIV/0!</v>
      </c>
      <c r="Q16" s="108" t="s">
        <v>118</v>
      </c>
    </row>
    <row r="17" spans="1:19" s="48" customFormat="1" ht="5.25" customHeight="1" x14ac:dyDescent="0.2">
      <c r="A17" s="243"/>
      <c r="B17" s="109"/>
      <c r="C17" s="110"/>
      <c r="D17" s="111"/>
      <c r="E17" s="110"/>
      <c r="F17" s="112"/>
      <c r="G17" s="112"/>
      <c r="H17" s="112"/>
      <c r="I17" s="110"/>
      <c r="J17" s="111"/>
      <c r="K17" s="110"/>
      <c r="L17" s="111"/>
      <c r="M17" s="112"/>
      <c r="N17" s="112"/>
      <c r="O17" s="113"/>
      <c r="P17" s="113"/>
      <c r="Q17" s="114"/>
    </row>
    <row r="18" spans="1:19" s="126" customFormat="1" x14ac:dyDescent="0.2">
      <c r="A18" s="243"/>
      <c r="B18" s="115" t="s">
        <v>49</v>
      </c>
      <c r="C18" s="116">
        <f>COUNTIFS(WapelloNDD!$E:$E,"&gt;=1/1/2017",WapelloNDD!$E:$E,"&lt;=12/31/2017",WapelloNDD!$C:$C,"NITROGEN, TOTAL (AS N)",WapelloNDD!$G:$G,"MG/L",WapelloNDD!$H:$H,"RAW WASTE")</f>
        <v>4</v>
      </c>
      <c r="D18" s="117">
        <f>AVERAGEIFS(WapelloNDD!$F:$F,WapelloNDD!$E:$E,"&gt;=1/1/2017",WapelloNDD!$E:$E,"&lt;=12/31/2017",(WapelloNDD!$C:$C),("NITROGEN, TOTAL (AS N)"),(WapelloNDD!$H:$H),("RAW WASTE"),(WapelloNDD!$G:$G),("MG/L"))</f>
        <v>51.15</v>
      </c>
      <c r="E18" s="116">
        <f>COUNTIFS(WapelloNDD!$E:$E,"&gt;=1/1/2017",WapelloNDD!$E:$E,"&lt;=12/31/2017",WapelloNDD!$C:$C,"NITROGEN, TOTAL (AS N)",WapelloNDD!$G:$G,"LBS/DAY",WapelloNDD!$H:$H,"RAW WASTE")</f>
        <v>4</v>
      </c>
      <c r="F18" s="119">
        <f>AVERAGEIFS(WapelloNDD!$F:$F,WapelloNDD!$E:$E,"&gt;=1/1/2017",WapelloNDD!$E:$E,"&lt;=12/31/2017",(WapelloNDD!$C:$C),("NITROGEN, TOTAL (AS N)"),(WapelloNDD!$H:$H),("RAW WASTE"),(WapelloNDD!$G:$G),("LBS/DAY"))</f>
        <v>55.507286999999998</v>
      </c>
      <c r="G18" s="119">
        <f>SUMIFS(WapelloNDD!$F:$F,WapelloNDD!$E:$E,"&gt;=1/1/2017",WapelloNDD!$E:$E,"&lt;=12/31/2017",(WapelloNDD!$C:$C),("NITROGEN, TOTAL (AS N)"),(WapelloNDD!$H:$H),("RAW WASTE"),(WapelloNDD!$G:$G),("LBS/DAY"))</f>
        <v>222.02914799999999</v>
      </c>
      <c r="H18" s="120">
        <f>F18*365</f>
        <v>20260.159755000001</v>
      </c>
      <c r="I18" s="116">
        <f>COUNTIFS(WapelloNDD!$E:$E,"&gt;=1/1/2017",WapelloNDD!$E:$E,"&lt;=12/31/2017",WapelloNDD!$C:$C,"NITROGEN, TOTAL (AS N)",WapelloNDD!$G:$G,"MG/L",WapelloNDD!$H:$H,"FINAL EFFLUENT")</f>
        <v>4</v>
      </c>
      <c r="J18" s="121">
        <f>AVERAGEIFS(WapelloNDD!$F:$F,WapelloNDD!$E:$E,"&gt;=1/1/2017",WapelloNDD!$E:$E,"&lt;=12/31/2017",(WapelloNDD!$C:$C),("NITROGEN, TOTAL (AS N)"),(WapelloNDD!$H:$H),("FINAL EFFLUENT"),(WapelloNDD!$G:$G),("MG/L"))</f>
        <v>2.4024999999999999</v>
      </c>
      <c r="K18" s="116">
        <f>COUNTIFS(WapelloNDD!$E:$E,"&gt;=1/1/2017",WapelloNDD!$E:$E,"&lt;=12/31/2017",WapelloNDD!$C:$C,"NITROGEN, TOTAL (AS N)",WapelloNDD!$G:$G,"LBS/DAY",WapelloNDD!$H:$H,"FINAL EFFLUENT")</f>
        <v>4</v>
      </c>
      <c r="L18" s="122">
        <f>AVERAGEIFS((WapelloNDD!$F:$F),WapelloNDD!$E:$E,"&gt;=1/1/2017",WapelloNDD!$E:$E,"&lt;=12/31/2017",(WapelloNDD!$C:$C),("NITROGEN, TOTAL (AS N)"),(WapelloNDD!$H:$H),("FINAL EFFLUENT"),(WapelloNDD!$G:$G),("LBS/DAY"))</f>
        <v>2.08339455</v>
      </c>
      <c r="M18" s="119">
        <f>SUMIFS(WapelloNDD!$F:$F,WapelloNDD!$E:$E,"&gt;=1/1/2017",WapelloNDD!$E:$E,"&lt;=12/31/2017",(WapelloNDD!$C:$C),("NITROGEN, TOTAL (AS N)"),(WapelloNDD!$H:$H),("FINAL EFFLUENT"),(WapelloNDD!$G:$G),("LBS/DAY"))</f>
        <v>8.3335781999999998</v>
      </c>
      <c r="N18" s="213">
        <f>L18*365</f>
        <v>760.43901074999997</v>
      </c>
      <c r="O18" s="123">
        <f>((D18-J18))/D18</f>
        <v>0.95303030303030312</v>
      </c>
      <c r="P18" s="124">
        <f>((F18-L18))/F18</f>
        <v>0.96246628753446373</v>
      </c>
      <c r="Q18" s="125">
        <f>(F18-L18)*365</f>
        <v>19499.72074425</v>
      </c>
    </row>
    <row r="19" spans="1:19" s="48" customFormat="1" x14ac:dyDescent="0.2">
      <c r="A19" s="243"/>
      <c r="B19" s="173" t="s">
        <v>50</v>
      </c>
      <c r="C19" s="174">
        <f>COUNTIFS(WapelloNDD!$E:$E,"&gt;=5/1/2017",WapelloNDD!$E:$E,"&lt;=4/30/2018",WapelloNDD!$C:$C,"NITROGEN, TOTAL (AS N)",WapelloNDD!$G:$G,"MG/L",WapelloNDD!$H:$H,"RAW WASTE")</f>
        <v>21</v>
      </c>
      <c r="D19" s="175">
        <f>AVERAGEIFS(WapelloNDD!$F:$F,WapelloNDD!$E:$E,"&gt;=5/1/2017",WapelloNDD!$E:$E,"&lt;=4/30/2018",(WapelloNDD!$C:$C),("NITROGEN, TOTAL (AS N)"),(WapelloNDD!$H:$H),("RAW WASTE"),(WapelloNDD!$G:$G),("MG/L"))</f>
        <v>39.119047619047628</v>
      </c>
      <c r="E19" s="174">
        <f>COUNTIFS(WapelloNDD!$E:$E,"&gt;=5/1/2017",WapelloNDD!$E:$E,"&lt;=4/30/2018",WapelloNDD!$C:$C,"NITROGEN, TOTAL (AS N)",WapelloNDD!$G:$G,"LBS/DAY",WapelloNDD!$H:$H,"RAW WASTE")</f>
        <v>21</v>
      </c>
      <c r="F19" s="177">
        <f>AVERAGEIFS(WapelloNDD!$F:$F,WapelloNDD!$E:$E,"&gt;=5/1/2017",WapelloNDD!$E:$E,"&lt;=4/30/2018",(WapelloNDD!$C:$C),("NITROGEN, TOTAL (AS N)"),(WapelloNDD!$H:$H),("RAW WASTE"),(WapelloNDD!$G:$G),("LBS/DAY"))</f>
        <v>48.657625142857128</v>
      </c>
      <c r="G19" s="177">
        <f>SUMIFS(WapelloNDD!$F:$F,WapelloNDD!$E:$E,"&gt;=5/1/2017",WapelloNDD!$E:$E,"&lt;=4/30/2018",(WapelloNDD!$C:$C),("NITROGEN, TOTAL (AS N)"),(WapelloNDD!$H:$H),("RAW WASTE"),(WapelloNDD!$G:$G),("LBS/DAY"))</f>
        <v>1021.8101279999997</v>
      </c>
      <c r="H19" s="178">
        <f>F19*365</f>
        <v>17760.03317714285</v>
      </c>
      <c r="I19" s="174">
        <f>COUNTIFS(WapelloNDD!$E:$E,"&gt;=5/1/2017",WapelloNDD!$E:$E,"&lt;=4/30/2018",WapelloNDD!$C:$C,"NITROGEN, TOTAL (AS N)",WapelloNDD!$G:$G,"MG/L",WapelloNDD!$H:$H,"FINAL EFFLUENT")</f>
        <v>21</v>
      </c>
      <c r="J19" s="175">
        <f>AVERAGEIFS(WapelloNDD!$F:$F,WapelloNDD!$E:$E,"&gt;=5/1/2017",WapelloNDD!$E:$E,"&lt;=4/30/2018",(WapelloNDD!$C:$C),("NITROGEN, TOTAL (AS N)"),(WapelloNDD!$H:$H),("FINAL EFFLUENT"),(WapelloNDD!$G:$G),("MG/L"))</f>
        <v>6.8100000000000005</v>
      </c>
      <c r="K19" s="174">
        <f>COUNTIFS(WapelloNDD!$E:$E,"&gt;=5/1/2017",WapelloNDD!$E:$E,"&lt;=4/30/2018",WapelloNDD!$C:$C,"NITROGEN, TOTAL (AS N)",WapelloNDD!$G:$G,"LBS/DAY",WapelloNDD!$H:$H,"FINAL EFFLUENT")</f>
        <v>21</v>
      </c>
      <c r="L19" s="176">
        <f>AVERAGEIFS((WapelloNDD!$F:$F),WapelloNDD!$E:$E,"&gt;=5/1/2017",WapelloNDD!$E:$E,"&lt;=4/30/2018",(WapelloNDD!$C:$C),("NITROGEN, TOTAL (AS N)"),(WapelloNDD!$H:$H),("FINAL EFFLUENT"),(WapelloNDD!$G:$G),("LBS/DAY"))</f>
        <v>10.677515342857141</v>
      </c>
      <c r="M19" s="177">
        <f>SUMIFS(WapelloNDD!$F:$F,WapelloNDD!$E:$E,"&gt;=5/1/2017",WapelloNDD!$E:$E,"&lt;=4/30/2018",(WapelloNDD!$C:$C),("NITROGEN, TOTAL (AS N)"),(WapelloNDD!$H:$H),("FINAL EFFLUENT"),(WapelloNDD!$G:$G),("LBS/DAY"))</f>
        <v>224.22782219999996</v>
      </c>
      <c r="N19" s="178">
        <f>L19*365</f>
        <v>3897.2931001428565</v>
      </c>
      <c r="O19" s="179">
        <f>((D19-J19))/D19</f>
        <v>0.82591600730371273</v>
      </c>
      <c r="P19" s="180">
        <f>((F19-L19))/F19</f>
        <v>0.78055823087320186</v>
      </c>
      <c r="Q19" s="181">
        <f>(F19-L19)*365</f>
        <v>13862.740076999995</v>
      </c>
    </row>
    <row r="20" spans="1:19" s="48" customFormat="1" ht="5.25" customHeight="1" x14ac:dyDescent="0.2">
      <c r="A20" s="243"/>
      <c r="B20" s="172"/>
      <c r="C20" s="168"/>
      <c r="D20" s="169"/>
      <c r="E20" s="168"/>
      <c r="F20" s="112"/>
      <c r="G20" s="112"/>
      <c r="H20" s="170"/>
      <c r="I20" s="168"/>
      <c r="J20" s="169"/>
      <c r="K20" s="168"/>
      <c r="L20" s="111"/>
      <c r="M20" s="112"/>
      <c r="N20" s="170"/>
      <c r="O20" s="113"/>
      <c r="P20" s="171"/>
      <c r="Q20" s="114"/>
    </row>
    <row r="21" spans="1:19" s="159" customFormat="1" x14ac:dyDescent="0.2">
      <c r="A21" s="243"/>
      <c r="B21" s="149" t="s">
        <v>62</v>
      </c>
      <c r="C21" s="150">
        <f>COUNTIFS(WapelloNDD!$E:$E,"&gt;=1/1/2018",WapelloNDD!$E:$E,"&lt;=12/31/2018",WapelloNDD!$C:$C,"NITROGEN, TOTAL (AS N)",WapelloNDD!$G:$G,"MG/L",WapelloNDD!$H:$H,"RAW WASTE")</f>
        <v>17</v>
      </c>
      <c r="D21" s="151">
        <f>AVERAGEIFS(WapelloNDD!$F:$F,WapelloNDD!$E:$E,"&gt;=1/1/2018",WapelloNDD!$E:$E,"&lt;=12/31/2018",(WapelloNDD!$C:$C),("NITROGEN, TOTAL (AS N)"),(WapelloNDD!$H:$H),("RAW WASTE"),(WapelloNDD!$G:$G),("MG/L"))</f>
        <v>36.288235294117655</v>
      </c>
      <c r="E21" s="150">
        <f>COUNTIFS(WapelloNDD!$E:$E,"&gt;=1/1/2018",WapelloNDD!$E:$E,"&lt;=12/31/2018",WapelloNDD!$C:$C,"NITROGEN, TOTAL (AS N)",WapelloNDD!$G:$G,"LBS/DAY",WapelloNDD!$H:$H,"RAW WASTE")</f>
        <v>17</v>
      </c>
      <c r="F21" s="152">
        <f>AVERAGEIFS(WapelloNDD!$F:$F,WapelloNDD!$E:$E,"&gt;=1/1/2018",WapelloNDD!$E:$E,"&lt;=12/31/2018",(WapelloNDD!$C:$C),("NITROGEN, TOTAL (AS N)"),(WapelloNDD!$H:$H),("RAW WASTE"),(WapelloNDD!$G:$G),("LBS/DAY"))</f>
        <v>47.045939999999987</v>
      </c>
      <c r="G21" s="152">
        <f>SUMIFS(WapelloNDD!$F:$F,WapelloNDD!$E:$E,"&gt;=1/1/2018",WapelloNDD!$E:$E,"&lt;=12/31/2018",(WapelloNDD!$C:$C),("NITROGEN, TOTAL (AS N)"),(WapelloNDD!$H:$H),("RAW WASTE"),(WapelloNDD!$G:$G),("LBS/DAY"))</f>
        <v>799.78097999999977</v>
      </c>
      <c r="H21" s="153">
        <f>F21*365</f>
        <v>17171.768099999994</v>
      </c>
      <c r="I21" s="150">
        <f>COUNTIFS(WapelloNDD!$E:$E,"&gt;=1/1/2018",WapelloNDD!$E:$E,"&lt;=12/31/2018",WapelloNDD!$C:$C,"NITROGEN, TOTAL (AS N)",WapelloNDD!$G:$G,"MG/L",WapelloNDD!$H:$H,"FINAL EFFLUENT")</f>
        <v>17</v>
      </c>
      <c r="J21" s="154">
        <f>AVERAGEIFS(WapelloNDD!$F:$F,WapelloNDD!$E:$E,"&gt;=1/1/2018",WapelloNDD!$E:$E,"&lt;=12/31/2018",(WapelloNDD!$C:$C),("NITROGEN, TOTAL (AS N)"),(WapelloNDD!$H:$H),("FINAL EFFLUENT"),(WapelloNDD!$G:$G),("MG/L"))</f>
        <v>7.8470588235294141</v>
      </c>
      <c r="K21" s="150">
        <f>COUNTIFS(WapelloNDD!$E:$E,"&gt;=1/1/2018",WapelloNDD!$E:$E,"&lt;=12/31/2018",WapelloNDD!$C:$C,"NITROGEN, TOTAL (AS N)",WapelloNDD!$G:$G,"LBS/DAY",WapelloNDD!$H:$H,"FINAL EFFLUENT")</f>
        <v>17</v>
      </c>
      <c r="L21" s="209">
        <f>AVERAGEIFS((WapelloNDD!$F:$F),WapelloNDD!$E:$E,"&gt;=1/1/2018",WapelloNDD!$E:$E,"&lt;=12/31/2018",(WapelloNDD!$C:$C),("NITROGEN, TOTAL (AS N)"),(WapelloNDD!$H:$H),("FINAL EFFLUENT"),(WapelloNDD!$G:$G),("LBS/DAY"))</f>
        <v>12.699661411764705</v>
      </c>
      <c r="M21" s="152">
        <f>SUMIFS(WapelloNDD!$F:$F,WapelloNDD!$E:$E,"&gt;=1/1/2018",WapelloNDD!$E:$E,"&lt;=12/31/2018",(WapelloNDD!$C:$C),("NITROGEN, TOTAL (AS N)"),(WapelloNDD!$H:$H),("FINAL EFFLUENT"),(WapelloNDD!$G:$G),("LBS/DAY"))</f>
        <v>215.89424399999999</v>
      </c>
      <c r="N21" s="155">
        <f>L21*365</f>
        <v>4635.3764152941176</v>
      </c>
      <c r="O21" s="156">
        <f>((D21-J21))/D21</f>
        <v>0.78375749716323551</v>
      </c>
      <c r="P21" s="157">
        <f>((F21-L21))/F21</f>
        <v>0.73005829170881242</v>
      </c>
      <c r="Q21" s="158">
        <f>(F21-L21)*365</f>
        <v>12536.391684705877</v>
      </c>
    </row>
    <row r="22" spans="1:19" s="48" customFormat="1" ht="12" thickBot="1" x14ac:dyDescent="0.25">
      <c r="A22" s="244"/>
      <c r="B22" s="160" t="s">
        <v>63</v>
      </c>
      <c r="C22" s="161">
        <f>COUNTIFS(WapelloNDD!$E:$E,"&gt;=5/1/2018",WapelloNDD!$E:$E,"&lt;=4/30/2019",WapelloNDD!$C:$C,"NITROGEN, TOTAL (AS N)",WapelloNDD!$G:$G,"MG/L",WapelloNDD!$H:$H,"RAW WASTE")</f>
        <v>0</v>
      </c>
      <c r="D22" s="162" t="e">
        <f>AVERAGEIFS(WapelloNDD!$F:$F,WapelloNDD!$E:$E,"&gt;=5/1/2018",WapelloNDD!$E:$E,"&lt;=4/30/2019",(WapelloNDD!$C:$C),("NITROGEN, TOTAL (AS N)"),(WapelloNDD!$H:$H),("RAW WASTE"),(WapelloNDD!$G:$G),("MG/L"))</f>
        <v>#DIV/0!</v>
      </c>
      <c r="E22" s="161">
        <f>COUNTIFS(WapelloNDD!$E:$E,"&gt;=5/1/2018",WapelloNDD!$E:$E,"&lt;=4/30/2019",WapelloNDD!$C:$C,"NITROGEN, TOTAL (AS N)",WapelloNDD!$G:$G,"LBS/DAY",WapelloNDD!$H:$H,"RAW WASTE")</f>
        <v>0</v>
      </c>
      <c r="F22" s="163" t="e">
        <f>AVERAGEIFS(WapelloNDD!$F:$F,WapelloNDD!$E:$E,"&gt;=5/1/2018",WapelloNDD!$E:$E,"&lt;=4/30/2019",(WapelloNDD!$C:$C),("NITROGEN, TOTAL (AS N)"),(WapelloNDD!$H:$H),("RAW WASTE"),(WapelloNDD!$G:$G),("LBS/DAY"))</f>
        <v>#DIV/0!</v>
      </c>
      <c r="G22" s="163">
        <f>SUMIFS(WapelloNDD!$F:$F,WapelloNDD!$E:$E,"&gt;=5/1/2018",WapelloNDD!$E:$E,"&lt;=4/30/2019",(WapelloNDD!$C:$C),("NITROGEN, TOTAL (AS N)"),(WapelloNDD!$H:$H),("RAW WASTE"),(WapelloNDD!$G:$G),("LBS/DAY"))</f>
        <v>0</v>
      </c>
      <c r="H22" s="164" t="e">
        <f>F22*365</f>
        <v>#DIV/0!</v>
      </c>
      <c r="I22" s="161">
        <f>COUNTIFS(WapelloNDD!$E:$E,"&gt;=5/1/2018",WapelloNDD!$E:$E,"&lt;=4/30/2019",WapelloNDD!$C:$C,"NITROGEN, TOTAL (AS N)",WapelloNDD!$G:$G,"MG/L",WapelloNDD!$H:$H,"FINAL EFFLUENT")</f>
        <v>0</v>
      </c>
      <c r="J22" s="162" t="e">
        <f>AVERAGEIFS(WapelloNDD!$F:$F,WapelloNDD!$E:$E,"&gt;=5/1/2018",WapelloNDD!$E:$E,"&lt;=4/30/2019",(WapelloNDD!$C:$C),("NITROGEN, TOTAL (AS N)"),(WapelloNDD!$H:$H),("FINAL EFFLUENT"),(WapelloNDD!$G:$G),("MG/L"))</f>
        <v>#DIV/0!</v>
      </c>
      <c r="K22" s="161">
        <f>COUNTIFS(WapelloNDD!$E:$E,"&gt;=5/1/2018",WapelloNDD!$E:$E,"&lt;=4/30/2019",WapelloNDD!$C:$C,"NITROGEN, TOTAL (AS N)",WapelloNDD!$G:$G,"LBS/DAY",WapelloNDD!$H:$H,"FINAL EFFLUENT")</f>
        <v>0</v>
      </c>
      <c r="L22" s="208" t="e">
        <f>AVERAGEIFS((WapelloNDD!$F:$F),WapelloNDD!$E:$E,"&gt;=5/1/2018",WapelloNDD!$E:$E,"&lt;=4/30/2019",(WapelloNDD!$C:$C),("NITROGEN, TOTAL (AS N)"),(WapelloNDD!$H:$H),("FINAL EFFLUENT"),(WapelloNDD!$G:$G),("LBS/DAY"))</f>
        <v>#DIV/0!</v>
      </c>
      <c r="M22" s="163">
        <f>SUMIFS(WapelloNDD!$F:$F,WapelloNDD!$E:$E,"&gt;=5/1/2018",WapelloNDD!$E:$E,"&lt;=4/30/2019",(WapelloNDD!$C:$C),("NITROGEN, TOTAL (AS N)"),(WapelloNDD!$H:$H),("FINAL EFFLUENT"),(WapelloNDD!$G:$G),("LBS/DAY"))</f>
        <v>0</v>
      </c>
      <c r="N22" s="164" t="e">
        <f>L22*365</f>
        <v>#DIV/0!</v>
      </c>
      <c r="O22" s="165" t="e">
        <f>((D22-J22))/D22</f>
        <v>#DIV/0!</v>
      </c>
      <c r="P22" s="166" t="e">
        <f>((F22-L22))/F22</f>
        <v>#DIV/0!</v>
      </c>
      <c r="Q22" s="167" t="e">
        <f>(F22-L22)*365</f>
        <v>#DIV/0!</v>
      </c>
    </row>
    <row r="23" spans="1:19" s="48" customFormat="1" ht="11.25" customHeight="1" x14ac:dyDescent="0.2">
      <c r="A23" s="132"/>
      <c r="B23" s="109"/>
      <c r="C23" s="110"/>
      <c r="D23" s="111"/>
      <c r="E23" s="110"/>
      <c r="F23" s="111"/>
      <c r="G23" s="112"/>
      <c r="H23" s="112"/>
      <c r="I23" s="110"/>
      <c r="J23" s="111"/>
      <c r="K23" s="110"/>
      <c r="L23" s="111"/>
      <c r="M23" s="112"/>
      <c r="N23" s="112"/>
      <c r="O23" s="113"/>
      <c r="P23" s="129" t="s">
        <v>51</v>
      </c>
      <c r="Q23" s="112">
        <f>_xlfn.STDEV.P(Q19)</f>
        <v>0</v>
      </c>
    </row>
    <row r="24" spans="1:19" s="48" customFormat="1" ht="11.25" customHeight="1" x14ac:dyDescent="0.2">
      <c r="A24" s="132"/>
      <c r="B24" s="109"/>
      <c r="C24" s="110"/>
      <c r="D24" s="111"/>
      <c r="E24" s="110"/>
      <c r="F24" s="111"/>
      <c r="G24" s="112"/>
      <c r="H24" s="112"/>
      <c r="I24" s="110"/>
      <c r="J24" s="111"/>
      <c r="K24" s="110"/>
      <c r="L24" s="111"/>
      <c r="M24" s="112"/>
      <c r="N24" s="112"/>
      <c r="O24" s="113"/>
      <c r="P24" s="129" t="s">
        <v>52</v>
      </c>
      <c r="Q24" s="130">
        <f>(Q23/(AVERAGE(Q19)))</f>
        <v>0</v>
      </c>
    </row>
    <row r="25" spans="1:19" s="48" customFormat="1" ht="11.25" customHeight="1" x14ac:dyDescent="0.2">
      <c r="A25" s="132"/>
      <c r="B25" s="109"/>
      <c r="C25" s="110"/>
      <c r="D25" s="111"/>
      <c r="E25" s="110"/>
      <c r="F25" s="111"/>
      <c r="G25" s="112"/>
      <c r="H25" s="112"/>
      <c r="I25" s="110"/>
      <c r="J25" s="111"/>
      <c r="K25" s="110"/>
      <c r="L25" s="111"/>
      <c r="M25" s="112"/>
      <c r="N25" s="112"/>
      <c r="O25" s="113"/>
      <c r="P25" s="129" t="s">
        <v>53</v>
      </c>
      <c r="Q25" s="112">
        <f>_xlfn.STDEV.P(Q21)</f>
        <v>0</v>
      </c>
    </row>
    <row r="26" spans="1:19" s="48" customFormat="1" ht="11.25" customHeight="1" x14ac:dyDescent="0.2">
      <c r="A26" s="132"/>
      <c r="B26" s="109"/>
      <c r="C26" s="110"/>
      <c r="D26" s="111"/>
      <c r="E26" s="110"/>
      <c r="F26" s="111"/>
      <c r="G26" s="112"/>
      <c r="H26" s="112"/>
      <c r="I26" s="110"/>
      <c r="J26" s="111"/>
      <c r="K26" s="110"/>
      <c r="L26" s="111"/>
      <c r="M26" s="112"/>
      <c r="N26" s="112"/>
      <c r="O26" s="113"/>
      <c r="P26" s="129" t="s">
        <v>54</v>
      </c>
      <c r="Q26" s="130">
        <f>Q25/(AVERAGE(Q21))</f>
        <v>0</v>
      </c>
    </row>
    <row r="27" spans="1:19" s="48" customFormat="1" ht="11.25" customHeight="1" x14ac:dyDescent="0.2">
      <c r="A27" s="132"/>
      <c r="B27" s="109"/>
      <c r="C27" s="110"/>
      <c r="D27" s="111"/>
      <c r="E27" s="110"/>
      <c r="F27" s="111"/>
      <c r="G27" s="112"/>
      <c r="H27" s="112"/>
      <c r="I27" s="110"/>
      <c r="J27" s="111"/>
      <c r="K27" s="110"/>
      <c r="L27" s="111"/>
      <c r="M27" s="112"/>
      <c r="N27" s="112"/>
      <c r="O27" s="113"/>
      <c r="P27" s="129" t="s">
        <v>55</v>
      </c>
      <c r="Q27" s="131">
        <f>_xlfn.STDEV.P(Q19)</f>
        <v>0</v>
      </c>
    </row>
    <row r="28" spans="1:19" s="48" customFormat="1" ht="11.25" customHeight="1" x14ac:dyDescent="0.2">
      <c r="A28" s="132"/>
      <c r="B28" s="109"/>
      <c r="C28" s="110"/>
      <c r="D28" s="111"/>
      <c r="E28" s="110"/>
      <c r="F28" s="111"/>
      <c r="G28" s="112"/>
      <c r="H28" s="112"/>
      <c r="I28" s="110"/>
      <c r="J28" s="111"/>
      <c r="K28" s="110"/>
      <c r="L28" s="111"/>
      <c r="M28" s="112"/>
      <c r="N28" s="112"/>
      <c r="O28" s="113"/>
      <c r="P28" s="129" t="s">
        <v>56</v>
      </c>
      <c r="Q28" s="113">
        <f>Q27/(AVERAGE(Q19))</f>
        <v>0</v>
      </c>
    </row>
    <row r="29" spans="1:19" s="48" customFormat="1" ht="11.25" customHeight="1" x14ac:dyDescent="0.2">
      <c r="A29" s="132"/>
      <c r="B29" s="109"/>
      <c r="C29" s="110"/>
      <c r="D29" s="111"/>
      <c r="E29" s="110"/>
      <c r="F29" s="111"/>
      <c r="G29" s="112"/>
      <c r="H29" s="112"/>
      <c r="I29" s="110"/>
      <c r="J29" s="111"/>
      <c r="K29" s="110"/>
      <c r="L29" s="111"/>
      <c r="M29" s="112"/>
      <c r="N29" s="112"/>
      <c r="O29" s="113"/>
      <c r="P29" s="129"/>
      <c r="Q29" s="113"/>
    </row>
    <row r="30" spans="1:19" ht="11.25" customHeight="1" thickBot="1" x14ac:dyDescent="0.25"/>
    <row r="31" spans="1:19" ht="11.25" customHeight="1" x14ac:dyDescent="0.2">
      <c r="A31" s="242" t="s">
        <v>35</v>
      </c>
      <c r="B31" s="219" t="s">
        <v>35</v>
      </c>
      <c r="C31" s="222" t="s">
        <v>36</v>
      </c>
      <c r="D31" s="223"/>
      <c r="E31" s="223"/>
      <c r="F31" s="223"/>
      <c r="G31" s="223"/>
      <c r="H31" s="223"/>
      <c r="I31" s="224" t="s">
        <v>45</v>
      </c>
      <c r="J31" s="224"/>
      <c r="K31" s="224"/>
      <c r="L31" s="224"/>
      <c r="M31" s="224"/>
      <c r="N31" s="224"/>
      <c r="O31" s="225" t="s">
        <v>37</v>
      </c>
      <c r="P31" s="226"/>
      <c r="Q31" s="245" t="s">
        <v>57</v>
      </c>
      <c r="S31" s="211"/>
    </row>
    <row r="32" spans="1:19" ht="11.25" customHeight="1" x14ac:dyDescent="0.2">
      <c r="A32" s="243"/>
      <c r="B32" s="220"/>
      <c r="C32" s="229" t="s">
        <v>25</v>
      </c>
      <c r="D32" s="230"/>
      <c r="E32" s="229" t="s">
        <v>26</v>
      </c>
      <c r="F32" s="231"/>
      <c r="G32" s="231"/>
      <c r="H32" s="230"/>
      <c r="I32" s="229" t="s">
        <v>25</v>
      </c>
      <c r="J32" s="230"/>
      <c r="K32" s="229" t="s">
        <v>26</v>
      </c>
      <c r="L32" s="231"/>
      <c r="M32" s="231"/>
      <c r="N32" s="231"/>
      <c r="O32" s="227"/>
      <c r="P32" s="228"/>
      <c r="Q32" s="246"/>
      <c r="S32" s="211"/>
    </row>
    <row r="33" spans="1:19" ht="33.75" x14ac:dyDescent="0.2">
      <c r="A33" s="243"/>
      <c r="B33" s="221"/>
      <c r="C33" s="10" t="s">
        <v>27</v>
      </c>
      <c r="D33" s="11" t="s">
        <v>28</v>
      </c>
      <c r="E33" s="10" t="s">
        <v>27</v>
      </c>
      <c r="F33" s="12" t="s">
        <v>29</v>
      </c>
      <c r="G33" s="13" t="s">
        <v>30</v>
      </c>
      <c r="H33" s="14" t="s">
        <v>40</v>
      </c>
      <c r="I33" s="10" t="s">
        <v>27</v>
      </c>
      <c r="J33" s="11" t="s">
        <v>28</v>
      </c>
      <c r="K33" s="10" t="s">
        <v>27</v>
      </c>
      <c r="L33" s="12" t="s">
        <v>29</v>
      </c>
      <c r="M33" s="15" t="s">
        <v>31</v>
      </c>
      <c r="N33" s="14" t="s">
        <v>41</v>
      </c>
      <c r="O33" s="16" t="s">
        <v>32</v>
      </c>
      <c r="P33" s="212" t="s">
        <v>33</v>
      </c>
      <c r="Q33" s="37" t="s">
        <v>42</v>
      </c>
      <c r="S33" s="211"/>
    </row>
    <row r="34" spans="1:19" s="25" customFormat="1" x14ac:dyDescent="0.2">
      <c r="A34" s="243"/>
      <c r="B34" s="78" t="s">
        <v>34</v>
      </c>
      <c r="C34" s="38">
        <f>COUNTIFS(WapelloNDD!C:C,"PHOSPHORUS, TOTAL (AS P)",WapelloNDD!G:G,"MG/L",WapelloNDD!H:H,"RAW WASTE")</f>
        <v>34</v>
      </c>
      <c r="D34" s="39">
        <f>AVERAGEIFS(WapelloNDD!F:F,(WapelloNDD!C:C),("PHOSPHORUS, TOTAL (AS P)"),(WapelloNDD!H:H),("RAW WASTE"),(WapelloNDD!G:G),("MG/L"))</f>
        <v>5.3526470588235311</v>
      </c>
      <c r="E34" s="40">
        <f>COUNTIFS(WapelloNDD!C:C,"PHOSPHORUS, TOTAL (AS P)",WapelloNDD!G:G,"LBS/DAY",WapelloNDD!H:H,"RAW WASTE")</f>
        <v>34</v>
      </c>
      <c r="F34" s="41">
        <f>AVERAGEIFS(WapelloNDD!F:F,(WapelloNDD!C:C),("PHOSPHORUS, TOTAL (AS P)"),(WapelloNDD!H:H),("RAW WASTE"),(WapelloNDD!G:G),("LBS/DAY"))</f>
        <v>6.7157310352941177</v>
      </c>
      <c r="G34" s="42">
        <f>(SUMIFS(WapelloNDD!F:F,(WapelloNDD!C:C),("PHOSPHORUS, TOTAL (AS P)"),(WapelloNDD!H:H),("RAW WASTE"),(WapelloNDD!G:G),("LBS/DAY")))</f>
        <v>228.33485519999999</v>
      </c>
      <c r="H34" s="43">
        <f>F34*365</f>
        <v>2451.2418278823529</v>
      </c>
      <c r="I34" s="40">
        <f>COUNTIFS(WapelloNDD!C:C,"PHOSPHORUS, TOTAL (AS P)",WapelloNDD!G:G,"MG/L",WapelloNDD!H:H,"FINAL EFFLUENT")</f>
        <v>34</v>
      </c>
      <c r="J34" s="39">
        <f>(AVERAGEIFS(WapelloNDD!F:F,(WapelloNDD!C:C),("PHOSPHORUS, TOTAL (AS P)"),(WapelloNDD!H:H),("FINAL EFFLUENT"),(WapelloNDD!G:G),("MG/L")))</f>
        <v>2.7548235294117651</v>
      </c>
      <c r="K34" s="40">
        <f>COUNTIFS(WapelloNDD!C:C,"PHOSPHORUS, TOTAL (AS P)",WapelloNDD!G:G,"LBS/DAY",WapelloNDD!H:H,"FINAL EFFLUENT")</f>
        <v>34</v>
      </c>
      <c r="L34" s="41">
        <f>AVERAGEIFS(WapelloNDD!F:F,(WapelloNDD!C:C),("PHOSPHORUS, TOTAL (AS P)"),(WapelloNDD!H:H),("FINAL EFFLUENT"),(WapelloNDD!G:G),("LBS/DAY"))</f>
        <v>3.488405644117647</v>
      </c>
      <c r="M34" s="42">
        <f>SUMIFS(WapelloNDD!F:F,(WapelloNDD!C:C),("PHOSPHORUS, TOTAL (AS P)"),(WapelloNDD!H:H),("FINAL EFFLUENT"),(WapelloNDD!G:G),("LBS/DAY"))</f>
        <v>118.6057919</v>
      </c>
      <c r="N34" s="43">
        <f>L34*365</f>
        <v>1273.268060102941</v>
      </c>
      <c r="O34" s="44">
        <f>((D34-J34))/D34</f>
        <v>0.48533435903071603</v>
      </c>
      <c r="P34" s="45">
        <f>((F34-L34))/F34</f>
        <v>0.48056203773132927</v>
      </c>
      <c r="Q34" s="46">
        <f>(F34-L34)*365</f>
        <v>1177.9737677794119</v>
      </c>
    </row>
    <row r="35" spans="1:19" s="25" customFormat="1" ht="5.25" customHeight="1" x14ac:dyDescent="0.2">
      <c r="A35" s="243"/>
      <c r="B35" s="78"/>
      <c r="C35" s="17"/>
      <c r="D35" s="18"/>
      <c r="E35" s="19"/>
      <c r="F35" s="20"/>
      <c r="G35" s="21"/>
      <c r="H35" s="22"/>
      <c r="I35" s="19"/>
      <c r="J35" s="18"/>
      <c r="K35" s="19"/>
      <c r="L35" s="20"/>
      <c r="M35" s="21"/>
      <c r="N35" s="22"/>
      <c r="O35" s="23"/>
      <c r="P35" s="24"/>
      <c r="Q35" s="47"/>
    </row>
    <row r="36" spans="1:19" s="48" customFormat="1" x14ac:dyDescent="0.2">
      <c r="A36" s="243"/>
      <c r="B36" s="79" t="s">
        <v>46</v>
      </c>
      <c r="C36" s="80">
        <f>COUNTIFS(WapelloNDD!$E:$E,"&gt;=5/1/2014",WapelloNDD!$E:$E,"&lt;=4/30/2015",WapelloNDD!$C:$C,"PHOSPHORUS, TOTAL (AS P)",WapelloNDD!$G:$G,"MG/L",WapelloNDD!$H:$H,"RAW WASTE")</f>
        <v>0</v>
      </c>
      <c r="D36" s="81" t="e">
        <f>AVERAGEIFS(WapelloNDD!$F:$F,WapelloNDD!$E:$E,"&gt;=5/1/2014",WapelloNDD!$E:$E,"&lt;=4/30/2015",(WapelloNDD!$C:$C),("PHOSPHORUS, TOTAL (AS P)"),(WapelloNDD!$H:$H),("RAW WASTE"),(WapelloNDD!$G:$G),("MG/L"))</f>
        <v>#DIV/0!</v>
      </c>
      <c r="E36" s="82">
        <f>COUNTIFS(WapelloNDD!$E:$E,"&gt;=5/1/2014",WapelloNDD!$E:$E,"&lt;=4/30/2015",WapelloNDD!$C:$C,"PHOSPHORUS, TOTAL (AS P)",WapelloNDD!$G:$G,"LBS/DAY",WapelloNDD!$H:$H,"RAW WASTE")</f>
        <v>0</v>
      </c>
      <c r="F36" s="83" t="e">
        <f>AVERAGEIFS(WapelloNDD!$F:$F,WapelloNDD!$E:$E,"&gt;=5/1/2014",WapelloNDD!$E:$E,"&lt;=4/30/2015",(WapelloNDD!$C:$C),("PHOSPHORUS, TOTAL (AS P)"),(WapelloNDD!$H:$H),("RAW WASTE"),(WapelloNDD!$G:$G),("LBS/DAY"))</f>
        <v>#DIV/0!</v>
      </c>
      <c r="G36" s="84">
        <f>SUMIFS(WapelloNDD!$F:$F,WapelloNDD!$E:$E,"&gt;=5/1/2014",WapelloNDD!$E:$E,"&lt;=4/30/2015",(WapelloNDD!$C:$C),("PHOSPHORUS, TOTAL (AS P)"),(WapelloNDD!$H:$H),("RAW WASTE"),(WapelloNDD!$G:$G),("LBS/DAY"))</f>
        <v>0</v>
      </c>
      <c r="H36" s="85" t="e">
        <f>F36*365</f>
        <v>#DIV/0!</v>
      </c>
      <c r="I36" s="82">
        <f>COUNTIFS(WapelloNDD!$E:$E,"&gt;=5/1/2014",WapelloNDD!$E:$E,"&lt;=4/30/2015",WapelloNDD!$C:$C,"PHOSPHORUS, TOTAL (AS P)",WapelloNDD!$G:$G,"MG/L",WapelloNDD!$H:$H,"FINAL EFFLUENT")</f>
        <v>0</v>
      </c>
      <c r="J36" s="81" t="e">
        <f>AVERAGEIFS(WapelloNDD!$F:$F,WapelloNDD!$E:$E,"&gt;=5/1/2014",WapelloNDD!$E:$E,"&lt;=4/30/2015",(WapelloNDD!$C:$C),("PHOSPHORUS, TOTAL (AS P)"),(WapelloNDD!$H:$H),("FINAL EFFLUENT"),(WapelloNDD!$G:$G),("MG/L"))</f>
        <v>#DIV/0!</v>
      </c>
      <c r="K36" s="82">
        <f>COUNTIFS(WapelloNDD!$E:$E,"&gt;=5/1/2014",WapelloNDD!$E:$E,"&lt;=4/30/2015",WapelloNDD!$C:$C,"PHOSPHORUS, TOTAL (AS P)",WapelloNDD!$G:$G,"LBS/DAY",WapelloNDD!$H:$H,"FINAL EFFLUENT")</f>
        <v>0</v>
      </c>
      <c r="L36" s="83" t="e">
        <f>AVERAGEIFS((WapelloNDD!$F:$F),WapelloNDD!$E:$E,"&gt;=5/1/2014",WapelloNDD!$E:$E,"&lt;=4/30/2015",(WapelloNDD!$C:$C),("PHOSPHORUS, TOTAL (AS P)"),(WapelloNDD!$H:$H),("FINAL EFFLUENT"),(WapelloNDD!$G:$G),("LBS/DAY"))</f>
        <v>#DIV/0!</v>
      </c>
      <c r="M36" s="84">
        <f>SUMIFS(WapelloNDD!$F:$F,WapelloNDD!$E:$E,"&gt;=5/1/2014",WapelloNDD!$E:$E,"&lt;=4/30/2015",(WapelloNDD!$C:$C),("PHOSPHORUS, TOTAL (AS P)"),(WapelloNDD!$H:$H),("FINAL EFFLUENT"),(WapelloNDD!$G:$G),("LBS/DAY"))</f>
        <v>0</v>
      </c>
      <c r="N36" s="85" t="e">
        <f>L36*365</f>
        <v>#DIV/0!</v>
      </c>
      <c r="O36" s="86" t="e">
        <f>((D36-J36))/D36</f>
        <v>#DIV/0!</v>
      </c>
      <c r="P36" s="87" t="e">
        <f>((F36-L36))/F36</f>
        <v>#DIV/0!</v>
      </c>
      <c r="Q36" s="88" t="s">
        <v>118</v>
      </c>
    </row>
    <row r="37" spans="1:19" s="25" customFormat="1" ht="5.25" customHeight="1" x14ac:dyDescent="0.2">
      <c r="A37" s="243"/>
      <c r="B37" s="78"/>
      <c r="C37" s="17"/>
      <c r="D37" s="18"/>
      <c r="E37" s="19"/>
      <c r="F37" s="20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</row>
    <row r="38" spans="1:19" s="58" customFormat="1" x14ac:dyDescent="0.2">
      <c r="A38" s="243"/>
      <c r="B38" s="89" t="s">
        <v>43</v>
      </c>
      <c r="C38" s="49">
        <f>COUNTIFS(WapelloNDD!$E:$E,"&gt;=1/1/2015",WapelloNDD!$E:$E,"&lt;=12/31/2015",WapelloNDD!$C:$C,"PHOSPHORUS, TOTAL (AS P)",WapelloNDD!$G:$G,"MG/L",WapelloNDD!$H:$H,"RAW WASTE")</f>
        <v>0</v>
      </c>
      <c r="D38" s="50" t="e">
        <f>AVERAGEIFS(WapelloNDD!$F:$F,WapelloNDD!$E:$E,"&gt;=1/1/2015",WapelloNDD!$E:$E,"&lt;=12/31/2015",(WapelloNDD!$C:$C),("PHOSPHORUS, TOTAL (AS P)"),(WapelloNDD!$H:$H),("RAW WASTE"),(WapelloNDD!$G:$G),("MG/L"))</f>
        <v>#DIV/0!</v>
      </c>
      <c r="E38" s="49">
        <f>COUNTIFS(WapelloNDD!$E:$E,"&gt;=1/1/2015",WapelloNDD!$E:$E,"&lt;=12/31/2015",WapelloNDD!$C:$C,"PHOSPHORUS, TOTAL (AS P)",WapelloNDD!$G:$G,"LBS/DAY",WapelloNDD!$H:$H,"RAW WASTE")</f>
        <v>0</v>
      </c>
      <c r="F38" s="90" t="e">
        <f>AVERAGEIFS(WapelloNDD!$F:$F,WapelloNDD!$E:$E,"&gt;=1/1/2015",WapelloNDD!$E:$E,"&lt;=12/31/2015",(WapelloNDD!$C:$C),("PHOSPHORUS, TOTAL (AS P)"),(WapelloNDD!$H:$H),("RAW WASTE"),(WapelloNDD!$G:$G),("LBS/DAY"))</f>
        <v>#DIV/0!</v>
      </c>
      <c r="G38" s="51">
        <f>SUMIFS(WapelloNDD!$F:$F,WapelloNDD!$E:$E,"&gt;=1/1/2015",WapelloNDD!$E:$E,"&lt;=12/31/2015",(WapelloNDD!$C:$C),("PHOSPHORUS, TOTAL (AS P)"),(WapelloNDD!$H:$H),("RAW WASTE"),(WapelloNDD!$G:$G),("LBS/DAY"))</f>
        <v>0</v>
      </c>
      <c r="H38" s="52" t="e">
        <f>F38*365</f>
        <v>#DIV/0!</v>
      </c>
      <c r="I38" s="49">
        <f>COUNTIFS(WapelloNDD!$E:$E,"&gt;=1/1/2015",WapelloNDD!$E:$E,"&lt;=12/31/2015",WapelloNDD!$C:$C,"PHOSPHORUS, TOTAL (AS P)",WapelloNDD!$G:$G,"MG/L",WapelloNDD!$H:$H,"FINAL EFFLUENT")</f>
        <v>0</v>
      </c>
      <c r="J38" s="53" t="e">
        <f>AVERAGEIFS(WapelloNDD!$F:$F,WapelloNDD!$E:$E,"&gt;=1/1/2015",WapelloNDD!$E:$E,"&lt;=12/31/2015",(WapelloNDD!$C:$C),("PHOSPHORUS, TOTAL (AS P)"),(WapelloNDD!$H:$H),("FINAL EFFLUENT"),(WapelloNDD!$G:$G),("MG/L"))</f>
        <v>#DIV/0!</v>
      </c>
      <c r="K38" s="49">
        <f>COUNTIFS(WapelloNDD!$E:$E,"&gt;=1/1/2015",WapelloNDD!$E:$E,"&lt;=12/31/2015",WapelloNDD!$C:$C,"PHOSPHORUS, TOTAL (AS P)",WapelloNDD!$G:$G,"LBS/DAY",WapelloNDD!$H:$H,"FINAL EFFLUENT")</f>
        <v>0</v>
      </c>
      <c r="L38" s="91" t="e">
        <f>AVERAGEIFS((WapelloNDD!$F:$F),WapelloNDD!$E:$E,"&gt;=1/1/2015",WapelloNDD!$E:$E,"&lt;=12/31/2015",(WapelloNDD!$C:$C),("PHOSPHORUS, TOTAL (AS P)"),(WapelloNDD!$H:$H),("FINAL EFFLUENT"),(WapelloNDD!$G:$G),("LBS/DAY"))</f>
        <v>#DIV/0!</v>
      </c>
      <c r="M38" s="51">
        <f>SUMIFS(WapelloNDD!$F:$F,WapelloNDD!$E:$E,"&gt;=1/1/2015",WapelloNDD!$E:$E,"&lt;=12/31/2015",(WapelloNDD!$C:$C),("PHOSPHORUS, TOTAL (AS P)"),(WapelloNDD!$H:$H),("FINAL EFFLUENT"),(WapelloNDD!$G:$G),("LBS/DAY"))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s">
        <v>118</v>
      </c>
    </row>
    <row r="39" spans="1:19" s="48" customFormat="1" x14ac:dyDescent="0.2">
      <c r="A39" s="243"/>
      <c r="B39" s="92" t="s">
        <v>47</v>
      </c>
      <c r="C39" s="59">
        <f>COUNTIFS(WapelloNDD!$E:$E,"&gt;=5/1/2015",WapelloNDD!$E:$E,"&lt;=4/30/2016",WapelloNDD!$C:$C,"PHOSPHORUS, TOTAL (AS P)",WapelloNDD!$G:$G,"MG/L",WapelloNDD!$H:$H,"RAW WASTE")</f>
        <v>0</v>
      </c>
      <c r="D39" s="60" t="e">
        <f>AVERAGEIFS(WapelloNDD!$F:$F,WapelloNDD!$E:$E,"&gt;=5/1/2015",WapelloNDD!$E:$E,"&lt;=4/30/2016",(WapelloNDD!$C:$C),("PHOSPHORUS, TOTAL (AS P)"),(WapelloNDD!$H:$H),("RAW WASTE"),(WapelloNDD!$G:$G),("MG/L"))</f>
        <v>#DIV/0!</v>
      </c>
      <c r="E39" s="59">
        <f>COUNTIFS(WapelloNDD!$E:$E,"&gt;=5/1/2015",WapelloNDD!$E:$E,"&lt;=4/30/2016",WapelloNDD!$C:$C,"PHOSPHORUS, TOTAL (AS P)",WapelloNDD!$G:$G,"LBS/DAY",WapelloNDD!$H:$H,"RAW WASTE")</f>
        <v>0</v>
      </c>
      <c r="F39" s="93" t="e">
        <f>AVERAGEIFS(WapelloNDD!$F:$F,WapelloNDD!$E:$E,"&gt;=5/1/2015",WapelloNDD!$E:$E,"&lt;=4/30/2016",(WapelloNDD!$C:$C),("PHOSPHORUS, TOTAL (AS P)"),(WapelloNDD!$H:$H),("RAW WASTE"),(WapelloNDD!$G:$G),("LBS/DAY"))</f>
        <v>#DIV/0!</v>
      </c>
      <c r="G39" s="61">
        <f>SUMIFS(WapelloNDD!$F:$F,WapelloNDD!$E:$E,"&gt;=5/1/2015",WapelloNDD!$E:$E,"&lt;=4/30/2016",(WapelloNDD!$C:$C),("PHOSPHORUS, TOTAL (AS P)"),(WapelloNDD!$H:$H),("RAW WASTE"),(WapelloNDD!$G:$G),("LBS/DAY"))</f>
        <v>0</v>
      </c>
      <c r="H39" s="62" t="e">
        <f>F39*365</f>
        <v>#DIV/0!</v>
      </c>
      <c r="I39" s="59">
        <f>COUNTIFS(WapelloNDD!$E:$E,"&gt;=5/1/2015",WapelloNDD!$E:$E,"&lt;=4/30/2016",WapelloNDD!$C:$C,"PHOSPHORUS, TOTAL (AS P)",WapelloNDD!$G:$G,"MG/L",WapelloNDD!$H:$H,"FINAL EFFLUENT")</f>
        <v>0</v>
      </c>
      <c r="J39" s="60" t="e">
        <f>AVERAGEIFS(WapelloNDD!$F:$F,WapelloNDD!$E:$E,"&gt;=5/1/2015",WapelloNDD!$E:$E,"&lt;=4/30/2016",(WapelloNDD!$C:$C),("PHOSPHORUS, TOTAL (AS P)"),(WapelloNDD!$H:$H),("FINAL EFFLUENT"),(WapelloNDD!$G:$G),("MG/L"))</f>
        <v>#DIV/0!</v>
      </c>
      <c r="K39" s="59">
        <f>COUNTIFS(WapelloNDD!$E:$E,"&gt;=5/1/2015",WapelloNDD!$E:$E,"&lt;=4/30/2016",WapelloNDD!$C:$C,"PHOSPHORUS, TOTAL (AS P)",WapelloNDD!$G:$G,"LBS/DAY",WapelloNDD!$H:$H,"FINAL EFFLUENT")</f>
        <v>0</v>
      </c>
      <c r="L39" s="93" t="e">
        <f>AVERAGEIFS((WapelloNDD!$F:$F),WapelloNDD!$E:$E,"&gt;=5/1/2015",WapelloNDD!$E:$E,"&lt;=4/30/2016",(WapelloNDD!$C:$C),("PHOSPHORUS, TOTAL (AS P)"),(WapelloNDD!$H:$H),("FINAL EFFLUENT"),(WapelloNDD!$G:$G),("LBS/DAY"))</f>
        <v>#DIV/0!</v>
      </c>
      <c r="M39" s="61">
        <f>SUMIFS(WapelloNDD!$F:$F,WapelloNDD!$E:$E,"&gt;=5/1/2015",WapelloNDD!$E:$E,"&lt;=4/30/2016",(WapelloNDD!$C:$C),("PHOSPHORUS, TOTAL (AS P)"),(WapelloNDD!$H:$H),("FINAL EFFLUENT"),(WapelloNDD!$G:$G),("LBS/DAY"))</f>
        <v>0</v>
      </c>
      <c r="N39" s="62" t="e">
        <f>L39*365</f>
        <v>#DIV/0!</v>
      </c>
      <c r="O39" s="63" t="e">
        <f>((D39-J39))/D39</f>
        <v>#DIV/0!</v>
      </c>
      <c r="P39" s="64" t="e">
        <f>((F39-L39))/F39</f>
        <v>#DIV/0!</v>
      </c>
      <c r="Q39" s="65" t="s">
        <v>118</v>
      </c>
    </row>
    <row r="40" spans="1:19" s="75" customFormat="1" ht="5.25" customHeight="1" x14ac:dyDescent="0.2">
      <c r="A40" s="243"/>
      <c r="B40" s="94"/>
      <c r="C40" s="66"/>
      <c r="D40" s="67"/>
      <c r="E40" s="66"/>
      <c r="F40" s="95"/>
      <c r="G40" s="68"/>
      <c r="H40" s="69"/>
      <c r="I40" s="66"/>
      <c r="J40" s="70"/>
      <c r="K40" s="66"/>
      <c r="L40" s="96"/>
      <c r="M40" s="68"/>
      <c r="N40" s="71"/>
      <c r="O40" s="72"/>
      <c r="P40" s="73"/>
      <c r="Q40" s="74"/>
    </row>
    <row r="41" spans="1:19" s="75" customFormat="1" x14ac:dyDescent="0.2">
      <c r="A41" s="243"/>
      <c r="B41" s="97" t="s">
        <v>44</v>
      </c>
      <c r="C41" s="26">
        <f>COUNTIFS(WapelloNDD!$E:$E,"&gt;=1/1/2016",WapelloNDD!$E:$E,"&lt;=12/31/2016",WapelloNDD!$C:$C,"PHOSPHORUS, TOTAL (AS P)",WapelloNDD!$G:$G,"MG/L",WapelloNDD!$H:$H,"RAW WASTE")</f>
        <v>0</v>
      </c>
      <c r="D41" s="27" t="e">
        <f>AVERAGEIFS(WapelloNDD!$F:$F,WapelloNDD!$E:$E,"&gt;=1/1/2016",WapelloNDD!$E:$E,"&lt;=12/31/2016",(WapelloNDD!$C:$C),("PHOSPHORUS, TOTAL (AS P)"),(WapelloNDD!$H:$H),("RAW WASTE"),(WapelloNDD!$G:$G),("MG/L"))</f>
        <v>#DIV/0!</v>
      </c>
      <c r="E41" s="26">
        <f>COUNTIFS(WapelloNDD!$E:$E,"&gt;=1/1/2016",WapelloNDD!$E:$E,"&lt;=12/31/2016",WapelloNDD!$C:$C,"PHOSPHORUS, TOTAL (AS P)",WapelloNDD!$G:$G,"LBS/DAY",WapelloNDD!$H:$H,"RAW WASTE")</f>
        <v>0</v>
      </c>
      <c r="F41" s="98" t="e">
        <f>AVERAGEIFS(WapelloNDD!$F:$F,WapelloNDD!$E:$E,"&gt;=1/1/2016",WapelloNDD!$E:$E,"&lt;=12/31/2016",(WapelloNDD!$C:$C),("PHOSPHORUS, TOTAL (AS P)"),(WapelloNDD!$H:$H),("RAW WASTE"),(WapelloNDD!$G:$G),("LBS/DAY"))</f>
        <v>#DIV/0!</v>
      </c>
      <c r="G41" s="28">
        <f>SUMIFS(WapelloNDD!$F:$F,WapelloNDD!$E:$E,"&gt;=1/1/2016",WapelloNDD!$E:$E,"&lt;=12/31/2016",(WapelloNDD!$C:$C),("PHOSPHORUS, TOTAL (AS P)"),(WapelloNDD!$H:$H),("RAW WASTE"),(WapelloNDD!$G:$G),("LBS/DAY"))</f>
        <v>0</v>
      </c>
      <c r="H41" s="29" t="e">
        <f>F41*365</f>
        <v>#DIV/0!</v>
      </c>
      <c r="I41" s="26">
        <f>COUNTIFS(WapelloNDD!$E:$E,"&gt;=1/1/2016",WapelloNDD!$E:$E,"&lt;=12/31/2016",WapelloNDD!$C:$C,"PHOSPHORUS, TOTAL (AS P)",WapelloNDD!$G:$G,"MG/L",WapelloNDD!$H:$H,"FINAL EFFLUENT")</f>
        <v>0</v>
      </c>
      <c r="J41" s="30" t="e">
        <f>AVERAGEIFS(WapelloNDD!$F:$F,WapelloNDD!$E:$E,"&gt;=1/1/2016",WapelloNDD!$E:$E,"&lt;=12/31/2016",(WapelloNDD!$C:$C),("PHOSPHORUS, TOTAL (AS P)"),(WapelloNDD!$H:$H),("FINAL EFFLUENT"),(WapelloNDD!$G:$G),("MG/L"))</f>
        <v>#DIV/0!</v>
      </c>
      <c r="K41" s="26">
        <f>COUNTIFS(WapelloNDD!$E:$E,"&gt;=1/1/2016",WapelloNDD!$E:$E,"&lt;=12/31/2016",WapelloNDD!$C:$C,"PHOSPHORUS, TOTAL (AS P)",WapelloNDD!$G:$G,"LBS/DAY",WapelloNDD!$H:$H,"FINAL EFFLUENT")</f>
        <v>0</v>
      </c>
      <c r="L41" s="99" t="e">
        <f>AVERAGEIFS((WapelloNDD!$F:$F),WapelloNDD!$E:$E,"&gt;=1/1/2016",WapelloNDD!$E:$E,"&lt;=12/31/2016",(WapelloNDD!$C:$C),("PHOSPHORUS, TOTAL (AS P)"),(WapelloNDD!$H:$H),("FINAL EFFLUENT"),(WapelloNDD!$G:$G),("LBS/DAY"))</f>
        <v>#DIV/0!</v>
      </c>
      <c r="M41" s="28">
        <f>SUMIFS(WapelloNDD!$F:$F,WapelloNDD!$E:$E,"&gt;=1/1/2016",WapelloNDD!$E:$E,"&lt;=12/31/2016",(WapelloNDD!$C:$C),("PHOSPHORUS, TOTAL (AS P)"),(WapelloNDD!$H:$H),("FINAL EFFLUENT"),(WapelloNDD!$G:$G),("LBS/DAY"))</f>
        <v>0</v>
      </c>
      <c r="N41" s="31" t="e">
        <f>L41*365</f>
        <v>#DIV/0!</v>
      </c>
      <c r="O41" s="32" t="e">
        <f>((D41-J41))/D41</f>
        <v>#DIV/0!</v>
      </c>
      <c r="P41" s="33" t="e">
        <f>((F41-L41))/F41</f>
        <v>#DIV/0!</v>
      </c>
      <c r="Q41" s="76" t="s">
        <v>118</v>
      </c>
    </row>
    <row r="42" spans="1:19" s="48" customFormat="1" x14ac:dyDescent="0.2">
      <c r="A42" s="243"/>
      <c r="B42" s="100" t="s">
        <v>48</v>
      </c>
      <c r="C42" s="101">
        <f>COUNTIFS(WapelloNDD!$E:$E,"&gt;=5/1/2016",WapelloNDD!$E:$E,"&lt;=4/30/2017",WapelloNDD!$C:$C,"PHOSPHORUS, TOTAL (AS P)",WapelloNDD!$G:$G,"MG/L",WapelloNDD!$H:$H,"RAW WASTE")</f>
        <v>0</v>
      </c>
      <c r="D42" s="102" t="e">
        <f>AVERAGEIFS(WapelloNDD!$F:$F,WapelloNDD!$E:$E,"&gt;=5/1/2016",WapelloNDD!$E:$E,"&lt;=4/30/2017",(WapelloNDD!$C:$C),("PHOSPHORUS, TOTAL (AS P)"),(WapelloNDD!$H:$H),("RAW WASTE"),(WapelloNDD!$G:$G),("MG/L"))</f>
        <v>#DIV/0!</v>
      </c>
      <c r="E42" s="101">
        <f>COUNTIFS(WapelloNDD!$E:$E,"&gt;=5/1/2016",WapelloNDD!$E:$E,"&lt;=4/30/2017",WapelloNDD!$C:$C,"PHOSPHORUS, TOTAL (AS P)",WapelloNDD!$G:$G,"LBS/DAY",WapelloNDD!$H:$H,"RAW WASTE")</f>
        <v>0</v>
      </c>
      <c r="F42" s="103" t="e">
        <f>AVERAGEIFS(WapelloNDD!$F:$F,WapelloNDD!$E:$E,"&gt;=5/1/2016",WapelloNDD!$E:$E,"&lt;=4/30/2017",(WapelloNDD!$C:$C),("PHOSPHORUS, TOTAL (AS P)"),(WapelloNDD!$H:$H),("RAW WASTE"),(WapelloNDD!$G:$G),("LBS/DAY"))</f>
        <v>#DIV/0!</v>
      </c>
      <c r="G42" s="104">
        <f>SUMIFS(WapelloNDD!$F:$F,WapelloNDD!$E:$E,"&gt;=5/1/2016",WapelloNDD!$E:$E,"&lt;=4/30/2017",(WapelloNDD!$C:$C),("PHOSPHORUS, TOTAL (AS P)"),(WapelloNDD!$H:$H),("RAW WASTE"),(WapelloNDD!$G:$G),("LBS/DAY"))</f>
        <v>0</v>
      </c>
      <c r="H42" s="105" t="e">
        <f>F42*365</f>
        <v>#DIV/0!</v>
      </c>
      <c r="I42" s="101">
        <f>COUNTIFS(WapelloNDD!$E:$E,"&gt;=5/1/2016",WapelloNDD!$E:$E,"&lt;=4/30/2017",WapelloNDD!$C:$C,"PHOSPHORUS, TOTAL (AS P)",WapelloNDD!$G:$G,"MG/L",WapelloNDD!$H:$H,"FINAL EFFLUENT")</f>
        <v>0</v>
      </c>
      <c r="J42" s="102" t="e">
        <f>AVERAGEIFS(WapelloNDD!$F:$F,WapelloNDD!$E:$E,"&gt;=5/1/2016",WapelloNDD!$E:$E,"&lt;=4/30/2017",(WapelloNDD!$C:$C),("PHOSPHORUS, TOTAL (AS P)"),(WapelloNDD!$H:$H),("FINAL EFFLUENT"),(WapelloNDD!$G:$G),("MG/L"))</f>
        <v>#DIV/0!</v>
      </c>
      <c r="K42" s="101">
        <f>COUNTIFS(WapelloNDD!$E:$E,"&gt;=5/1/2016",WapelloNDD!$E:$E,"&lt;=4/30/2017",WapelloNDD!$C:$C,"PHOSPHORUS, TOTAL (AS P)",WapelloNDD!$G:$G,"LBS/DAY",WapelloNDD!$H:$H,"FINAL EFFLUENT")</f>
        <v>0</v>
      </c>
      <c r="L42" s="103" t="e">
        <f>AVERAGEIFS((WapelloNDD!$F:$F),WapelloNDD!$E:$E,"&gt;=5/1/2016",WapelloNDD!$E:$E,"&lt;=4/30/2017",(WapelloNDD!$C:$C),("PHOSPHORUS, TOTAL (AS P)"),(WapelloNDD!$H:$H),("FINAL EFFLUENT"),(WapelloNDD!$G:$G),("LBS/DAY"))</f>
        <v>#DIV/0!</v>
      </c>
      <c r="M42" s="104">
        <f>SUMIFS(WapelloNDD!$F:$F,WapelloNDD!$E:$E,"&gt;=5/1/2016",WapelloNDD!$E:$E,"&lt;=4/30/2017",(WapelloNDD!$C:$C),("PHOSPHORUS, TOTAL (AS P)"),(WapelloNDD!$H:$H),("FINAL EFFLUENT"),(WapelloNDD!$G:$G),("LBS/DAY"))</f>
        <v>0</v>
      </c>
      <c r="N42" s="105" t="e">
        <f>L42*365</f>
        <v>#DIV/0!</v>
      </c>
      <c r="O42" s="106" t="e">
        <f>((D42-J42))/D42</f>
        <v>#DIV/0!</v>
      </c>
      <c r="P42" s="107" t="e">
        <f>((F42-L42))/F42</f>
        <v>#DIV/0!</v>
      </c>
      <c r="Q42" s="108" t="s">
        <v>118</v>
      </c>
    </row>
    <row r="43" spans="1:19" ht="5.25" customHeight="1" x14ac:dyDescent="0.2">
      <c r="A43" s="243"/>
      <c r="F43" s="127"/>
      <c r="L43" s="127"/>
      <c r="Q43" s="128"/>
    </row>
    <row r="44" spans="1:19" s="126" customFormat="1" x14ac:dyDescent="0.2">
      <c r="A44" s="243"/>
      <c r="B44" s="115" t="s">
        <v>49</v>
      </c>
      <c r="C44" s="116">
        <f>COUNTIFS(WapelloNDD!$E:$E,"&gt;=1/1/2017",WapelloNDD!$E:$E,"&lt;=12/31/2017",WapelloNDD!$C:$C,"PHOSPHORUS, TOTAL (AS P)",WapelloNDD!$G:$G,"MG/L",WapelloNDD!$H:$H,"RAW WASTE")</f>
        <v>17</v>
      </c>
      <c r="D44" s="117">
        <f>AVERAGEIFS(WapelloNDD!$F:$F,WapelloNDD!$E:$E,"&gt;=1/1/2017",WapelloNDD!$E:$E,"&lt;=12/31/2017",(WapelloNDD!$C:$C),("PHOSPHORUS, TOTAL (AS P)"),(WapelloNDD!$H:$H),("RAW WASTE"),(WapelloNDD!$G:$G),("MG/L"))</f>
        <v>5.6505882352941175</v>
      </c>
      <c r="E44" s="116">
        <f>COUNTIFS(WapelloNDD!$E:$E,"&gt;=1/1/2017",WapelloNDD!$E:$E,"&lt;=12/31/2017",WapelloNDD!$C:$C,"PHOSPHORUS, TOTAL (AS P)",WapelloNDD!$G:$G,"LBS/DAY",WapelloNDD!$H:$H,"RAW WASTE")</f>
        <v>17</v>
      </c>
      <c r="F44" s="118">
        <f>AVERAGEIFS(WapelloNDD!$F:$F,WapelloNDD!$E:$E,"&gt;=1/1/2017",WapelloNDD!$E:$E,"&lt;=12/31/2017",(WapelloNDD!$C:$C),("PHOSPHORUS, TOTAL (AS P)"),(WapelloNDD!$H:$H),("RAW WASTE"),(WapelloNDD!$G:$G),("LBS/DAY"))</f>
        <v>6.799852200000001</v>
      </c>
      <c r="G44" s="119">
        <f>SUMIFS(WapelloNDD!$F:$F,WapelloNDD!$E:$E,"&gt;=1/1/2017",WapelloNDD!$E:$E,"&lt;=12/31/2017",(WapelloNDD!$C:$C),("PHOSPHORUS, TOTAL (AS P)"),(WapelloNDD!$H:$H),("RAW WASTE"),(WapelloNDD!$G:$G),("LBS/DAY"))</f>
        <v>115.59748740000002</v>
      </c>
      <c r="H44" s="120">
        <f>F44*365</f>
        <v>2481.9460530000006</v>
      </c>
      <c r="I44" s="116">
        <f>COUNTIFS(WapelloNDD!$E:$E,"&gt;=1/1/2017",WapelloNDD!$E:$E,"&lt;=12/31/2017",WapelloNDD!$C:$C,"PHOSPHORUS, TOTAL (AS P)",WapelloNDD!$G:$G,"MG/L",WapelloNDD!$H:$H,"FINAL EFFLUENT")</f>
        <v>17</v>
      </c>
      <c r="J44" s="121">
        <f>AVERAGEIFS(WapelloNDD!$F:$F,WapelloNDD!$E:$E,"&gt;=1/1/2017",WapelloNDD!$E:$E,"&lt;=12/31/2017",(WapelloNDD!$C:$C),("PHOSPHORUS, TOTAL (AS P)"),(WapelloNDD!$H:$H),("FINAL EFFLUENT"),(WapelloNDD!$G:$G),("MG/L"))</f>
        <v>1.9267058823529415</v>
      </c>
      <c r="K44" s="116">
        <f>COUNTIFS(WapelloNDD!$E:$E,"&gt;=1/1/2017",WapelloNDD!$E:$E,"&lt;=12/31/2017",WapelloNDD!$C:$C,"PHOSPHORUS, TOTAL (AS P)",WapelloNDD!$G:$G,"LBS/DAY",WapelloNDD!$H:$H,"FINAL EFFLUENT")</f>
        <v>17</v>
      </c>
      <c r="L44" s="122">
        <f>AVERAGEIFS((WapelloNDD!$F:$F),WapelloNDD!$E:$E,"&gt;=1/1/2017",WapelloNDD!$E:$E,"&lt;=12/31/2017",(WapelloNDD!$C:$C),("PHOSPHORUS, TOTAL (AS P)"),(WapelloNDD!$H:$H),("FINAL EFFLUENT"),(WapelloNDD!$G:$G),("LBS/DAY"))</f>
        <v>1.8760427588235296</v>
      </c>
      <c r="M44" s="119">
        <f>SUMIFS(WapelloNDD!$F:$F,WapelloNDD!$E:$E,"&gt;=1/1/2017",WapelloNDD!$E:$E,"&lt;=12/31/2017",(WapelloNDD!$C:$C),("PHOSPHORUS, TOTAL (AS P)"),(WapelloNDD!$H:$H),("FINAL EFFLUENT"),(WapelloNDD!$G:$G),("LBS/DAY"))</f>
        <v>31.892726900000003</v>
      </c>
      <c r="N44" s="213">
        <f>L44*365</f>
        <v>684.75560697058825</v>
      </c>
      <c r="O44" s="123">
        <f>((D44-J44))/D44</f>
        <v>0.65902560899437845</v>
      </c>
      <c r="P44" s="124">
        <f>((F44-L44))/F44</f>
        <v>0.72410536234544498</v>
      </c>
      <c r="Q44" s="125">
        <f>(F44-L45)*365</f>
        <v>1208.6779928970593</v>
      </c>
    </row>
    <row r="45" spans="1:19" s="48" customFormat="1" x14ac:dyDescent="0.2">
      <c r="A45" s="243"/>
      <c r="B45" s="173" t="s">
        <v>50</v>
      </c>
      <c r="C45" s="174">
        <f>COUNTIFS(WapelloNDD!$E:$E,"&gt;=5/1/2017",WapelloNDD!$E:$E,"&lt;=4/30/2018",WapelloNDD!$C:$C,"PHOSPHORUS, TOTAL (AS P)",WapelloNDD!$G:$G,"MG/L",WapelloNDD!$H:$H,"RAW WASTE")</f>
        <v>34</v>
      </c>
      <c r="D45" s="175">
        <f>AVERAGEIFS(WapelloNDD!$F:$F,WapelloNDD!$E:$E,"&gt;=5/1/2017",WapelloNDD!$E:$E,"&lt;=4/30/2018",(WapelloNDD!$C:$C),("PHOSPHORUS, TOTAL (AS P)"),(WapelloNDD!$H:$H),("RAW WASTE"),(WapelloNDD!$G:$G),("MG/L"))</f>
        <v>5.3526470588235311</v>
      </c>
      <c r="E45" s="174">
        <f>COUNTIFS(WapelloNDD!$E:$E,"&gt;=5/1/2017",WapelloNDD!$E:$E,"&lt;=4/30/2018",WapelloNDD!$C:$C,"PHOSPHORUS, TOTAL (AS P)",WapelloNDD!$G:$G,"LBS/DAY",WapelloNDD!$H:$H,"RAW WASTE")</f>
        <v>34</v>
      </c>
      <c r="F45" s="176">
        <f>AVERAGEIFS(WapelloNDD!$F:$F,WapelloNDD!$E:$E,"&gt;=5/1/2017",WapelloNDD!$E:$E,"&lt;=4/30/2018",(WapelloNDD!$C:$C),("PHOSPHORUS, TOTAL (AS P)"),(WapelloNDD!$H:$H),("RAW WASTE"),(WapelloNDD!$G:$G),("LBS/DAY"))</f>
        <v>6.7157310352941177</v>
      </c>
      <c r="G45" s="177">
        <f>SUMIFS(WapelloNDD!$F:$F,WapelloNDD!$E:$E,"&gt;=5/1/2017",WapelloNDD!$E:$E,"&lt;=4/30/2018",(WapelloNDD!$C:$C),("PHOSPHORUS, TOTAL (AS P)"),(WapelloNDD!$H:$H),("RAW WASTE"),(WapelloNDD!$G:$G),("LBS/DAY"))</f>
        <v>228.33485519999999</v>
      </c>
      <c r="H45" s="178">
        <f>F45*365</f>
        <v>2451.2418278823529</v>
      </c>
      <c r="I45" s="174">
        <f>COUNTIFS(WapelloNDD!$E:$E,"&gt;=5/1/2017",WapelloNDD!$E:$E,"&lt;=4/30/2018",WapelloNDD!$C:$C,"PHOSPHORUS, TOTAL (AS P)",WapelloNDD!$G:$G,"MG/L",WapelloNDD!$H:$H,"FINAL EFFLUENT")</f>
        <v>34</v>
      </c>
      <c r="J45" s="175">
        <f>AVERAGEIFS(WapelloNDD!$F:$F,WapelloNDD!$E:$E,"&gt;=5/1/2017",WapelloNDD!$E:$E,"&lt;=4/30/2018",(WapelloNDD!$C:$C),("PHOSPHORUS, TOTAL (AS P)"),(WapelloNDD!$H:$H),("FINAL EFFLUENT"),(WapelloNDD!$G:$G),("MG/L"))</f>
        <v>2.7548235294117651</v>
      </c>
      <c r="K45" s="174">
        <f>COUNTIFS(WapelloNDD!$E:$E,"&gt;=5/1/2017",WapelloNDD!$E:$E,"&lt;=4/30/2018",WapelloNDD!$C:$C,"PHOSPHORUS, TOTAL (AS P)",WapelloNDD!$G:$G,"LBS/DAY",WapelloNDD!$H:$H,"FINAL EFFLUENT")</f>
        <v>34</v>
      </c>
      <c r="L45" s="176">
        <f>AVERAGEIFS((WapelloNDD!$F:$F),WapelloNDD!$E:$E,"&gt;=5/1/2017",WapelloNDD!$E:$E,"&lt;=4/30/2018",(WapelloNDD!$C:$C),("PHOSPHORUS, TOTAL (AS P)"),(WapelloNDD!$H:$H),("FINAL EFFLUENT"),(WapelloNDD!$G:$G),("LBS/DAY"))</f>
        <v>3.488405644117647</v>
      </c>
      <c r="M45" s="177">
        <f>SUMIFS(WapelloNDD!$F:$F,WapelloNDD!$E:$E,"&gt;=5/1/2017",WapelloNDD!$E:$E,"&lt;=4/30/2018",(WapelloNDD!$C:$C),("PHOSPHORUS, TOTAL (AS P)"),(WapelloNDD!$H:$H),("FINAL EFFLUENT"),(WapelloNDD!$G:$G),("LBS/DAY"))</f>
        <v>118.6057919</v>
      </c>
      <c r="N45" s="178">
        <f>L45*365</f>
        <v>1273.268060102941</v>
      </c>
      <c r="O45" s="179">
        <f>((D45-J45))/D45</f>
        <v>0.48533435903071603</v>
      </c>
      <c r="P45" s="180">
        <f>((F45-L45))/F45</f>
        <v>0.48056203773132927</v>
      </c>
      <c r="Q45" s="181">
        <f>(F45-L45)*365</f>
        <v>1177.9737677794119</v>
      </c>
    </row>
    <row r="46" spans="1:19" s="48" customFormat="1" ht="5.25" customHeight="1" x14ac:dyDescent="0.2">
      <c r="A46" s="243"/>
      <c r="B46" s="109"/>
      <c r="C46" s="110"/>
      <c r="D46" s="111"/>
      <c r="E46" s="110"/>
      <c r="F46" s="111"/>
      <c r="G46" s="112"/>
      <c r="H46" s="112"/>
      <c r="I46" s="110"/>
      <c r="J46" s="111"/>
      <c r="K46" s="110"/>
      <c r="L46" s="111"/>
      <c r="M46" s="112"/>
      <c r="N46" s="112"/>
      <c r="O46" s="113"/>
      <c r="P46" s="113"/>
      <c r="Q46" s="114"/>
    </row>
    <row r="47" spans="1:19" s="159" customFormat="1" x14ac:dyDescent="0.2">
      <c r="A47" s="243"/>
      <c r="B47" s="149" t="s">
        <v>62</v>
      </c>
      <c r="C47" s="150">
        <f>COUNTIFS(WapelloNDD!$E:$E,"&gt;=1/1/2018",WapelloNDD!$E:$E,"&lt;=12/31/2018",WapelloNDD!$C:$C,"PHOSPHORUS, TOTAL (AS P)",WapelloNDD!$G:$G,"MG/L",WapelloNDD!$H:$H,"RAW WASTE")</f>
        <v>17</v>
      </c>
      <c r="D47" s="151">
        <f>AVERAGEIFS(WapelloNDD!$F:$F,WapelloNDD!$E:$E,"&gt;=1/1/2018",WapelloNDD!$E:$E,"&lt;=12/31/2018",(WapelloNDD!$C:$C),("PHOSPHORUS, TOTAL (AS P)"),(WapelloNDD!$H:$H),("RAW WASTE"),(WapelloNDD!$G:$G),("MG/L"))</f>
        <v>5.0547058823529412</v>
      </c>
      <c r="E47" s="150">
        <f>COUNTIFS(WapelloNDD!$E:$E,"&gt;=1/1/2018",WapelloNDD!$E:$E,"&lt;=12/31/2018",WapelloNDD!$C:$C,"PHOSPHORUS, TOTAL (AS P)",WapelloNDD!$G:$G,"LBS/DAY",WapelloNDD!$H:$H,"RAW WASTE")</f>
        <v>17</v>
      </c>
      <c r="F47" s="207">
        <f>AVERAGEIFS(WapelloNDD!$F:$F,WapelloNDD!$E:$E,"&gt;=1/1/2018",WapelloNDD!$E:$E,"&lt;=12/31/2018",(WapelloNDD!$C:$C),("PHOSPHORUS, TOTAL (AS P)"),(WapelloNDD!$H:$H),("RAW WASTE"),(WapelloNDD!$G:$G),("LBS/DAY"))</f>
        <v>6.6316098705882363</v>
      </c>
      <c r="G47" s="152">
        <f>SUMIFS(WapelloNDD!$F:$F,WapelloNDD!$E:$E,"&gt;=1/1/2018",WapelloNDD!$E:$E,"&lt;=12/31/2018",(WapelloNDD!$C:$C),("PHOSPHORUS, TOTAL (AS P)"),(WapelloNDD!$H:$H),("RAW WASTE"),(WapelloNDD!$G:$G),("LBS/DAY"))</f>
        <v>112.73736780000002</v>
      </c>
      <c r="H47" s="153">
        <f>F47*365</f>
        <v>2420.5376027647062</v>
      </c>
      <c r="I47" s="150">
        <f>COUNTIFS(WapelloNDD!$E:$E,"&gt;=1/1/2018",WapelloNDD!$E:$E,"&lt;=12/31/2018",WapelloNDD!$C:$C,"PHOSPHORUS, TOTAL (AS P)",WapelloNDD!$G:$G,"MG/L",WapelloNDD!$H:$H,"FINAL EFFLUENT")</f>
        <v>17</v>
      </c>
      <c r="J47" s="154">
        <f>AVERAGEIFS(WapelloNDD!$F:$F,WapelloNDD!$E:$E,"&gt;=1/1/2018",WapelloNDD!$E:$E,"&lt;=12/31/2018",(WapelloNDD!$C:$C),("PHOSPHORUS, TOTAL (AS P)"),(WapelloNDD!$H:$H),("FINAL EFFLUENT"),(WapelloNDD!$G:$G),("MG/L"))</f>
        <v>3.5829411764705883</v>
      </c>
      <c r="K47" s="150">
        <f>COUNTIFS(WapelloNDD!$E:$E,"&gt;=1/1/2018",WapelloNDD!$E:$E,"&lt;=12/31/2018",WapelloNDD!$C:$C,"PHOSPHORUS, TOTAL (AS P)",WapelloNDD!$G:$G,"LBS/DAY",WapelloNDD!$H:$H,"FINAL EFFLUENT")</f>
        <v>17</v>
      </c>
      <c r="L47" s="209">
        <f>AVERAGEIFS((WapelloNDD!$F:$F),WapelloNDD!$E:$E,"&gt;=1/1/2018",WapelloNDD!$E:$E,"&lt;=12/31/2018",(WapelloNDD!$C:$C),("PHOSPHORUS, TOTAL (AS P)"),(WapelloNDD!$H:$H),("FINAL EFFLUENT"),(WapelloNDD!$G:$G),("LBS/DAY"))</f>
        <v>5.1007685294117646</v>
      </c>
      <c r="M47" s="152">
        <f>SUMIFS(WapelloNDD!$F:$F,WapelloNDD!$E:$E,"&gt;=1/1/2018",WapelloNDD!$E:$E,"&lt;=12/31/2018",(WapelloNDD!$C:$C),("PHOSPHORUS, TOTAL (AS P)"),(WapelloNDD!$H:$H),("FINAL EFFLUENT"),(WapelloNDD!$G:$G),("LBS/DAY"))</f>
        <v>86.713065</v>
      </c>
      <c r="N47" s="155">
        <f>L47*365</f>
        <v>1861.7805132352942</v>
      </c>
      <c r="O47" s="156">
        <f>((D47-J47))/D47</f>
        <v>0.29116722913999765</v>
      </c>
      <c r="P47" s="157">
        <f>((F47-L47))/F47</f>
        <v>0.23084007820874469</v>
      </c>
      <c r="Q47" s="158">
        <f>(F47-L47)*365</f>
        <v>558.75708952941216</v>
      </c>
    </row>
    <row r="48" spans="1:19" s="48" customFormat="1" ht="12" thickBot="1" x14ac:dyDescent="0.25">
      <c r="A48" s="244"/>
      <c r="B48" s="160" t="s">
        <v>63</v>
      </c>
      <c r="C48" s="161">
        <f>COUNTIFS(WapelloNDD!$E:$E,"&gt;=5/1/2018",WapelloNDD!$E:$E,"&lt;=4/30/2019",WapelloNDD!$C:$C,"PHOSPHORUS, TOTAL (AS P)",WapelloNDD!$G:$G,"MG/L",WapelloNDD!$H:$H,"RAW WASTE")</f>
        <v>0</v>
      </c>
      <c r="D48" s="162" t="e">
        <f>AVERAGEIFS(WapelloNDD!$F:$F,WapelloNDD!$E:$E,"&gt;=5/1/2018",WapelloNDD!$E:$E,"&lt;=4/30/2019",(WapelloNDD!$C:$C),("PHOSPHORUS, TOTAL (AS P)"),(WapelloNDD!$H:$H),("RAW WASTE"),(WapelloNDD!$G:$G),("MG/L"))</f>
        <v>#DIV/0!</v>
      </c>
      <c r="E48" s="161">
        <f>COUNTIFS(WapelloNDD!$E:$E,"&gt;=5/1/2018",WapelloNDD!$E:$E,"&lt;=4/30/2019",WapelloNDD!$C:$C,"PHOSPHORUS, TOTAL (AS P)",WapelloNDD!$G:$G,"LBS/DAY",WapelloNDD!$H:$H,"RAW WASTE")</f>
        <v>0</v>
      </c>
      <c r="F48" s="208" t="e">
        <f>AVERAGEIFS(WapelloNDD!$F:$F,WapelloNDD!$E:$E,"&gt;=5/1/2018",WapelloNDD!$E:$E,"&lt;=4/30/2019",(WapelloNDD!$C:$C),("PHOSPHORUS, TOTAL (AS P)"),(WapelloNDD!$H:$H),("RAW WASTE"),(WapelloNDD!$G:$G),("LBS/DAY"))</f>
        <v>#DIV/0!</v>
      </c>
      <c r="G48" s="163">
        <f>SUMIFS(WapelloNDD!$F:$F,WapelloNDD!$E:$E,"&gt;=5/1/2018",WapelloNDD!$E:$E,"&lt;=4/30/2019",(WapelloNDD!$C:$C),("PHOSPHORUS, TOTAL (AS P)"),(WapelloNDD!$H:$H),("RAW WASTE"),(WapelloNDD!$G:$G),("LBS/DAY"))</f>
        <v>0</v>
      </c>
      <c r="H48" s="164" t="e">
        <f>F48*365</f>
        <v>#DIV/0!</v>
      </c>
      <c r="I48" s="161">
        <f>COUNTIFS(WapelloNDD!$E:$E,"&gt;=5/1/2018",WapelloNDD!$E:$E,"&lt;=4/30/2019",WapelloNDD!$C:$C,"PHOSPHORUS, TOTAL (AS P)",WapelloNDD!$G:$G,"MG/L",WapelloNDD!$H:$H,"FINAL EFFLUENT")</f>
        <v>0</v>
      </c>
      <c r="J48" s="162" t="e">
        <f>AVERAGEIFS(WapelloNDD!$F:$F,WapelloNDD!$E:$E,"&gt;=5/1/2018",WapelloNDD!$E:$E,"&lt;=4/30/2019",(WapelloNDD!$C:$C),("PHOSPHORUS, TOTAL (AS P)"),(WapelloNDD!$H:$H),("FINAL EFFLUENT"),(WapelloNDD!$G:$G),("MG/L"))</f>
        <v>#DIV/0!</v>
      </c>
      <c r="K48" s="161">
        <f>COUNTIFS(WapelloNDD!$E:$E,"&gt;=5/1/2018",WapelloNDD!$E:$E,"&lt;=4/30/2019",WapelloNDD!$C:$C,"PHOSPHORUS, TOTAL (AS P)",WapelloNDD!$G:$G,"LBS/DAY",WapelloNDD!$H:$H,"FINAL EFFLUENT")</f>
        <v>0</v>
      </c>
      <c r="L48" s="208" t="e">
        <f>AVERAGEIFS((WapelloNDD!$F:$F),WapelloNDD!$E:$E,"&gt;=5/1/2018",WapelloNDD!$E:$E,"&lt;=4/30/2019",(WapelloNDD!$C:$C),("PHOSPHORUS, TOTAL (AS P)"),(WapelloNDD!$H:$H),("FINAL EFFLUENT"),(WapelloNDD!$G:$G),("LBS/DAY"))</f>
        <v>#DIV/0!</v>
      </c>
      <c r="M48" s="163">
        <f>SUMIFS(WapelloNDD!$F:$F,WapelloNDD!$E:$E,"&gt;=5/1/2018",WapelloNDD!$E:$E,"&lt;=4/30/2019",(WapelloNDD!$C:$C),("PHOSPHORUS, TOTAL (AS P)"),(WapelloNDD!$H:$H),("FINAL EFFLUENT"),(WapelloNDD!$G:$G),("LBS/DAY"))</f>
        <v>0</v>
      </c>
      <c r="N48" s="164" t="e">
        <f>L48*365</f>
        <v>#DIV/0!</v>
      </c>
      <c r="O48" s="165" t="e">
        <f>((D48-J48))/D48</f>
        <v>#DIV/0!</v>
      </c>
      <c r="P48" s="166" t="e">
        <f>((F48-L48))/F48</f>
        <v>#DIV/0!</v>
      </c>
      <c r="Q48" s="167" t="e">
        <f>(F48-L48)*365</f>
        <v>#DIV/0!</v>
      </c>
    </row>
    <row r="49" spans="16:17" x14ac:dyDescent="0.2">
      <c r="P49" s="129" t="s">
        <v>51</v>
      </c>
      <c r="Q49" s="112">
        <f>_xlfn.STDEV.P(Q45)</f>
        <v>0</v>
      </c>
    </row>
    <row r="50" spans="16:17" x14ac:dyDescent="0.2">
      <c r="P50" s="129" t="s">
        <v>52</v>
      </c>
      <c r="Q50" s="130">
        <f>(Q49/(AVERAGE(Q45)))</f>
        <v>0</v>
      </c>
    </row>
    <row r="51" spans="16:17" x14ac:dyDescent="0.2">
      <c r="P51" s="129" t="s">
        <v>53</v>
      </c>
      <c r="Q51" s="112">
        <f>_xlfn.STDEV.P(Q47)</f>
        <v>0</v>
      </c>
    </row>
    <row r="52" spans="16:17" x14ac:dyDescent="0.2">
      <c r="P52" s="129" t="s">
        <v>54</v>
      </c>
      <c r="Q52" s="130">
        <f>Q51/(AVERAGE(Q47))</f>
        <v>0</v>
      </c>
    </row>
    <row r="53" spans="16:17" x14ac:dyDescent="0.2">
      <c r="P53" s="129" t="s">
        <v>55</v>
      </c>
      <c r="Q53" s="131">
        <f>_xlfn.STDEV.P(Q45)</f>
        <v>0</v>
      </c>
    </row>
    <row r="54" spans="16:17" x14ac:dyDescent="0.2">
      <c r="P54" s="129" t="s">
        <v>56</v>
      </c>
      <c r="Q54" s="113">
        <f>Q53/(AVERAGE(Q45))</f>
        <v>0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1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7.28515625" style="137" customWidth="1"/>
    <col min="2" max="2" width="10.140625" style="137" customWidth="1"/>
    <col min="3" max="3" width="22.28515625" style="137" customWidth="1"/>
    <col min="4" max="4" width="17.85546875" style="137" customWidth="1"/>
    <col min="5" max="5" width="10" style="137" customWidth="1"/>
    <col min="6" max="6" width="6.85546875" style="257" customWidth="1"/>
    <col min="7" max="7" width="8.7109375" style="137" customWidth="1"/>
    <col min="8" max="8" width="14.28515625" style="137" customWidth="1"/>
    <col min="9" max="9" width="4.7109375" style="137" customWidth="1"/>
    <col min="10" max="10" width="14.7109375" style="137" customWidth="1"/>
    <col min="11" max="11" width="15.5703125" style="137" customWidth="1"/>
    <col min="12" max="12" width="52.42578125" style="137" customWidth="1"/>
    <col min="13" max="13" width="25.5703125" style="137" customWidth="1"/>
    <col min="14" max="14" width="18.7109375" style="137" customWidth="1"/>
    <col min="15" max="16384" width="9.140625" style="137"/>
  </cols>
  <sheetData>
    <row r="1" spans="1:14" s="136" customFormat="1" ht="21" x14ac:dyDescent="0.2">
      <c r="A1" s="134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263" t="s">
        <v>5</v>
      </c>
      <c r="G1" s="134" t="s">
        <v>6</v>
      </c>
      <c r="H1" s="134" t="s">
        <v>136</v>
      </c>
      <c r="I1" s="135" t="s">
        <v>8</v>
      </c>
      <c r="J1" s="135" t="s">
        <v>9</v>
      </c>
      <c r="K1" s="135" t="s">
        <v>10</v>
      </c>
      <c r="L1" s="134" t="s">
        <v>137</v>
      </c>
      <c r="M1" s="134" t="s">
        <v>58</v>
      </c>
      <c r="N1" s="134" t="s">
        <v>59</v>
      </c>
    </row>
    <row r="2" spans="1:14" x14ac:dyDescent="0.2">
      <c r="A2" s="258" t="s">
        <v>138</v>
      </c>
      <c r="B2" s="258" t="s">
        <v>139</v>
      </c>
      <c r="C2" s="258" t="s">
        <v>12</v>
      </c>
      <c r="D2" s="258" t="s">
        <v>13</v>
      </c>
      <c r="E2" s="259">
        <v>43214</v>
      </c>
      <c r="F2" s="260">
        <v>73.870372799999998</v>
      </c>
      <c r="G2" s="261" t="s">
        <v>14</v>
      </c>
      <c r="H2" s="258" t="s">
        <v>128</v>
      </c>
      <c r="I2" s="261">
        <v>801</v>
      </c>
      <c r="J2" s="261" t="s">
        <v>129</v>
      </c>
      <c r="K2" s="261" t="s">
        <v>123</v>
      </c>
      <c r="L2" s="258" t="s">
        <v>140</v>
      </c>
      <c r="M2" s="258" t="s">
        <v>128</v>
      </c>
    </row>
    <row r="3" spans="1:14" x14ac:dyDescent="0.2">
      <c r="A3" s="258" t="s">
        <v>138</v>
      </c>
      <c r="B3" s="258" t="s">
        <v>139</v>
      </c>
      <c r="C3" s="258" t="s">
        <v>12</v>
      </c>
      <c r="D3" s="258" t="s">
        <v>13</v>
      </c>
      <c r="E3" s="259">
        <v>43214</v>
      </c>
      <c r="F3" s="262">
        <v>9253.5052199999991</v>
      </c>
      <c r="G3" s="261" t="s">
        <v>15</v>
      </c>
      <c r="H3" s="258" t="s">
        <v>128</v>
      </c>
      <c r="I3" s="261">
        <v>801</v>
      </c>
      <c r="J3" s="261" t="s">
        <v>129</v>
      </c>
      <c r="K3" s="261" t="s">
        <v>123</v>
      </c>
      <c r="L3" s="258" t="s">
        <v>140</v>
      </c>
      <c r="M3" s="258" t="s">
        <v>128</v>
      </c>
    </row>
    <row r="4" spans="1:14" x14ac:dyDescent="0.2">
      <c r="A4" s="258" t="s">
        <v>138</v>
      </c>
      <c r="B4" s="258" t="s">
        <v>139</v>
      </c>
      <c r="C4" s="258" t="s">
        <v>12</v>
      </c>
      <c r="D4" s="258" t="s">
        <v>141</v>
      </c>
      <c r="E4" s="259">
        <v>43214</v>
      </c>
      <c r="F4" s="260">
        <v>35.799999999999997</v>
      </c>
      <c r="G4" s="261" t="s">
        <v>14</v>
      </c>
      <c r="H4" s="258" t="s">
        <v>16</v>
      </c>
      <c r="I4" s="261">
        <v>11</v>
      </c>
      <c r="J4" s="261" t="s">
        <v>129</v>
      </c>
      <c r="K4" s="261" t="s">
        <v>123</v>
      </c>
      <c r="L4" s="258" t="s">
        <v>142</v>
      </c>
      <c r="M4" s="258" t="s">
        <v>133</v>
      </c>
    </row>
    <row r="5" spans="1:14" x14ac:dyDescent="0.2">
      <c r="A5" s="258" t="s">
        <v>138</v>
      </c>
      <c r="B5" s="258" t="s">
        <v>139</v>
      </c>
      <c r="C5" s="258" t="s">
        <v>12</v>
      </c>
      <c r="D5" s="258" t="s">
        <v>141</v>
      </c>
      <c r="E5" s="259">
        <v>43214</v>
      </c>
      <c r="F5" s="262">
        <v>4272.5653199999997</v>
      </c>
      <c r="G5" s="261" t="s">
        <v>15</v>
      </c>
      <c r="H5" s="258" t="s">
        <v>16</v>
      </c>
      <c r="I5" s="261">
        <v>11</v>
      </c>
      <c r="J5" s="261" t="s">
        <v>129</v>
      </c>
      <c r="K5" s="261" t="s">
        <v>123</v>
      </c>
      <c r="L5" s="258" t="s">
        <v>142</v>
      </c>
      <c r="M5" s="258" t="s">
        <v>133</v>
      </c>
    </row>
    <row r="6" spans="1:14" x14ac:dyDescent="0.2">
      <c r="A6" s="258" t="s">
        <v>138</v>
      </c>
      <c r="B6" s="258" t="s">
        <v>139</v>
      </c>
      <c r="C6" s="258" t="s">
        <v>12</v>
      </c>
      <c r="D6" s="258" t="s">
        <v>13</v>
      </c>
      <c r="E6" s="259">
        <v>43208</v>
      </c>
      <c r="F6" s="260">
        <v>77.171421600000002</v>
      </c>
      <c r="G6" s="261" t="s">
        <v>14</v>
      </c>
      <c r="H6" s="258" t="s">
        <v>128</v>
      </c>
      <c r="I6" s="261">
        <v>801</v>
      </c>
      <c r="J6" s="261" t="s">
        <v>129</v>
      </c>
      <c r="K6" s="261" t="s">
        <v>123</v>
      </c>
      <c r="L6" s="258" t="s">
        <v>140</v>
      </c>
      <c r="M6" s="258" t="s">
        <v>128</v>
      </c>
    </row>
    <row r="7" spans="1:14" x14ac:dyDescent="0.2">
      <c r="A7" s="258" t="s">
        <v>138</v>
      </c>
      <c r="B7" s="258" t="s">
        <v>139</v>
      </c>
      <c r="C7" s="258" t="s">
        <v>12</v>
      </c>
      <c r="D7" s="258" t="s">
        <v>13</v>
      </c>
      <c r="E7" s="259">
        <v>43208</v>
      </c>
      <c r="F7" s="262">
        <v>10683.920303999999</v>
      </c>
      <c r="G7" s="261" t="s">
        <v>15</v>
      </c>
      <c r="H7" s="258" t="s">
        <v>128</v>
      </c>
      <c r="I7" s="261">
        <v>801</v>
      </c>
      <c r="J7" s="261" t="s">
        <v>129</v>
      </c>
      <c r="K7" s="261" t="s">
        <v>123</v>
      </c>
      <c r="L7" s="258" t="s">
        <v>140</v>
      </c>
      <c r="M7" s="258" t="s">
        <v>128</v>
      </c>
    </row>
    <row r="8" spans="1:14" x14ac:dyDescent="0.2">
      <c r="A8" s="258" t="s">
        <v>138</v>
      </c>
      <c r="B8" s="258" t="s">
        <v>139</v>
      </c>
      <c r="C8" s="258" t="s">
        <v>12</v>
      </c>
      <c r="D8" s="258" t="s">
        <v>141</v>
      </c>
      <c r="E8" s="259">
        <v>43208</v>
      </c>
      <c r="F8" s="260">
        <v>41.8</v>
      </c>
      <c r="G8" s="261" t="s">
        <v>14</v>
      </c>
      <c r="H8" s="258" t="s">
        <v>16</v>
      </c>
      <c r="I8" s="261">
        <v>11</v>
      </c>
      <c r="J8" s="261" t="s">
        <v>129</v>
      </c>
      <c r="K8" s="261" t="s">
        <v>123</v>
      </c>
      <c r="L8" s="258" t="s">
        <v>142</v>
      </c>
      <c r="M8" s="258" t="s">
        <v>133</v>
      </c>
    </row>
    <row r="9" spans="1:14" x14ac:dyDescent="0.2">
      <c r="A9" s="258" t="s">
        <v>138</v>
      </c>
      <c r="B9" s="258" t="s">
        <v>139</v>
      </c>
      <c r="C9" s="258" t="s">
        <v>12</v>
      </c>
      <c r="D9" s="258" t="s">
        <v>141</v>
      </c>
      <c r="E9" s="259">
        <v>43208</v>
      </c>
      <c r="F9" s="262">
        <v>5473.2084000000004</v>
      </c>
      <c r="G9" s="261" t="s">
        <v>15</v>
      </c>
      <c r="H9" s="258" t="s">
        <v>16</v>
      </c>
      <c r="I9" s="261">
        <v>11</v>
      </c>
      <c r="J9" s="261" t="s">
        <v>129</v>
      </c>
      <c r="K9" s="261" t="s">
        <v>123</v>
      </c>
      <c r="L9" s="258" t="s">
        <v>142</v>
      </c>
      <c r="M9" s="258" t="s">
        <v>133</v>
      </c>
    </row>
    <row r="10" spans="1:14" x14ac:dyDescent="0.2">
      <c r="A10" s="258" t="s">
        <v>138</v>
      </c>
      <c r="B10" s="258" t="s">
        <v>139</v>
      </c>
      <c r="C10" s="258" t="s">
        <v>12</v>
      </c>
      <c r="D10" s="258" t="s">
        <v>13</v>
      </c>
      <c r="E10" s="259">
        <v>43200</v>
      </c>
      <c r="F10" s="260">
        <v>94.656589299999993</v>
      </c>
      <c r="G10" s="261" t="s">
        <v>14</v>
      </c>
      <c r="H10" s="258" t="s">
        <v>128</v>
      </c>
      <c r="I10" s="261">
        <v>801</v>
      </c>
      <c r="J10" s="261" t="s">
        <v>129</v>
      </c>
      <c r="K10" s="261" t="s">
        <v>123</v>
      </c>
      <c r="L10" s="258" t="s">
        <v>140</v>
      </c>
      <c r="M10" s="258" t="s">
        <v>128</v>
      </c>
    </row>
    <row r="11" spans="1:14" x14ac:dyDescent="0.2">
      <c r="A11" s="258" t="s">
        <v>138</v>
      </c>
      <c r="B11" s="258" t="s">
        <v>139</v>
      </c>
      <c r="C11" s="258" t="s">
        <v>12</v>
      </c>
      <c r="D11" s="258" t="s">
        <v>13</v>
      </c>
      <c r="E11" s="259">
        <v>43200</v>
      </c>
      <c r="F11" s="262">
        <v>10207.406897999999</v>
      </c>
      <c r="G11" s="261" t="s">
        <v>15</v>
      </c>
      <c r="H11" s="258" t="s">
        <v>128</v>
      </c>
      <c r="I11" s="261">
        <v>801</v>
      </c>
      <c r="J11" s="261" t="s">
        <v>129</v>
      </c>
      <c r="K11" s="261" t="s">
        <v>123</v>
      </c>
      <c r="L11" s="258" t="s">
        <v>140</v>
      </c>
      <c r="M11" s="258" t="s">
        <v>128</v>
      </c>
    </row>
    <row r="12" spans="1:14" x14ac:dyDescent="0.2">
      <c r="A12" s="258" t="s">
        <v>138</v>
      </c>
      <c r="B12" s="258" t="s">
        <v>139</v>
      </c>
      <c r="C12" s="258" t="s">
        <v>12</v>
      </c>
      <c r="D12" s="258" t="s">
        <v>141</v>
      </c>
      <c r="E12" s="259">
        <v>43200</v>
      </c>
      <c r="F12" s="260">
        <v>24.8</v>
      </c>
      <c r="G12" s="261" t="s">
        <v>14</v>
      </c>
      <c r="H12" s="258" t="s">
        <v>16</v>
      </c>
      <c r="I12" s="261">
        <v>801</v>
      </c>
      <c r="J12" s="261" t="s">
        <v>129</v>
      </c>
      <c r="K12" s="261" t="s">
        <v>123</v>
      </c>
      <c r="L12" s="258" t="s">
        <v>140</v>
      </c>
      <c r="M12" s="258" t="s">
        <v>133</v>
      </c>
    </row>
    <row r="13" spans="1:14" x14ac:dyDescent="0.2">
      <c r="A13" s="258" t="s">
        <v>138</v>
      </c>
      <c r="B13" s="258" t="s">
        <v>139</v>
      </c>
      <c r="C13" s="258" t="s">
        <v>12</v>
      </c>
      <c r="D13" s="258" t="s">
        <v>141</v>
      </c>
      <c r="E13" s="259">
        <v>43200</v>
      </c>
      <c r="F13" s="262">
        <v>2473.71072</v>
      </c>
      <c r="G13" s="261" t="s">
        <v>15</v>
      </c>
      <c r="H13" s="258" t="s">
        <v>16</v>
      </c>
      <c r="I13" s="261">
        <v>801</v>
      </c>
      <c r="J13" s="261" t="s">
        <v>129</v>
      </c>
      <c r="K13" s="261" t="s">
        <v>123</v>
      </c>
      <c r="L13" s="258" t="s">
        <v>140</v>
      </c>
      <c r="M13" s="258" t="s">
        <v>133</v>
      </c>
    </row>
    <row r="14" spans="1:14" x14ac:dyDescent="0.2">
      <c r="A14" s="258" t="s">
        <v>138</v>
      </c>
      <c r="B14" s="258" t="s">
        <v>139</v>
      </c>
      <c r="C14" s="258" t="s">
        <v>12</v>
      </c>
      <c r="D14" s="258" t="s">
        <v>13</v>
      </c>
      <c r="E14" s="259">
        <v>43193</v>
      </c>
      <c r="F14" s="260">
        <v>85.033734199999998</v>
      </c>
      <c r="G14" s="261" t="s">
        <v>14</v>
      </c>
      <c r="H14" s="258" t="s">
        <v>128</v>
      </c>
      <c r="I14" s="261">
        <v>801</v>
      </c>
      <c r="J14" s="261" t="s">
        <v>129</v>
      </c>
      <c r="K14" s="261" t="s">
        <v>123</v>
      </c>
      <c r="L14" s="258" t="s">
        <v>140</v>
      </c>
      <c r="M14" s="258" t="s">
        <v>128</v>
      </c>
    </row>
    <row r="15" spans="1:14" x14ac:dyDescent="0.2">
      <c r="A15" s="258" t="s">
        <v>138</v>
      </c>
      <c r="B15" s="258" t="s">
        <v>139</v>
      </c>
      <c r="C15" s="258" t="s">
        <v>12</v>
      </c>
      <c r="D15" s="258" t="s">
        <v>13</v>
      </c>
      <c r="E15" s="259">
        <v>43193</v>
      </c>
      <c r="F15" s="262">
        <v>9552.6726959999996</v>
      </c>
      <c r="G15" s="261" t="s">
        <v>15</v>
      </c>
      <c r="H15" s="258" t="s">
        <v>128</v>
      </c>
      <c r="I15" s="261">
        <v>801</v>
      </c>
      <c r="J15" s="261" t="s">
        <v>129</v>
      </c>
      <c r="K15" s="261" t="s">
        <v>123</v>
      </c>
      <c r="L15" s="258" t="s">
        <v>140</v>
      </c>
      <c r="M15" s="258" t="s">
        <v>128</v>
      </c>
    </row>
    <row r="16" spans="1:14" x14ac:dyDescent="0.2">
      <c r="A16" s="258" t="s">
        <v>138</v>
      </c>
      <c r="B16" s="258" t="s">
        <v>139</v>
      </c>
      <c r="C16" s="258" t="s">
        <v>12</v>
      </c>
      <c r="D16" s="258" t="s">
        <v>141</v>
      </c>
      <c r="E16" s="259">
        <v>43193</v>
      </c>
      <c r="F16" s="260">
        <v>33.299999999999997</v>
      </c>
      <c r="G16" s="261" t="s">
        <v>14</v>
      </c>
      <c r="H16" s="258" t="s">
        <v>16</v>
      </c>
      <c r="I16" s="261">
        <v>801</v>
      </c>
      <c r="J16" s="261" t="s">
        <v>129</v>
      </c>
      <c r="K16" s="261" t="s">
        <v>123</v>
      </c>
      <c r="L16" s="258" t="s">
        <v>140</v>
      </c>
      <c r="M16" s="258" t="s">
        <v>133</v>
      </c>
    </row>
    <row r="17" spans="1:13" x14ac:dyDescent="0.2">
      <c r="A17" s="258" t="s">
        <v>138</v>
      </c>
      <c r="B17" s="258" t="s">
        <v>139</v>
      </c>
      <c r="C17" s="258" t="s">
        <v>12</v>
      </c>
      <c r="D17" s="258" t="s">
        <v>141</v>
      </c>
      <c r="E17" s="259">
        <v>43193</v>
      </c>
      <c r="F17" s="262">
        <v>3452.08446</v>
      </c>
      <c r="G17" s="261" t="s">
        <v>15</v>
      </c>
      <c r="H17" s="258" t="s">
        <v>16</v>
      </c>
      <c r="I17" s="261">
        <v>801</v>
      </c>
      <c r="J17" s="261" t="s">
        <v>129</v>
      </c>
      <c r="K17" s="261" t="s">
        <v>123</v>
      </c>
      <c r="L17" s="258" t="s">
        <v>140</v>
      </c>
      <c r="M17" s="258" t="s">
        <v>133</v>
      </c>
    </row>
    <row r="18" spans="1:13" x14ac:dyDescent="0.2">
      <c r="A18" s="258" t="s">
        <v>138</v>
      </c>
      <c r="B18" s="258" t="s">
        <v>139</v>
      </c>
      <c r="C18" s="258" t="s">
        <v>12</v>
      </c>
      <c r="D18" s="258" t="s">
        <v>13</v>
      </c>
      <c r="E18" s="259">
        <v>43186</v>
      </c>
      <c r="F18" s="260">
        <v>96.983982100000006</v>
      </c>
      <c r="G18" s="261" t="s">
        <v>14</v>
      </c>
      <c r="H18" s="258" t="s">
        <v>128</v>
      </c>
      <c r="I18" s="261">
        <v>801</v>
      </c>
      <c r="J18" s="261" t="s">
        <v>129</v>
      </c>
      <c r="K18" s="261" t="s">
        <v>123</v>
      </c>
      <c r="L18" s="258" t="s">
        <v>140</v>
      </c>
      <c r="M18" s="258" t="s">
        <v>128</v>
      </c>
    </row>
    <row r="19" spans="1:13" x14ac:dyDescent="0.2">
      <c r="A19" s="258" t="s">
        <v>138</v>
      </c>
      <c r="B19" s="258" t="s">
        <v>139</v>
      </c>
      <c r="C19" s="258" t="s">
        <v>12</v>
      </c>
      <c r="D19" s="258" t="s">
        <v>13</v>
      </c>
      <c r="E19" s="259">
        <v>43186</v>
      </c>
      <c r="F19" s="262">
        <v>10846.630368</v>
      </c>
      <c r="G19" s="261" t="s">
        <v>15</v>
      </c>
      <c r="H19" s="258" t="s">
        <v>128</v>
      </c>
      <c r="I19" s="261">
        <v>801</v>
      </c>
      <c r="J19" s="261" t="s">
        <v>129</v>
      </c>
      <c r="K19" s="261" t="s">
        <v>123</v>
      </c>
      <c r="L19" s="258" t="s">
        <v>140</v>
      </c>
      <c r="M19" s="258" t="s">
        <v>128</v>
      </c>
    </row>
    <row r="20" spans="1:13" x14ac:dyDescent="0.2">
      <c r="A20" s="258" t="s">
        <v>138</v>
      </c>
      <c r="B20" s="258" t="s">
        <v>139</v>
      </c>
      <c r="C20" s="258" t="s">
        <v>12</v>
      </c>
      <c r="D20" s="258" t="s">
        <v>141</v>
      </c>
      <c r="E20" s="259">
        <v>43186</v>
      </c>
      <c r="F20" s="260">
        <v>37</v>
      </c>
      <c r="G20" s="261" t="s">
        <v>14</v>
      </c>
      <c r="H20" s="258" t="s">
        <v>16</v>
      </c>
      <c r="I20" s="261">
        <v>801</v>
      </c>
      <c r="J20" s="261" t="s">
        <v>129</v>
      </c>
      <c r="K20" s="261" t="s">
        <v>123</v>
      </c>
      <c r="L20" s="258" t="s">
        <v>140</v>
      </c>
      <c r="M20" s="258" t="s">
        <v>133</v>
      </c>
    </row>
    <row r="21" spans="1:13" x14ac:dyDescent="0.2">
      <c r="A21" s="258" t="s">
        <v>138</v>
      </c>
      <c r="B21" s="258" t="s">
        <v>139</v>
      </c>
      <c r="C21" s="258" t="s">
        <v>12</v>
      </c>
      <c r="D21" s="258" t="s">
        <v>141</v>
      </c>
      <c r="E21" s="259">
        <v>43186</v>
      </c>
      <c r="F21" s="262">
        <v>3829.4778000000001</v>
      </c>
      <c r="G21" s="261" t="s">
        <v>15</v>
      </c>
      <c r="H21" s="258" t="s">
        <v>16</v>
      </c>
      <c r="I21" s="261">
        <v>801</v>
      </c>
      <c r="J21" s="261" t="s">
        <v>129</v>
      </c>
      <c r="K21" s="261" t="s">
        <v>123</v>
      </c>
      <c r="L21" s="258" t="s">
        <v>140</v>
      </c>
      <c r="M21" s="258" t="s">
        <v>133</v>
      </c>
    </row>
    <row r="22" spans="1:13" x14ac:dyDescent="0.2">
      <c r="A22" s="258" t="s">
        <v>138</v>
      </c>
      <c r="B22" s="258" t="s">
        <v>139</v>
      </c>
      <c r="C22" s="258" t="s">
        <v>12</v>
      </c>
      <c r="D22" s="258" t="s">
        <v>13</v>
      </c>
      <c r="E22" s="259">
        <v>43180</v>
      </c>
      <c r="F22" s="260">
        <v>92.798606000000007</v>
      </c>
      <c r="G22" s="261" t="s">
        <v>14</v>
      </c>
      <c r="H22" s="258" t="s">
        <v>128</v>
      </c>
      <c r="I22" s="261">
        <v>801</v>
      </c>
      <c r="J22" s="261" t="s">
        <v>129</v>
      </c>
      <c r="K22" s="261" t="s">
        <v>123</v>
      </c>
      <c r="L22" s="258" t="s">
        <v>140</v>
      </c>
      <c r="M22" s="258" t="s">
        <v>128</v>
      </c>
    </row>
    <row r="23" spans="1:13" x14ac:dyDescent="0.2">
      <c r="A23" s="258" t="s">
        <v>138</v>
      </c>
      <c r="B23" s="258" t="s">
        <v>139</v>
      </c>
      <c r="C23" s="258" t="s">
        <v>12</v>
      </c>
      <c r="D23" s="258" t="s">
        <v>13</v>
      </c>
      <c r="E23" s="259">
        <v>43180</v>
      </c>
      <c r="F23" s="262">
        <v>9271.8056820000002</v>
      </c>
      <c r="G23" s="261" t="s">
        <v>15</v>
      </c>
      <c r="H23" s="258" t="s">
        <v>128</v>
      </c>
      <c r="I23" s="261">
        <v>801</v>
      </c>
      <c r="J23" s="261" t="s">
        <v>129</v>
      </c>
      <c r="K23" s="261" t="s">
        <v>123</v>
      </c>
      <c r="L23" s="258" t="s">
        <v>140</v>
      </c>
      <c r="M23" s="258" t="s">
        <v>128</v>
      </c>
    </row>
    <row r="24" spans="1:13" x14ac:dyDescent="0.2">
      <c r="A24" s="258" t="s">
        <v>138</v>
      </c>
      <c r="B24" s="258" t="s">
        <v>139</v>
      </c>
      <c r="C24" s="258" t="s">
        <v>12</v>
      </c>
      <c r="D24" s="258" t="s">
        <v>141</v>
      </c>
      <c r="E24" s="259">
        <v>43180</v>
      </c>
      <c r="F24" s="260">
        <v>41</v>
      </c>
      <c r="G24" s="261" t="s">
        <v>14</v>
      </c>
      <c r="H24" s="258" t="s">
        <v>16</v>
      </c>
      <c r="I24" s="261">
        <v>801</v>
      </c>
      <c r="J24" s="261" t="s">
        <v>129</v>
      </c>
      <c r="K24" s="261" t="s">
        <v>123</v>
      </c>
      <c r="L24" s="258" t="s">
        <v>140</v>
      </c>
      <c r="M24" s="258" t="s">
        <v>133</v>
      </c>
    </row>
    <row r="25" spans="1:13" x14ac:dyDescent="0.2">
      <c r="A25" s="258" t="s">
        <v>138</v>
      </c>
      <c r="B25" s="258" t="s">
        <v>139</v>
      </c>
      <c r="C25" s="258" t="s">
        <v>12</v>
      </c>
      <c r="D25" s="258" t="s">
        <v>141</v>
      </c>
      <c r="E25" s="259">
        <v>43180</v>
      </c>
      <c r="F25" s="262">
        <v>3775.0176000000001</v>
      </c>
      <c r="G25" s="261" t="s">
        <v>15</v>
      </c>
      <c r="H25" s="258" t="s">
        <v>16</v>
      </c>
      <c r="I25" s="261">
        <v>801</v>
      </c>
      <c r="J25" s="261" t="s">
        <v>129</v>
      </c>
      <c r="K25" s="261" t="s">
        <v>123</v>
      </c>
      <c r="L25" s="258" t="s">
        <v>140</v>
      </c>
      <c r="M25" s="258" t="s">
        <v>133</v>
      </c>
    </row>
    <row r="26" spans="1:13" x14ac:dyDescent="0.2">
      <c r="A26" s="258" t="s">
        <v>138</v>
      </c>
      <c r="B26" s="258" t="s">
        <v>139</v>
      </c>
      <c r="C26" s="258" t="s">
        <v>12</v>
      </c>
      <c r="D26" s="258" t="s">
        <v>13</v>
      </c>
      <c r="E26" s="259">
        <v>43173</v>
      </c>
      <c r="F26" s="260">
        <v>93.356700700000005</v>
      </c>
      <c r="G26" s="261" t="s">
        <v>14</v>
      </c>
      <c r="H26" s="258" t="s">
        <v>128</v>
      </c>
      <c r="I26" s="261">
        <v>801</v>
      </c>
      <c r="J26" s="261" t="s">
        <v>129</v>
      </c>
      <c r="K26" s="261" t="s">
        <v>123</v>
      </c>
      <c r="L26" s="258" t="s">
        <v>140</v>
      </c>
      <c r="M26" s="258" t="s">
        <v>128</v>
      </c>
    </row>
    <row r="27" spans="1:13" x14ac:dyDescent="0.2">
      <c r="A27" s="258" t="s">
        <v>138</v>
      </c>
      <c r="B27" s="258" t="s">
        <v>139</v>
      </c>
      <c r="C27" s="258" t="s">
        <v>12</v>
      </c>
      <c r="D27" s="258" t="s">
        <v>13</v>
      </c>
      <c r="E27" s="259">
        <v>43173</v>
      </c>
      <c r="F27" s="262">
        <v>9911.5128719999993</v>
      </c>
      <c r="G27" s="261" t="s">
        <v>15</v>
      </c>
      <c r="H27" s="258" t="s">
        <v>128</v>
      </c>
      <c r="I27" s="261">
        <v>801</v>
      </c>
      <c r="J27" s="261" t="s">
        <v>129</v>
      </c>
      <c r="K27" s="261" t="s">
        <v>123</v>
      </c>
      <c r="L27" s="258" t="s">
        <v>140</v>
      </c>
      <c r="M27" s="258" t="s">
        <v>128</v>
      </c>
    </row>
    <row r="28" spans="1:13" x14ac:dyDescent="0.2">
      <c r="A28" s="258" t="s">
        <v>138</v>
      </c>
      <c r="B28" s="258" t="s">
        <v>139</v>
      </c>
      <c r="C28" s="258" t="s">
        <v>12</v>
      </c>
      <c r="D28" s="258" t="s">
        <v>141</v>
      </c>
      <c r="E28" s="259">
        <v>43173</v>
      </c>
      <c r="F28" s="260">
        <v>39</v>
      </c>
      <c r="G28" s="261" t="s">
        <v>14</v>
      </c>
      <c r="H28" s="258" t="s">
        <v>16</v>
      </c>
      <c r="I28" s="261">
        <v>801</v>
      </c>
      <c r="J28" s="261" t="s">
        <v>129</v>
      </c>
      <c r="K28" s="261" t="s">
        <v>123</v>
      </c>
      <c r="L28" s="258" t="s">
        <v>140</v>
      </c>
      <c r="M28" s="258" t="s">
        <v>133</v>
      </c>
    </row>
    <row r="29" spans="1:13" x14ac:dyDescent="0.2">
      <c r="A29" s="258" t="s">
        <v>138</v>
      </c>
      <c r="B29" s="258" t="s">
        <v>139</v>
      </c>
      <c r="C29" s="258" t="s">
        <v>12</v>
      </c>
      <c r="D29" s="258" t="s">
        <v>141</v>
      </c>
      <c r="E29" s="259">
        <v>43173</v>
      </c>
      <c r="F29" s="262">
        <v>3831.5628000000002</v>
      </c>
      <c r="G29" s="261" t="s">
        <v>15</v>
      </c>
      <c r="H29" s="258" t="s">
        <v>16</v>
      </c>
      <c r="I29" s="261">
        <v>801</v>
      </c>
      <c r="J29" s="261" t="s">
        <v>129</v>
      </c>
      <c r="K29" s="261" t="s">
        <v>123</v>
      </c>
      <c r="L29" s="258" t="s">
        <v>140</v>
      </c>
      <c r="M29" s="258" t="s">
        <v>133</v>
      </c>
    </row>
    <row r="30" spans="1:13" x14ac:dyDescent="0.2">
      <c r="A30" s="258" t="s">
        <v>138</v>
      </c>
      <c r="B30" s="258" t="s">
        <v>139</v>
      </c>
      <c r="C30" s="258" t="s">
        <v>12</v>
      </c>
      <c r="D30" s="258" t="s">
        <v>13</v>
      </c>
      <c r="E30" s="259">
        <v>43165</v>
      </c>
      <c r="F30" s="260">
        <v>86.450539300000003</v>
      </c>
      <c r="G30" s="261" t="s">
        <v>14</v>
      </c>
      <c r="H30" s="258" t="s">
        <v>128</v>
      </c>
      <c r="I30" s="261">
        <v>801</v>
      </c>
      <c r="J30" s="261" t="s">
        <v>129</v>
      </c>
      <c r="K30" s="261" t="s">
        <v>123</v>
      </c>
      <c r="L30" s="258" t="s">
        <v>140</v>
      </c>
      <c r="M30" s="258" t="s">
        <v>128</v>
      </c>
    </row>
    <row r="31" spans="1:13" x14ac:dyDescent="0.2">
      <c r="A31" s="258" t="s">
        <v>138</v>
      </c>
      <c r="B31" s="258" t="s">
        <v>139</v>
      </c>
      <c r="C31" s="258" t="s">
        <v>12</v>
      </c>
      <c r="D31" s="258" t="s">
        <v>13</v>
      </c>
      <c r="E31" s="259">
        <v>43165</v>
      </c>
      <c r="F31" s="262">
        <v>9625.3165979999994</v>
      </c>
      <c r="G31" s="261" t="s">
        <v>15</v>
      </c>
      <c r="H31" s="258" t="s">
        <v>128</v>
      </c>
      <c r="I31" s="261">
        <v>801</v>
      </c>
      <c r="J31" s="261" t="s">
        <v>129</v>
      </c>
      <c r="K31" s="261" t="s">
        <v>123</v>
      </c>
      <c r="L31" s="258" t="s">
        <v>140</v>
      </c>
      <c r="M31" s="258" t="s">
        <v>128</v>
      </c>
    </row>
    <row r="32" spans="1:13" x14ac:dyDescent="0.2">
      <c r="A32" s="258" t="s">
        <v>138</v>
      </c>
      <c r="B32" s="258" t="s">
        <v>139</v>
      </c>
      <c r="C32" s="258" t="s">
        <v>12</v>
      </c>
      <c r="D32" s="258" t="s">
        <v>141</v>
      </c>
      <c r="E32" s="259">
        <v>43165</v>
      </c>
      <c r="F32" s="260">
        <v>38.9</v>
      </c>
      <c r="G32" s="261" t="s">
        <v>14</v>
      </c>
      <c r="H32" s="258" t="s">
        <v>16</v>
      </c>
      <c r="I32" s="261">
        <v>801</v>
      </c>
      <c r="J32" s="261" t="s">
        <v>129</v>
      </c>
      <c r="K32" s="261" t="s">
        <v>123</v>
      </c>
      <c r="L32" s="258" t="s">
        <v>140</v>
      </c>
      <c r="M32" s="258" t="s">
        <v>133</v>
      </c>
    </row>
    <row r="33" spans="1:13" x14ac:dyDescent="0.2">
      <c r="A33" s="258" t="s">
        <v>138</v>
      </c>
      <c r="B33" s="258" t="s">
        <v>139</v>
      </c>
      <c r="C33" s="258" t="s">
        <v>12</v>
      </c>
      <c r="D33" s="258" t="s">
        <v>141</v>
      </c>
      <c r="E33" s="259">
        <v>43165</v>
      </c>
      <c r="F33" s="262">
        <v>4091.0118600000001</v>
      </c>
      <c r="G33" s="261" t="s">
        <v>15</v>
      </c>
      <c r="H33" s="258" t="s">
        <v>16</v>
      </c>
      <c r="I33" s="261">
        <v>801</v>
      </c>
      <c r="J33" s="261" t="s">
        <v>129</v>
      </c>
      <c r="K33" s="261" t="s">
        <v>123</v>
      </c>
      <c r="L33" s="258" t="s">
        <v>140</v>
      </c>
      <c r="M33" s="258" t="s">
        <v>133</v>
      </c>
    </row>
    <row r="34" spans="1:13" x14ac:dyDescent="0.2">
      <c r="A34" s="258" t="s">
        <v>138</v>
      </c>
      <c r="B34" s="258" t="s">
        <v>139</v>
      </c>
      <c r="C34" s="258" t="s">
        <v>12</v>
      </c>
      <c r="D34" s="258" t="s">
        <v>13</v>
      </c>
      <c r="E34" s="259">
        <v>43158</v>
      </c>
      <c r="F34" s="260">
        <v>76.341651299999995</v>
      </c>
      <c r="G34" s="261" t="s">
        <v>14</v>
      </c>
      <c r="H34" s="258" t="s">
        <v>128</v>
      </c>
      <c r="I34" s="261">
        <v>801</v>
      </c>
      <c r="J34" s="261" t="s">
        <v>129</v>
      </c>
      <c r="K34" s="261" t="s">
        <v>123</v>
      </c>
      <c r="L34" s="258" t="s">
        <v>140</v>
      </c>
      <c r="M34" s="258" t="s">
        <v>128</v>
      </c>
    </row>
    <row r="35" spans="1:13" x14ac:dyDescent="0.2">
      <c r="A35" s="258" t="s">
        <v>138</v>
      </c>
      <c r="B35" s="258" t="s">
        <v>139</v>
      </c>
      <c r="C35" s="258" t="s">
        <v>12</v>
      </c>
      <c r="D35" s="258" t="s">
        <v>13</v>
      </c>
      <c r="E35" s="259">
        <v>43158</v>
      </c>
      <c r="F35" s="262">
        <v>8983.687038</v>
      </c>
      <c r="G35" s="261" t="s">
        <v>15</v>
      </c>
      <c r="H35" s="258" t="s">
        <v>128</v>
      </c>
      <c r="I35" s="261">
        <v>801</v>
      </c>
      <c r="J35" s="261" t="s">
        <v>129</v>
      </c>
      <c r="K35" s="261" t="s">
        <v>123</v>
      </c>
      <c r="L35" s="258" t="s">
        <v>140</v>
      </c>
      <c r="M35" s="258" t="s">
        <v>128</v>
      </c>
    </row>
    <row r="36" spans="1:13" x14ac:dyDescent="0.2">
      <c r="A36" s="258" t="s">
        <v>138</v>
      </c>
      <c r="B36" s="258" t="s">
        <v>139</v>
      </c>
      <c r="C36" s="258" t="s">
        <v>12</v>
      </c>
      <c r="D36" s="258" t="s">
        <v>141</v>
      </c>
      <c r="E36" s="259">
        <v>43158</v>
      </c>
      <c r="F36" s="260">
        <v>37</v>
      </c>
      <c r="G36" s="261" t="s">
        <v>14</v>
      </c>
      <c r="H36" s="258" t="s">
        <v>16</v>
      </c>
      <c r="I36" s="261">
        <v>801</v>
      </c>
      <c r="J36" s="261" t="s">
        <v>129</v>
      </c>
      <c r="K36" s="261" t="s">
        <v>123</v>
      </c>
      <c r="L36" s="258" t="s">
        <v>140</v>
      </c>
      <c r="M36" s="258" t="s">
        <v>133</v>
      </c>
    </row>
    <row r="37" spans="1:13" x14ac:dyDescent="0.2">
      <c r="A37" s="258" t="s">
        <v>138</v>
      </c>
      <c r="B37" s="258" t="s">
        <v>139</v>
      </c>
      <c r="C37" s="258" t="s">
        <v>12</v>
      </c>
      <c r="D37" s="258" t="s">
        <v>141</v>
      </c>
      <c r="E37" s="259">
        <v>43158</v>
      </c>
      <c r="F37" s="262">
        <v>3937.4807999999998</v>
      </c>
      <c r="G37" s="261" t="s">
        <v>15</v>
      </c>
      <c r="H37" s="258" t="s">
        <v>16</v>
      </c>
      <c r="I37" s="261">
        <v>801</v>
      </c>
      <c r="J37" s="261" t="s">
        <v>129</v>
      </c>
      <c r="K37" s="261" t="s">
        <v>123</v>
      </c>
      <c r="L37" s="258" t="s">
        <v>140</v>
      </c>
      <c r="M37" s="258" t="s">
        <v>133</v>
      </c>
    </row>
    <row r="38" spans="1:13" x14ac:dyDescent="0.2">
      <c r="A38" s="258" t="s">
        <v>138</v>
      </c>
      <c r="B38" s="258" t="s">
        <v>139</v>
      </c>
      <c r="C38" s="258" t="s">
        <v>12</v>
      </c>
      <c r="D38" s="258" t="s">
        <v>13</v>
      </c>
      <c r="E38" s="259">
        <v>43151</v>
      </c>
      <c r="F38" s="260">
        <v>93.002457699999994</v>
      </c>
      <c r="G38" s="261" t="s">
        <v>14</v>
      </c>
      <c r="H38" s="258" t="s">
        <v>128</v>
      </c>
      <c r="I38" s="261">
        <v>801</v>
      </c>
      <c r="J38" s="261" t="s">
        <v>129</v>
      </c>
      <c r="K38" s="261" t="s">
        <v>123</v>
      </c>
      <c r="L38" s="258" t="s">
        <v>140</v>
      </c>
      <c r="M38" s="258" t="s">
        <v>128</v>
      </c>
    </row>
    <row r="39" spans="1:13" x14ac:dyDescent="0.2">
      <c r="A39" s="258" t="s">
        <v>138</v>
      </c>
      <c r="B39" s="258" t="s">
        <v>139</v>
      </c>
      <c r="C39" s="258" t="s">
        <v>12</v>
      </c>
      <c r="D39" s="258" t="s">
        <v>13</v>
      </c>
      <c r="E39" s="259">
        <v>43151</v>
      </c>
      <c r="F39" s="262">
        <v>10909.6550766</v>
      </c>
      <c r="G39" s="261" t="s">
        <v>15</v>
      </c>
      <c r="H39" s="258" t="s">
        <v>128</v>
      </c>
      <c r="I39" s="261">
        <v>801</v>
      </c>
      <c r="J39" s="261" t="s">
        <v>129</v>
      </c>
      <c r="K39" s="261" t="s">
        <v>123</v>
      </c>
      <c r="L39" s="258" t="s">
        <v>140</v>
      </c>
      <c r="M39" s="258" t="s">
        <v>128</v>
      </c>
    </row>
    <row r="40" spans="1:13" x14ac:dyDescent="0.2">
      <c r="A40" s="258" t="s">
        <v>138</v>
      </c>
      <c r="B40" s="258" t="s">
        <v>139</v>
      </c>
      <c r="C40" s="258" t="s">
        <v>12</v>
      </c>
      <c r="D40" s="258" t="s">
        <v>141</v>
      </c>
      <c r="E40" s="259">
        <v>43151</v>
      </c>
      <c r="F40" s="260">
        <v>35.5</v>
      </c>
      <c r="G40" s="261" t="s">
        <v>14</v>
      </c>
      <c r="H40" s="258" t="s">
        <v>16</v>
      </c>
      <c r="I40" s="261">
        <v>801</v>
      </c>
      <c r="J40" s="261" t="s">
        <v>129</v>
      </c>
      <c r="K40" s="261" t="s">
        <v>123</v>
      </c>
      <c r="L40" s="258" t="s">
        <v>140</v>
      </c>
      <c r="M40" s="258" t="s">
        <v>133</v>
      </c>
    </row>
    <row r="41" spans="1:13" x14ac:dyDescent="0.2">
      <c r="A41" s="258" t="s">
        <v>138</v>
      </c>
      <c r="B41" s="258" t="s">
        <v>139</v>
      </c>
      <c r="C41" s="258" t="s">
        <v>12</v>
      </c>
      <c r="D41" s="258" t="s">
        <v>141</v>
      </c>
      <c r="E41" s="259">
        <v>43151</v>
      </c>
      <c r="F41" s="262">
        <v>4002.8663999999999</v>
      </c>
      <c r="G41" s="261" t="s">
        <v>15</v>
      </c>
      <c r="H41" s="258" t="s">
        <v>16</v>
      </c>
      <c r="I41" s="261">
        <v>801</v>
      </c>
      <c r="J41" s="261" t="s">
        <v>129</v>
      </c>
      <c r="K41" s="261" t="s">
        <v>123</v>
      </c>
      <c r="L41" s="258" t="s">
        <v>140</v>
      </c>
      <c r="M41" s="258" t="s">
        <v>133</v>
      </c>
    </row>
    <row r="42" spans="1:13" x14ac:dyDescent="0.2">
      <c r="A42" s="258" t="s">
        <v>138</v>
      </c>
      <c r="B42" s="258" t="s">
        <v>139</v>
      </c>
      <c r="C42" s="258" t="s">
        <v>12</v>
      </c>
      <c r="D42" s="258" t="s">
        <v>13</v>
      </c>
      <c r="E42" s="259">
        <v>43144</v>
      </c>
      <c r="F42" s="260">
        <v>131.41172019999999</v>
      </c>
      <c r="G42" s="261" t="s">
        <v>14</v>
      </c>
      <c r="H42" s="258" t="s">
        <v>128</v>
      </c>
      <c r="I42" s="261">
        <v>801</v>
      </c>
      <c r="J42" s="261" t="s">
        <v>129</v>
      </c>
      <c r="K42" s="261" t="s">
        <v>123</v>
      </c>
      <c r="L42" s="258" t="s">
        <v>140</v>
      </c>
      <c r="M42" s="258" t="s">
        <v>128</v>
      </c>
    </row>
    <row r="43" spans="1:13" x14ac:dyDescent="0.2">
      <c r="A43" s="258" t="s">
        <v>138</v>
      </c>
      <c r="B43" s="258" t="s">
        <v>139</v>
      </c>
      <c r="C43" s="258" t="s">
        <v>12</v>
      </c>
      <c r="D43" s="258" t="s">
        <v>13</v>
      </c>
      <c r="E43" s="259">
        <v>43144</v>
      </c>
      <c r="F43" s="262">
        <v>11595.402239999999</v>
      </c>
      <c r="G43" s="261" t="s">
        <v>15</v>
      </c>
      <c r="H43" s="258" t="s">
        <v>128</v>
      </c>
      <c r="I43" s="261">
        <v>801</v>
      </c>
      <c r="J43" s="261" t="s">
        <v>129</v>
      </c>
      <c r="K43" s="261" t="s">
        <v>123</v>
      </c>
      <c r="L43" s="258" t="s">
        <v>140</v>
      </c>
      <c r="M43" s="258" t="s">
        <v>128</v>
      </c>
    </row>
    <row r="44" spans="1:13" x14ac:dyDescent="0.2">
      <c r="A44" s="258" t="s">
        <v>138</v>
      </c>
      <c r="B44" s="258" t="s">
        <v>139</v>
      </c>
      <c r="C44" s="258" t="s">
        <v>12</v>
      </c>
      <c r="D44" s="258" t="s">
        <v>141</v>
      </c>
      <c r="E44" s="259">
        <v>43144</v>
      </c>
      <c r="F44" s="260">
        <v>11.5</v>
      </c>
      <c r="G44" s="261" t="s">
        <v>14</v>
      </c>
      <c r="H44" s="258" t="s">
        <v>16</v>
      </c>
      <c r="I44" s="261">
        <v>801</v>
      </c>
      <c r="J44" s="261" t="s">
        <v>129</v>
      </c>
      <c r="K44" s="261" t="s">
        <v>123</v>
      </c>
      <c r="L44" s="258" t="s">
        <v>140</v>
      </c>
      <c r="M44" s="258" t="s">
        <v>133</v>
      </c>
    </row>
    <row r="45" spans="1:13" x14ac:dyDescent="0.2">
      <c r="A45" s="258" t="s">
        <v>138</v>
      </c>
      <c r="B45" s="258" t="s">
        <v>139</v>
      </c>
      <c r="C45" s="258" t="s">
        <v>12</v>
      </c>
      <c r="D45" s="258" t="s">
        <v>141</v>
      </c>
      <c r="E45" s="259">
        <v>43144</v>
      </c>
      <c r="F45" s="262">
        <v>984.99570000000006</v>
      </c>
      <c r="G45" s="261" t="s">
        <v>15</v>
      </c>
      <c r="H45" s="258" t="s">
        <v>16</v>
      </c>
      <c r="I45" s="261">
        <v>801</v>
      </c>
      <c r="J45" s="261" t="s">
        <v>129</v>
      </c>
      <c r="K45" s="261" t="s">
        <v>123</v>
      </c>
      <c r="L45" s="258" t="s">
        <v>140</v>
      </c>
      <c r="M45" s="258" t="s">
        <v>133</v>
      </c>
    </row>
    <row r="46" spans="1:13" x14ac:dyDescent="0.2">
      <c r="A46" s="258" t="s">
        <v>138</v>
      </c>
      <c r="B46" s="258" t="s">
        <v>139</v>
      </c>
      <c r="C46" s="258" t="s">
        <v>12</v>
      </c>
      <c r="D46" s="258" t="s">
        <v>13</v>
      </c>
      <c r="E46" s="259">
        <v>43137</v>
      </c>
      <c r="F46" s="260">
        <v>137.16195020000001</v>
      </c>
      <c r="G46" s="261" t="s">
        <v>14</v>
      </c>
      <c r="H46" s="258" t="s">
        <v>128</v>
      </c>
      <c r="I46" s="261">
        <v>801</v>
      </c>
      <c r="J46" s="261" t="s">
        <v>129</v>
      </c>
      <c r="K46" s="261" t="s">
        <v>123</v>
      </c>
      <c r="L46" s="258" t="s">
        <v>140</v>
      </c>
      <c r="M46" s="258" t="s">
        <v>128</v>
      </c>
    </row>
    <row r="47" spans="1:13" x14ac:dyDescent="0.2">
      <c r="A47" s="258" t="s">
        <v>138</v>
      </c>
      <c r="B47" s="258" t="s">
        <v>139</v>
      </c>
      <c r="C47" s="258" t="s">
        <v>12</v>
      </c>
      <c r="D47" s="258" t="s">
        <v>13</v>
      </c>
      <c r="E47" s="259">
        <v>43137</v>
      </c>
      <c r="F47" s="262">
        <v>11965.51476</v>
      </c>
      <c r="G47" s="261" t="s">
        <v>15</v>
      </c>
      <c r="H47" s="258" t="s">
        <v>128</v>
      </c>
      <c r="I47" s="261">
        <v>801</v>
      </c>
      <c r="J47" s="261" t="s">
        <v>129</v>
      </c>
      <c r="K47" s="261" t="s">
        <v>123</v>
      </c>
      <c r="L47" s="258" t="s">
        <v>140</v>
      </c>
      <c r="M47" s="258" t="s">
        <v>128</v>
      </c>
    </row>
    <row r="48" spans="1:13" x14ac:dyDescent="0.2">
      <c r="A48" s="258" t="s">
        <v>138</v>
      </c>
      <c r="B48" s="258" t="s">
        <v>139</v>
      </c>
      <c r="C48" s="258" t="s">
        <v>12</v>
      </c>
      <c r="D48" s="258" t="s">
        <v>141</v>
      </c>
      <c r="E48" s="259">
        <v>43137</v>
      </c>
      <c r="F48" s="260">
        <v>42.7</v>
      </c>
      <c r="G48" s="261" t="s">
        <v>14</v>
      </c>
      <c r="H48" s="258" t="s">
        <v>16</v>
      </c>
      <c r="I48" s="261">
        <v>801</v>
      </c>
      <c r="J48" s="261" t="s">
        <v>129</v>
      </c>
      <c r="K48" s="261" t="s">
        <v>123</v>
      </c>
      <c r="L48" s="258" t="s">
        <v>140</v>
      </c>
      <c r="M48" s="258" t="s">
        <v>133</v>
      </c>
    </row>
    <row r="49" spans="1:13" x14ac:dyDescent="0.2">
      <c r="A49" s="258" t="s">
        <v>138</v>
      </c>
      <c r="B49" s="258" t="s">
        <v>139</v>
      </c>
      <c r="C49" s="258" t="s">
        <v>12</v>
      </c>
      <c r="D49" s="258" t="s">
        <v>141</v>
      </c>
      <c r="E49" s="259">
        <v>43137</v>
      </c>
      <c r="F49" s="262">
        <v>3486.3952199999999</v>
      </c>
      <c r="G49" s="261" t="s">
        <v>15</v>
      </c>
      <c r="H49" s="258" t="s">
        <v>16</v>
      </c>
      <c r="I49" s="261">
        <v>801</v>
      </c>
      <c r="J49" s="261" t="s">
        <v>129</v>
      </c>
      <c r="K49" s="261" t="s">
        <v>123</v>
      </c>
      <c r="L49" s="258" t="s">
        <v>140</v>
      </c>
      <c r="M49" s="258" t="s">
        <v>133</v>
      </c>
    </row>
    <row r="50" spans="1:13" x14ac:dyDescent="0.2">
      <c r="A50" s="258" t="s">
        <v>138</v>
      </c>
      <c r="B50" s="258" t="s">
        <v>139</v>
      </c>
      <c r="C50" s="258" t="s">
        <v>12</v>
      </c>
      <c r="D50" s="258" t="s">
        <v>13</v>
      </c>
      <c r="E50" s="259">
        <v>43130</v>
      </c>
      <c r="F50" s="260">
        <v>98.8844773</v>
      </c>
      <c r="G50" s="261" t="s">
        <v>14</v>
      </c>
      <c r="H50" s="258" t="s">
        <v>128</v>
      </c>
      <c r="I50" s="261">
        <v>801</v>
      </c>
      <c r="J50" s="261" t="s">
        <v>129</v>
      </c>
      <c r="K50" s="261" t="s">
        <v>123</v>
      </c>
      <c r="L50" s="258" t="s">
        <v>140</v>
      </c>
      <c r="M50" s="258" t="s">
        <v>128</v>
      </c>
    </row>
    <row r="51" spans="1:13" x14ac:dyDescent="0.2">
      <c r="A51" s="258" t="s">
        <v>138</v>
      </c>
      <c r="B51" s="258" t="s">
        <v>139</v>
      </c>
      <c r="C51" s="258" t="s">
        <v>12</v>
      </c>
      <c r="D51" s="258" t="s">
        <v>13</v>
      </c>
      <c r="E51" s="259">
        <v>43130</v>
      </c>
      <c r="F51" s="262">
        <v>10020.062975999999</v>
      </c>
      <c r="G51" s="261" t="s">
        <v>15</v>
      </c>
      <c r="H51" s="258" t="s">
        <v>128</v>
      </c>
      <c r="I51" s="261">
        <v>801</v>
      </c>
      <c r="J51" s="261" t="s">
        <v>129</v>
      </c>
      <c r="K51" s="261" t="s">
        <v>123</v>
      </c>
      <c r="L51" s="258" t="s">
        <v>140</v>
      </c>
      <c r="M51" s="258" t="s">
        <v>128</v>
      </c>
    </row>
    <row r="52" spans="1:13" x14ac:dyDescent="0.2">
      <c r="A52" s="258" t="s">
        <v>138</v>
      </c>
      <c r="B52" s="258" t="s">
        <v>139</v>
      </c>
      <c r="C52" s="258" t="s">
        <v>12</v>
      </c>
      <c r="D52" s="258" t="s">
        <v>141</v>
      </c>
      <c r="E52" s="259">
        <v>43130</v>
      </c>
      <c r="F52" s="260">
        <v>38.4</v>
      </c>
      <c r="G52" s="261" t="s">
        <v>14</v>
      </c>
      <c r="H52" s="258" t="s">
        <v>16</v>
      </c>
      <c r="I52" s="261">
        <v>801</v>
      </c>
      <c r="J52" s="261" t="s">
        <v>129</v>
      </c>
      <c r="K52" s="261" t="s">
        <v>123</v>
      </c>
      <c r="L52" s="258" t="s">
        <v>140</v>
      </c>
      <c r="M52" s="258" t="s">
        <v>133</v>
      </c>
    </row>
    <row r="53" spans="1:13" x14ac:dyDescent="0.2">
      <c r="A53" s="258" t="s">
        <v>138</v>
      </c>
      <c r="B53" s="258" t="s">
        <v>139</v>
      </c>
      <c r="C53" s="258" t="s">
        <v>12</v>
      </c>
      <c r="D53" s="258" t="s">
        <v>141</v>
      </c>
      <c r="E53" s="259">
        <v>43130</v>
      </c>
      <c r="F53" s="262">
        <v>3654.1209600000002</v>
      </c>
      <c r="G53" s="261" t="s">
        <v>15</v>
      </c>
      <c r="H53" s="258" t="s">
        <v>16</v>
      </c>
      <c r="I53" s="261">
        <v>801</v>
      </c>
      <c r="J53" s="261" t="s">
        <v>129</v>
      </c>
      <c r="K53" s="261" t="s">
        <v>123</v>
      </c>
      <c r="L53" s="258" t="s">
        <v>140</v>
      </c>
      <c r="M53" s="258" t="s">
        <v>133</v>
      </c>
    </row>
    <row r="54" spans="1:13" x14ac:dyDescent="0.2">
      <c r="A54" s="258" t="s">
        <v>138</v>
      </c>
      <c r="B54" s="258" t="s">
        <v>139</v>
      </c>
      <c r="C54" s="258" t="s">
        <v>12</v>
      </c>
      <c r="D54" s="258" t="s">
        <v>13</v>
      </c>
      <c r="E54" s="259">
        <v>43123</v>
      </c>
      <c r="F54" s="260">
        <v>91.194425100000004</v>
      </c>
      <c r="G54" s="261" t="s">
        <v>14</v>
      </c>
      <c r="H54" s="258" t="s">
        <v>128</v>
      </c>
      <c r="I54" s="261">
        <v>801</v>
      </c>
      <c r="J54" s="261" t="s">
        <v>129</v>
      </c>
      <c r="K54" s="261" t="s">
        <v>123</v>
      </c>
      <c r="L54" s="258" t="s">
        <v>140</v>
      </c>
      <c r="M54" s="258" t="s">
        <v>128</v>
      </c>
    </row>
    <row r="55" spans="1:13" x14ac:dyDescent="0.2">
      <c r="A55" s="258" t="s">
        <v>138</v>
      </c>
      <c r="B55" s="258" t="s">
        <v>139</v>
      </c>
      <c r="C55" s="258" t="s">
        <v>12</v>
      </c>
      <c r="D55" s="258" t="s">
        <v>13</v>
      </c>
      <c r="E55" s="259">
        <v>43123</v>
      </c>
      <c r="F55" s="262">
        <v>10054.623102</v>
      </c>
      <c r="G55" s="261" t="s">
        <v>15</v>
      </c>
      <c r="H55" s="258" t="s">
        <v>128</v>
      </c>
      <c r="I55" s="261">
        <v>801</v>
      </c>
      <c r="J55" s="261" t="s">
        <v>129</v>
      </c>
      <c r="K55" s="261" t="s">
        <v>123</v>
      </c>
      <c r="L55" s="258" t="s">
        <v>140</v>
      </c>
      <c r="M55" s="258" t="s">
        <v>128</v>
      </c>
    </row>
    <row r="56" spans="1:13" x14ac:dyDescent="0.2">
      <c r="A56" s="258" t="s">
        <v>138</v>
      </c>
      <c r="B56" s="258" t="s">
        <v>139</v>
      </c>
      <c r="C56" s="258" t="s">
        <v>12</v>
      </c>
      <c r="D56" s="258" t="s">
        <v>141</v>
      </c>
      <c r="E56" s="259">
        <v>43123</v>
      </c>
      <c r="F56" s="260">
        <v>41.6</v>
      </c>
      <c r="G56" s="261" t="s">
        <v>14</v>
      </c>
      <c r="H56" s="258" t="s">
        <v>16</v>
      </c>
      <c r="I56" s="261">
        <v>801</v>
      </c>
      <c r="J56" s="261" t="s">
        <v>129</v>
      </c>
      <c r="K56" s="261" t="s">
        <v>123</v>
      </c>
      <c r="L56" s="258" t="s">
        <v>140</v>
      </c>
      <c r="M56" s="258" t="s">
        <v>133</v>
      </c>
    </row>
    <row r="57" spans="1:13" x14ac:dyDescent="0.2">
      <c r="A57" s="258" t="s">
        <v>138</v>
      </c>
      <c r="B57" s="258" t="s">
        <v>139</v>
      </c>
      <c r="C57" s="258" t="s">
        <v>12</v>
      </c>
      <c r="D57" s="258" t="s">
        <v>141</v>
      </c>
      <c r="E57" s="259">
        <v>43123</v>
      </c>
      <c r="F57" s="262">
        <v>4437.4137600000004</v>
      </c>
      <c r="G57" s="261" t="s">
        <v>15</v>
      </c>
      <c r="H57" s="258" t="s">
        <v>16</v>
      </c>
      <c r="I57" s="261">
        <v>801</v>
      </c>
      <c r="J57" s="261" t="s">
        <v>129</v>
      </c>
      <c r="K57" s="261" t="s">
        <v>123</v>
      </c>
      <c r="L57" s="258" t="s">
        <v>140</v>
      </c>
      <c r="M57" s="258" t="s">
        <v>133</v>
      </c>
    </row>
    <row r="58" spans="1:13" x14ac:dyDescent="0.2">
      <c r="A58" s="258" t="s">
        <v>138</v>
      </c>
      <c r="B58" s="258" t="s">
        <v>139</v>
      </c>
      <c r="C58" s="258" t="s">
        <v>12</v>
      </c>
      <c r="D58" s="258" t="s">
        <v>13</v>
      </c>
      <c r="E58" s="259">
        <v>43116</v>
      </c>
      <c r="F58" s="260">
        <v>90.036882000000006</v>
      </c>
      <c r="G58" s="261" t="s">
        <v>14</v>
      </c>
      <c r="H58" s="258" t="s">
        <v>128</v>
      </c>
      <c r="I58" s="261">
        <v>801</v>
      </c>
      <c r="J58" s="261" t="s">
        <v>129</v>
      </c>
      <c r="K58" s="261" t="s">
        <v>123</v>
      </c>
      <c r="L58" s="258" t="s">
        <v>140</v>
      </c>
      <c r="M58" s="258" t="s">
        <v>128</v>
      </c>
    </row>
    <row r="59" spans="1:13" x14ac:dyDescent="0.2">
      <c r="A59" s="258" t="s">
        <v>138</v>
      </c>
      <c r="B59" s="258" t="s">
        <v>139</v>
      </c>
      <c r="C59" s="258" t="s">
        <v>12</v>
      </c>
      <c r="D59" s="258" t="s">
        <v>13</v>
      </c>
      <c r="E59" s="259">
        <v>43116</v>
      </c>
      <c r="F59" s="262">
        <v>8019.6931260000001</v>
      </c>
      <c r="G59" s="261" t="s">
        <v>15</v>
      </c>
      <c r="H59" s="258" t="s">
        <v>128</v>
      </c>
      <c r="I59" s="261">
        <v>801</v>
      </c>
      <c r="J59" s="261" t="s">
        <v>129</v>
      </c>
      <c r="K59" s="261" t="s">
        <v>123</v>
      </c>
      <c r="L59" s="258" t="s">
        <v>140</v>
      </c>
      <c r="M59" s="258" t="s">
        <v>128</v>
      </c>
    </row>
    <row r="60" spans="1:13" x14ac:dyDescent="0.2">
      <c r="A60" s="258" t="s">
        <v>138</v>
      </c>
      <c r="B60" s="258" t="s">
        <v>139</v>
      </c>
      <c r="C60" s="258" t="s">
        <v>12</v>
      </c>
      <c r="D60" s="258" t="s">
        <v>141</v>
      </c>
      <c r="E60" s="259">
        <v>43116</v>
      </c>
      <c r="F60" s="260">
        <v>40</v>
      </c>
      <c r="G60" s="261" t="s">
        <v>14</v>
      </c>
      <c r="H60" s="258" t="s">
        <v>16</v>
      </c>
      <c r="I60" s="261">
        <v>801</v>
      </c>
      <c r="J60" s="261" t="s">
        <v>129</v>
      </c>
      <c r="K60" s="261" t="s">
        <v>123</v>
      </c>
      <c r="L60" s="258" t="s">
        <v>140</v>
      </c>
      <c r="M60" s="258" t="s">
        <v>133</v>
      </c>
    </row>
    <row r="61" spans="1:13" x14ac:dyDescent="0.2">
      <c r="A61" s="258" t="s">
        <v>138</v>
      </c>
      <c r="B61" s="258" t="s">
        <v>139</v>
      </c>
      <c r="C61" s="258" t="s">
        <v>12</v>
      </c>
      <c r="D61" s="258" t="s">
        <v>141</v>
      </c>
      <c r="E61" s="259">
        <v>43116</v>
      </c>
      <c r="F61" s="262">
        <v>3259.2719999999999</v>
      </c>
      <c r="G61" s="261" t="s">
        <v>15</v>
      </c>
      <c r="H61" s="258" t="s">
        <v>16</v>
      </c>
      <c r="I61" s="261">
        <v>801</v>
      </c>
      <c r="J61" s="261" t="s">
        <v>129</v>
      </c>
      <c r="K61" s="261" t="s">
        <v>123</v>
      </c>
      <c r="L61" s="258" t="s">
        <v>140</v>
      </c>
      <c r="M61" s="258" t="s">
        <v>133</v>
      </c>
    </row>
    <row r="62" spans="1:13" x14ac:dyDescent="0.2">
      <c r="A62" s="258" t="s">
        <v>138</v>
      </c>
      <c r="B62" s="258" t="s">
        <v>139</v>
      </c>
      <c r="C62" s="258" t="s">
        <v>12</v>
      </c>
      <c r="D62" s="258" t="s">
        <v>13</v>
      </c>
      <c r="E62" s="259">
        <v>43109</v>
      </c>
      <c r="F62" s="260">
        <v>111.127978</v>
      </c>
      <c r="G62" s="261" t="s">
        <v>14</v>
      </c>
      <c r="H62" s="258" t="s">
        <v>128</v>
      </c>
      <c r="I62" s="261">
        <v>801</v>
      </c>
      <c r="J62" s="261" t="s">
        <v>129</v>
      </c>
      <c r="K62" s="261" t="s">
        <v>123</v>
      </c>
      <c r="L62" s="258" t="s">
        <v>140</v>
      </c>
      <c r="M62" s="258" t="s">
        <v>128</v>
      </c>
    </row>
    <row r="63" spans="1:13" x14ac:dyDescent="0.2">
      <c r="A63" s="258" t="s">
        <v>138</v>
      </c>
      <c r="B63" s="258" t="s">
        <v>139</v>
      </c>
      <c r="C63" s="258" t="s">
        <v>12</v>
      </c>
      <c r="D63" s="258" t="s">
        <v>13</v>
      </c>
      <c r="E63" s="259">
        <v>43109</v>
      </c>
      <c r="F63" s="262">
        <v>10130.004192</v>
      </c>
      <c r="G63" s="261" t="s">
        <v>15</v>
      </c>
      <c r="H63" s="258" t="s">
        <v>128</v>
      </c>
      <c r="I63" s="261">
        <v>801</v>
      </c>
      <c r="J63" s="261" t="s">
        <v>129</v>
      </c>
      <c r="K63" s="261" t="s">
        <v>123</v>
      </c>
      <c r="L63" s="258" t="s">
        <v>140</v>
      </c>
      <c r="M63" s="258" t="s">
        <v>128</v>
      </c>
    </row>
    <row r="64" spans="1:13" x14ac:dyDescent="0.2">
      <c r="A64" s="258" t="s">
        <v>138</v>
      </c>
      <c r="B64" s="258" t="s">
        <v>139</v>
      </c>
      <c r="C64" s="258" t="s">
        <v>12</v>
      </c>
      <c r="D64" s="258" t="s">
        <v>141</v>
      </c>
      <c r="E64" s="259">
        <v>43109</v>
      </c>
      <c r="F64" s="260">
        <v>40.6</v>
      </c>
      <c r="G64" s="261" t="s">
        <v>14</v>
      </c>
      <c r="H64" s="258" t="s">
        <v>16</v>
      </c>
      <c r="I64" s="261">
        <v>801</v>
      </c>
      <c r="J64" s="261" t="s">
        <v>129</v>
      </c>
      <c r="K64" s="261" t="s">
        <v>123</v>
      </c>
      <c r="L64" s="258" t="s">
        <v>140</v>
      </c>
      <c r="M64" s="258" t="s">
        <v>133</v>
      </c>
    </row>
    <row r="65" spans="1:13" x14ac:dyDescent="0.2">
      <c r="A65" s="258" t="s">
        <v>138</v>
      </c>
      <c r="B65" s="258" t="s">
        <v>139</v>
      </c>
      <c r="C65" s="258" t="s">
        <v>12</v>
      </c>
      <c r="D65" s="258" t="s">
        <v>141</v>
      </c>
      <c r="E65" s="259">
        <v>43109</v>
      </c>
      <c r="F65" s="262">
        <v>3591.9112319999999</v>
      </c>
      <c r="G65" s="261" t="s">
        <v>15</v>
      </c>
      <c r="H65" s="258" t="s">
        <v>16</v>
      </c>
      <c r="I65" s="261">
        <v>801</v>
      </c>
      <c r="J65" s="261" t="s">
        <v>129</v>
      </c>
      <c r="K65" s="261" t="s">
        <v>123</v>
      </c>
      <c r="L65" s="258" t="s">
        <v>140</v>
      </c>
      <c r="M65" s="258" t="s">
        <v>133</v>
      </c>
    </row>
    <row r="66" spans="1:13" x14ac:dyDescent="0.2">
      <c r="A66" s="258" t="s">
        <v>138</v>
      </c>
      <c r="B66" s="258" t="s">
        <v>139</v>
      </c>
      <c r="C66" s="258" t="s">
        <v>12</v>
      </c>
      <c r="D66" s="258" t="s">
        <v>13</v>
      </c>
      <c r="E66" s="259">
        <v>43102</v>
      </c>
      <c r="F66" s="260">
        <v>79.701446899999993</v>
      </c>
      <c r="G66" s="261" t="s">
        <v>14</v>
      </c>
      <c r="H66" s="258" t="s">
        <v>128</v>
      </c>
      <c r="I66" s="261">
        <v>801</v>
      </c>
      <c r="J66" s="261" t="s">
        <v>129</v>
      </c>
      <c r="K66" s="261" t="s">
        <v>123</v>
      </c>
      <c r="L66" s="258" t="s">
        <v>140</v>
      </c>
      <c r="M66" s="258" t="s">
        <v>128</v>
      </c>
    </row>
    <row r="67" spans="1:13" x14ac:dyDescent="0.2">
      <c r="A67" s="258" t="s">
        <v>138</v>
      </c>
      <c r="B67" s="258" t="s">
        <v>139</v>
      </c>
      <c r="C67" s="258" t="s">
        <v>12</v>
      </c>
      <c r="D67" s="258" t="s">
        <v>13</v>
      </c>
      <c r="E67" s="259">
        <v>43102</v>
      </c>
      <c r="F67" s="262">
        <v>6706.9245840000003</v>
      </c>
      <c r="G67" s="261" t="s">
        <v>15</v>
      </c>
      <c r="H67" s="258" t="s">
        <v>128</v>
      </c>
      <c r="I67" s="261">
        <v>801</v>
      </c>
      <c r="J67" s="261" t="s">
        <v>129</v>
      </c>
      <c r="K67" s="261" t="s">
        <v>123</v>
      </c>
      <c r="L67" s="258" t="s">
        <v>140</v>
      </c>
      <c r="M67" s="258" t="s">
        <v>128</v>
      </c>
    </row>
    <row r="68" spans="1:13" x14ac:dyDescent="0.2">
      <c r="A68" s="258" t="s">
        <v>138</v>
      </c>
      <c r="B68" s="258" t="s">
        <v>139</v>
      </c>
      <c r="C68" s="258" t="s">
        <v>12</v>
      </c>
      <c r="D68" s="258" t="s">
        <v>141</v>
      </c>
      <c r="E68" s="259">
        <v>43102</v>
      </c>
      <c r="F68" s="260">
        <v>53.4</v>
      </c>
      <c r="G68" s="261" t="s">
        <v>14</v>
      </c>
      <c r="H68" s="258" t="s">
        <v>16</v>
      </c>
      <c r="I68" s="261">
        <v>801</v>
      </c>
      <c r="J68" s="261" t="s">
        <v>129</v>
      </c>
      <c r="K68" s="261" t="s">
        <v>123</v>
      </c>
      <c r="L68" s="258" t="s">
        <v>140</v>
      </c>
      <c r="M68" s="258" t="s">
        <v>133</v>
      </c>
    </row>
    <row r="69" spans="1:13" x14ac:dyDescent="0.2">
      <c r="A69" s="258" t="s">
        <v>138</v>
      </c>
      <c r="B69" s="258" t="s">
        <v>139</v>
      </c>
      <c r="C69" s="258" t="s">
        <v>12</v>
      </c>
      <c r="D69" s="258" t="s">
        <v>141</v>
      </c>
      <c r="E69" s="259">
        <v>43102</v>
      </c>
      <c r="F69" s="262">
        <v>4368.94236</v>
      </c>
      <c r="G69" s="261" t="s">
        <v>15</v>
      </c>
      <c r="H69" s="258" t="s">
        <v>16</v>
      </c>
      <c r="I69" s="261">
        <v>801</v>
      </c>
      <c r="J69" s="261" t="s">
        <v>129</v>
      </c>
      <c r="K69" s="261" t="s">
        <v>123</v>
      </c>
      <c r="L69" s="258" t="s">
        <v>140</v>
      </c>
      <c r="M69" s="258" t="s">
        <v>133</v>
      </c>
    </row>
    <row r="70" spans="1:13" x14ac:dyDescent="0.2">
      <c r="A70" s="258" t="s">
        <v>138</v>
      </c>
      <c r="B70" s="258" t="s">
        <v>139</v>
      </c>
      <c r="C70" s="258" t="s">
        <v>12</v>
      </c>
      <c r="D70" s="258" t="s">
        <v>13</v>
      </c>
      <c r="E70" s="259">
        <v>43095</v>
      </c>
      <c r="F70" s="260">
        <v>76.572340800000006</v>
      </c>
      <c r="G70" s="261" t="s">
        <v>14</v>
      </c>
      <c r="H70" s="258" t="s">
        <v>128</v>
      </c>
      <c r="I70" s="261">
        <v>801</v>
      </c>
      <c r="J70" s="261" t="s">
        <v>129</v>
      </c>
      <c r="K70" s="261" t="s">
        <v>123</v>
      </c>
      <c r="L70" s="258" t="s">
        <v>140</v>
      </c>
      <c r="M70" s="258" t="s">
        <v>128</v>
      </c>
    </row>
    <row r="71" spans="1:13" x14ac:dyDescent="0.2">
      <c r="A71" s="258" t="s">
        <v>138</v>
      </c>
      <c r="B71" s="258" t="s">
        <v>139</v>
      </c>
      <c r="C71" s="258" t="s">
        <v>12</v>
      </c>
      <c r="D71" s="258" t="s">
        <v>13</v>
      </c>
      <c r="E71" s="259">
        <v>43095</v>
      </c>
      <c r="F71" s="262">
        <v>5106.9907433999997</v>
      </c>
      <c r="G71" s="261" t="s">
        <v>15</v>
      </c>
      <c r="H71" s="258" t="s">
        <v>128</v>
      </c>
      <c r="I71" s="261">
        <v>801</v>
      </c>
      <c r="J71" s="261" t="s">
        <v>129</v>
      </c>
      <c r="K71" s="261" t="s">
        <v>123</v>
      </c>
      <c r="L71" s="258" t="s">
        <v>140</v>
      </c>
      <c r="M71" s="258" t="s">
        <v>128</v>
      </c>
    </row>
    <row r="72" spans="1:13" x14ac:dyDescent="0.2">
      <c r="A72" s="258" t="s">
        <v>138</v>
      </c>
      <c r="B72" s="258" t="s">
        <v>139</v>
      </c>
      <c r="C72" s="258" t="s">
        <v>12</v>
      </c>
      <c r="D72" s="258" t="s">
        <v>141</v>
      </c>
      <c r="E72" s="259">
        <v>43095</v>
      </c>
      <c r="F72" s="260">
        <v>59.4</v>
      </c>
      <c r="G72" s="261" t="s">
        <v>14</v>
      </c>
      <c r="H72" s="258" t="s">
        <v>16</v>
      </c>
      <c r="I72" s="261">
        <v>801</v>
      </c>
      <c r="J72" s="261" t="s">
        <v>129</v>
      </c>
      <c r="K72" s="261" t="s">
        <v>123</v>
      </c>
      <c r="L72" s="258" t="s">
        <v>140</v>
      </c>
      <c r="M72" s="258" t="s">
        <v>133</v>
      </c>
    </row>
    <row r="73" spans="1:13" x14ac:dyDescent="0.2">
      <c r="A73" s="258" t="s">
        <v>138</v>
      </c>
      <c r="B73" s="258" t="s">
        <v>139</v>
      </c>
      <c r="C73" s="258" t="s">
        <v>12</v>
      </c>
      <c r="D73" s="258" t="s">
        <v>141</v>
      </c>
      <c r="E73" s="259">
        <v>43095</v>
      </c>
      <c r="F73" s="262">
        <v>3680.7922800000001</v>
      </c>
      <c r="G73" s="261" t="s">
        <v>15</v>
      </c>
      <c r="H73" s="258" t="s">
        <v>16</v>
      </c>
      <c r="I73" s="261">
        <v>801</v>
      </c>
      <c r="J73" s="261" t="s">
        <v>129</v>
      </c>
      <c r="K73" s="261" t="s">
        <v>123</v>
      </c>
      <c r="L73" s="258" t="s">
        <v>140</v>
      </c>
      <c r="M73" s="258" t="s">
        <v>133</v>
      </c>
    </row>
    <row r="74" spans="1:13" x14ac:dyDescent="0.2">
      <c r="A74" s="258" t="s">
        <v>138</v>
      </c>
      <c r="B74" s="258" t="s">
        <v>139</v>
      </c>
      <c r="C74" s="258" t="s">
        <v>12</v>
      </c>
      <c r="D74" s="258" t="s">
        <v>13</v>
      </c>
      <c r="E74" s="259">
        <v>43087</v>
      </c>
      <c r="F74" s="260">
        <v>101.6121687</v>
      </c>
      <c r="G74" s="261" t="s">
        <v>14</v>
      </c>
      <c r="H74" s="258" t="s">
        <v>128</v>
      </c>
      <c r="I74" s="261">
        <v>801</v>
      </c>
      <c r="J74" s="261" t="s">
        <v>129</v>
      </c>
      <c r="K74" s="261" t="s">
        <v>123</v>
      </c>
      <c r="L74" s="258" t="s">
        <v>140</v>
      </c>
      <c r="M74" s="258" t="s">
        <v>128</v>
      </c>
    </row>
    <row r="75" spans="1:13" x14ac:dyDescent="0.2">
      <c r="A75" s="258" t="s">
        <v>138</v>
      </c>
      <c r="B75" s="258" t="s">
        <v>139</v>
      </c>
      <c r="C75" s="258" t="s">
        <v>12</v>
      </c>
      <c r="D75" s="258" t="s">
        <v>13</v>
      </c>
      <c r="E75" s="259">
        <v>43087</v>
      </c>
      <c r="F75" s="262">
        <v>8635.4695200000006</v>
      </c>
      <c r="G75" s="261" t="s">
        <v>15</v>
      </c>
      <c r="H75" s="258" t="s">
        <v>128</v>
      </c>
      <c r="I75" s="261">
        <v>801</v>
      </c>
      <c r="J75" s="261" t="s">
        <v>129</v>
      </c>
      <c r="K75" s="261" t="s">
        <v>123</v>
      </c>
      <c r="L75" s="258" t="s">
        <v>140</v>
      </c>
      <c r="M75" s="258" t="s">
        <v>128</v>
      </c>
    </row>
    <row r="76" spans="1:13" x14ac:dyDescent="0.2">
      <c r="A76" s="258" t="s">
        <v>138</v>
      </c>
      <c r="B76" s="258" t="s">
        <v>139</v>
      </c>
      <c r="C76" s="258" t="s">
        <v>12</v>
      </c>
      <c r="D76" s="258" t="s">
        <v>141</v>
      </c>
      <c r="E76" s="259">
        <v>43087</v>
      </c>
      <c r="F76" s="260">
        <v>45.7</v>
      </c>
      <c r="G76" s="261" t="s">
        <v>14</v>
      </c>
      <c r="H76" s="258" t="s">
        <v>16</v>
      </c>
      <c r="I76" s="261">
        <v>801</v>
      </c>
      <c r="J76" s="261" t="s">
        <v>129</v>
      </c>
      <c r="K76" s="261" t="s">
        <v>123</v>
      </c>
      <c r="L76" s="258" t="s">
        <v>140</v>
      </c>
      <c r="M76" s="258" t="s">
        <v>133</v>
      </c>
    </row>
    <row r="77" spans="1:13" x14ac:dyDescent="0.2">
      <c r="A77" s="258" t="s">
        <v>138</v>
      </c>
      <c r="B77" s="258" t="s">
        <v>139</v>
      </c>
      <c r="C77" s="258" t="s">
        <v>12</v>
      </c>
      <c r="D77" s="258" t="s">
        <v>141</v>
      </c>
      <c r="E77" s="259">
        <v>43087</v>
      </c>
      <c r="F77" s="262">
        <v>3708.4727400000002</v>
      </c>
      <c r="G77" s="261" t="s">
        <v>15</v>
      </c>
      <c r="H77" s="258" t="s">
        <v>16</v>
      </c>
      <c r="I77" s="261">
        <v>801</v>
      </c>
      <c r="J77" s="261" t="s">
        <v>129</v>
      </c>
      <c r="K77" s="261" t="s">
        <v>123</v>
      </c>
      <c r="L77" s="258" t="s">
        <v>140</v>
      </c>
      <c r="M77" s="258" t="s">
        <v>133</v>
      </c>
    </row>
    <row r="78" spans="1:13" x14ac:dyDescent="0.2">
      <c r="A78" s="258" t="s">
        <v>138</v>
      </c>
      <c r="B78" s="258" t="s">
        <v>139</v>
      </c>
      <c r="C78" s="258" t="s">
        <v>12</v>
      </c>
      <c r="D78" s="258" t="s">
        <v>13</v>
      </c>
      <c r="E78" s="259">
        <v>43081</v>
      </c>
      <c r="F78" s="260">
        <v>103.42223850000001</v>
      </c>
      <c r="G78" s="261" t="s">
        <v>14</v>
      </c>
      <c r="H78" s="258" t="s">
        <v>128</v>
      </c>
      <c r="I78" s="261">
        <v>801</v>
      </c>
      <c r="J78" s="261" t="s">
        <v>129</v>
      </c>
      <c r="K78" s="261" t="s">
        <v>123</v>
      </c>
      <c r="L78" s="258" t="s">
        <v>140</v>
      </c>
      <c r="M78" s="258" t="s">
        <v>128</v>
      </c>
    </row>
    <row r="79" spans="1:13" x14ac:dyDescent="0.2">
      <c r="A79" s="258" t="s">
        <v>138</v>
      </c>
      <c r="B79" s="258" t="s">
        <v>139</v>
      </c>
      <c r="C79" s="258" t="s">
        <v>12</v>
      </c>
      <c r="D79" s="258" t="s">
        <v>13</v>
      </c>
      <c r="E79" s="259">
        <v>43081</v>
      </c>
      <c r="F79" s="262">
        <v>9401.7020159999993</v>
      </c>
      <c r="G79" s="261" t="s">
        <v>15</v>
      </c>
      <c r="H79" s="258" t="s">
        <v>128</v>
      </c>
      <c r="I79" s="261">
        <v>801</v>
      </c>
      <c r="J79" s="261" t="s">
        <v>129</v>
      </c>
      <c r="K79" s="261" t="s">
        <v>123</v>
      </c>
      <c r="L79" s="258" t="s">
        <v>140</v>
      </c>
      <c r="M79" s="258" t="s">
        <v>128</v>
      </c>
    </row>
    <row r="80" spans="1:13" x14ac:dyDescent="0.2">
      <c r="A80" s="258" t="s">
        <v>138</v>
      </c>
      <c r="B80" s="258" t="s">
        <v>139</v>
      </c>
      <c r="C80" s="258" t="s">
        <v>12</v>
      </c>
      <c r="D80" s="258" t="s">
        <v>141</v>
      </c>
      <c r="E80" s="259">
        <v>43081</v>
      </c>
      <c r="F80" s="260">
        <v>49.2</v>
      </c>
      <c r="G80" s="261" t="s">
        <v>14</v>
      </c>
      <c r="H80" s="258" t="s">
        <v>16</v>
      </c>
      <c r="I80" s="261">
        <v>801</v>
      </c>
      <c r="J80" s="261" t="s">
        <v>129</v>
      </c>
      <c r="K80" s="261" t="s">
        <v>123</v>
      </c>
      <c r="L80" s="258" t="s">
        <v>140</v>
      </c>
      <c r="M80" s="258" t="s">
        <v>133</v>
      </c>
    </row>
    <row r="81" spans="1:13" x14ac:dyDescent="0.2">
      <c r="A81" s="258" t="s">
        <v>138</v>
      </c>
      <c r="B81" s="258" t="s">
        <v>139</v>
      </c>
      <c r="C81" s="258" t="s">
        <v>12</v>
      </c>
      <c r="D81" s="258" t="s">
        <v>141</v>
      </c>
      <c r="E81" s="259">
        <v>43081</v>
      </c>
      <c r="F81" s="262">
        <v>4324.8571199999997</v>
      </c>
      <c r="G81" s="261" t="s">
        <v>15</v>
      </c>
      <c r="H81" s="258" t="s">
        <v>16</v>
      </c>
      <c r="I81" s="261">
        <v>801</v>
      </c>
      <c r="J81" s="261" t="s">
        <v>129</v>
      </c>
      <c r="K81" s="261" t="s">
        <v>123</v>
      </c>
      <c r="L81" s="258" t="s">
        <v>140</v>
      </c>
      <c r="M81" s="258" t="s">
        <v>133</v>
      </c>
    </row>
    <row r="82" spans="1:13" x14ac:dyDescent="0.2">
      <c r="A82" s="258" t="s">
        <v>138</v>
      </c>
      <c r="B82" s="258" t="s">
        <v>139</v>
      </c>
      <c r="C82" s="258" t="s">
        <v>12</v>
      </c>
      <c r="D82" s="258" t="s">
        <v>13</v>
      </c>
      <c r="E82" s="259">
        <v>43074</v>
      </c>
      <c r="F82" s="260">
        <v>104.4026408</v>
      </c>
      <c r="G82" s="261" t="s">
        <v>14</v>
      </c>
      <c r="H82" s="258" t="s">
        <v>128</v>
      </c>
      <c r="I82" s="261">
        <v>801</v>
      </c>
      <c r="J82" s="261" t="s">
        <v>129</v>
      </c>
      <c r="K82" s="261" t="s">
        <v>123</v>
      </c>
      <c r="L82" s="258" t="s">
        <v>140</v>
      </c>
      <c r="M82" s="258" t="s">
        <v>128</v>
      </c>
    </row>
    <row r="83" spans="1:13" x14ac:dyDescent="0.2">
      <c r="A83" s="258" t="s">
        <v>138</v>
      </c>
      <c r="B83" s="258" t="s">
        <v>139</v>
      </c>
      <c r="C83" s="258" t="s">
        <v>12</v>
      </c>
      <c r="D83" s="258" t="s">
        <v>13</v>
      </c>
      <c r="E83" s="259">
        <v>43074</v>
      </c>
      <c r="F83" s="262">
        <v>9891.3567600000006</v>
      </c>
      <c r="G83" s="261" t="s">
        <v>15</v>
      </c>
      <c r="H83" s="258" t="s">
        <v>128</v>
      </c>
      <c r="I83" s="261">
        <v>801</v>
      </c>
      <c r="J83" s="261" t="s">
        <v>129</v>
      </c>
      <c r="K83" s="261" t="s">
        <v>123</v>
      </c>
      <c r="L83" s="258" t="s">
        <v>140</v>
      </c>
      <c r="M83" s="258" t="s">
        <v>128</v>
      </c>
    </row>
    <row r="84" spans="1:13" x14ac:dyDescent="0.2">
      <c r="A84" s="258" t="s">
        <v>138</v>
      </c>
      <c r="B84" s="258" t="s">
        <v>139</v>
      </c>
      <c r="C84" s="258" t="s">
        <v>12</v>
      </c>
      <c r="D84" s="258" t="s">
        <v>141</v>
      </c>
      <c r="E84" s="259">
        <v>43074</v>
      </c>
      <c r="F84" s="260">
        <v>54.1</v>
      </c>
      <c r="G84" s="261" t="s">
        <v>14</v>
      </c>
      <c r="H84" s="258" t="s">
        <v>16</v>
      </c>
      <c r="I84" s="261">
        <v>801</v>
      </c>
      <c r="J84" s="261" t="s">
        <v>129</v>
      </c>
      <c r="K84" s="261" t="s">
        <v>123</v>
      </c>
      <c r="L84" s="258" t="s">
        <v>140</v>
      </c>
      <c r="M84" s="258" t="s">
        <v>133</v>
      </c>
    </row>
    <row r="85" spans="1:13" x14ac:dyDescent="0.2">
      <c r="A85" s="258" t="s">
        <v>138</v>
      </c>
      <c r="B85" s="258" t="s">
        <v>139</v>
      </c>
      <c r="C85" s="258" t="s">
        <v>12</v>
      </c>
      <c r="D85" s="258" t="s">
        <v>141</v>
      </c>
      <c r="E85" s="259">
        <v>43074</v>
      </c>
      <c r="F85" s="262">
        <v>4805.2160999999996</v>
      </c>
      <c r="G85" s="261" t="s">
        <v>15</v>
      </c>
      <c r="H85" s="258" t="s">
        <v>16</v>
      </c>
      <c r="I85" s="261">
        <v>801</v>
      </c>
      <c r="J85" s="261" t="s">
        <v>129</v>
      </c>
      <c r="K85" s="261" t="s">
        <v>123</v>
      </c>
      <c r="L85" s="258" t="s">
        <v>140</v>
      </c>
      <c r="M85" s="258" t="s">
        <v>133</v>
      </c>
    </row>
    <row r="86" spans="1:13" x14ac:dyDescent="0.2">
      <c r="A86" s="258" t="s">
        <v>138</v>
      </c>
      <c r="B86" s="258" t="s">
        <v>139</v>
      </c>
      <c r="C86" s="258" t="s">
        <v>12</v>
      </c>
      <c r="D86" s="258" t="s">
        <v>13</v>
      </c>
      <c r="E86" s="259">
        <v>43067</v>
      </c>
      <c r="F86" s="260">
        <v>111.335809</v>
      </c>
      <c r="G86" s="261" t="s">
        <v>14</v>
      </c>
      <c r="H86" s="258" t="s">
        <v>128</v>
      </c>
      <c r="I86" s="261">
        <v>801</v>
      </c>
      <c r="J86" s="261" t="s">
        <v>129</v>
      </c>
      <c r="K86" s="261" t="s">
        <v>123</v>
      </c>
      <c r="L86" s="258" t="s">
        <v>140</v>
      </c>
      <c r="M86" s="258" t="s">
        <v>128</v>
      </c>
    </row>
    <row r="87" spans="1:13" x14ac:dyDescent="0.2">
      <c r="A87" s="258" t="s">
        <v>138</v>
      </c>
      <c r="B87" s="258" t="s">
        <v>139</v>
      </c>
      <c r="C87" s="258" t="s">
        <v>12</v>
      </c>
      <c r="D87" s="258" t="s">
        <v>13</v>
      </c>
      <c r="E87" s="259">
        <v>43067</v>
      </c>
      <c r="F87" s="262">
        <v>10501.79472</v>
      </c>
      <c r="G87" s="261" t="s">
        <v>15</v>
      </c>
      <c r="H87" s="258" t="s">
        <v>128</v>
      </c>
      <c r="I87" s="261">
        <v>801</v>
      </c>
      <c r="J87" s="261" t="s">
        <v>129</v>
      </c>
      <c r="K87" s="261" t="s">
        <v>123</v>
      </c>
      <c r="L87" s="258" t="s">
        <v>140</v>
      </c>
      <c r="M87" s="258" t="s">
        <v>128</v>
      </c>
    </row>
    <row r="88" spans="1:13" x14ac:dyDescent="0.2">
      <c r="A88" s="258" t="s">
        <v>138</v>
      </c>
      <c r="B88" s="258" t="s">
        <v>139</v>
      </c>
      <c r="C88" s="258" t="s">
        <v>12</v>
      </c>
      <c r="D88" s="258" t="s">
        <v>141</v>
      </c>
      <c r="E88" s="259">
        <v>43067</v>
      </c>
      <c r="F88" s="260">
        <v>49.7</v>
      </c>
      <c r="G88" s="261" t="s">
        <v>14</v>
      </c>
      <c r="H88" s="258" t="s">
        <v>16</v>
      </c>
      <c r="I88" s="261">
        <v>801</v>
      </c>
      <c r="J88" s="261" t="s">
        <v>129</v>
      </c>
      <c r="K88" s="261" t="s">
        <v>123</v>
      </c>
      <c r="L88" s="258" t="s">
        <v>140</v>
      </c>
      <c r="M88" s="258" t="s">
        <v>133</v>
      </c>
    </row>
    <row r="89" spans="1:13" x14ac:dyDescent="0.2">
      <c r="A89" s="258" t="s">
        <v>138</v>
      </c>
      <c r="B89" s="258" t="s">
        <v>139</v>
      </c>
      <c r="C89" s="258" t="s">
        <v>12</v>
      </c>
      <c r="D89" s="258" t="s">
        <v>141</v>
      </c>
      <c r="E89" s="259">
        <v>43067</v>
      </c>
      <c r="F89" s="262">
        <v>4406.1137399999998</v>
      </c>
      <c r="G89" s="261" t="s">
        <v>15</v>
      </c>
      <c r="H89" s="258" t="s">
        <v>16</v>
      </c>
      <c r="I89" s="261">
        <v>801</v>
      </c>
      <c r="J89" s="261" t="s">
        <v>129</v>
      </c>
      <c r="K89" s="261" t="s">
        <v>123</v>
      </c>
      <c r="L89" s="258" t="s">
        <v>140</v>
      </c>
      <c r="M89" s="258" t="s">
        <v>133</v>
      </c>
    </row>
    <row r="90" spans="1:13" x14ac:dyDescent="0.2">
      <c r="A90" s="258" t="s">
        <v>138</v>
      </c>
      <c r="B90" s="258" t="s">
        <v>139</v>
      </c>
      <c r="C90" s="258" t="s">
        <v>12</v>
      </c>
      <c r="D90" s="258" t="s">
        <v>13</v>
      </c>
      <c r="E90" s="259">
        <v>43060</v>
      </c>
      <c r="F90" s="260">
        <v>61.736463499999999</v>
      </c>
      <c r="G90" s="261" t="s">
        <v>14</v>
      </c>
      <c r="H90" s="258" t="s">
        <v>128</v>
      </c>
      <c r="I90" s="261">
        <v>801</v>
      </c>
      <c r="J90" s="261" t="s">
        <v>129</v>
      </c>
      <c r="K90" s="261" t="s">
        <v>123</v>
      </c>
      <c r="L90" s="258" t="s">
        <v>140</v>
      </c>
      <c r="M90" s="258" t="s">
        <v>128</v>
      </c>
    </row>
    <row r="91" spans="1:13" x14ac:dyDescent="0.2">
      <c r="A91" s="258" t="s">
        <v>138</v>
      </c>
      <c r="B91" s="258" t="s">
        <v>139</v>
      </c>
      <c r="C91" s="258" t="s">
        <v>12</v>
      </c>
      <c r="D91" s="258" t="s">
        <v>13</v>
      </c>
      <c r="E91" s="259">
        <v>43060</v>
      </c>
      <c r="F91" s="262">
        <v>5998.3765320000002</v>
      </c>
      <c r="G91" s="261" t="s">
        <v>15</v>
      </c>
      <c r="H91" s="258" t="s">
        <v>128</v>
      </c>
      <c r="I91" s="261">
        <v>801</v>
      </c>
      <c r="J91" s="261" t="s">
        <v>129</v>
      </c>
      <c r="K91" s="261" t="s">
        <v>123</v>
      </c>
      <c r="L91" s="258" t="s">
        <v>140</v>
      </c>
      <c r="M91" s="258" t="s">
        <v>128</v>
      </c>
    </row>
    <row r="92" spans="1:13" x14ac:dyDescent="0.2">
      <c r="A92" s="258" t="s">
        <v>138</v>
      </c>
      <c r="B92" s="258" t="s">
        <v>139</v>
      </c>
      <c r="C92" s="258" t="s">
        <v>12</v>
      </c>
      <c r="D92" s="258" t="s">
        <v>141</v>
      </c>
      <c r="E92" s="259">
        <v>43060</v>
      </c>
      <c r="F92" s="260">
        <v>46.5</v>
      </c>
      <c r="G92" s="261" t="s">
        <v>14</v>
      </c>
      <c r="H92" s="258" t="s">
        <v>16</v>
      </c>
      <c r="I92" s="261">
        <v>801</v>
      </c>
      <c r="J92" s="261" t="s">
        <v>129</v>
      </c>
      <c r="K92" s="261" t="s">
        <v>123</v>
      </c>
      <c r="L92" s="258" t="s">
        <v>140</v>
      </c>
      <c r="M92" s="258" t="s">
        <v>133</v>
      </c>
    </row>
    <row r="93" spans="1:13" x14ac:dyDescent="0.2">
      <c r="A93" s="258" t="s">
        <v>138</v>
      </c>
      <c r="B93" s="258" t="s">
        <v>139</v>
      </c>
      <c r="C93" s="258" t="s">
        <v>12</v>
      </c>
      <c r="D93" s="258" t="s">
        <v>141</v>
      </c>
      <c r="E93" s="259">
        <v>43060</v>
      </c>
      <c r="F93" s="262">
        <v>4172.8356000000003</v>
      </c>
      <c r="G93" s="261" t="s">
        <v>15</v>
      </c>
      <c r="H93" s="258" t="s">
        <v>16</v>
      </c>
      <c r="I93" s="261">
        <v>801</v>
      </c>
      <c r="J93" s="261" t="s">
        <v>129</v>
      </c>
      <c r="K93" s="261" t="s">
        <v>123</v>
      </c>
      <c r="L93" s="258" t="s">
        <v>140</v>
      </c>
      <c r="M93" s="258" t="s">
        <v>133</v>
      </c>
    </row>
    <row r="94" spans="1:13" x14ac:dyDescent="0.2">
      <c r="A94" s="258" t="s">
        <v>138</v>
      </c>
      <c r="B94" s="258" t="s">
        <v>139</v>
      </c>
      <c r="C94" s="258" t="s">
        <v>12</v>
      </c>
      <c r="D94" s="258" t="s">
        <v>13</v>
      </c>
      <c r="E94" s="259">
        <v>43053</v>
      </c>
      <c r="F94" s="260">
        <v>92.490694000000005</v>
      </c>
      <c r="G94" s="261" t="s">
        <v>14</v>
      </c>
      <c r="H94" s="258" t="s">
        <v>128</v>
      </c>
      <c r="I94" s="261">
        <v>801</v>
      </c>
      <c r="J94" s="261" t="s">
        <v>129</v>
      </c>
      <c r="K94" s="261" t="s">
        <v>123</v>
      </c>
      <c r="L94" s="258" t="s">
        <v>140</v>
      </c>
      <c r="M94" s="258" t="s">
        <v>128</v>
      </c>
    </row>
    <row r="95" spans="1:13" x14ac:dyDescent="0.2">
      <c r="A95" s="258" t="s">
        <v>138</v>
      </c>
      <c r="B95" s="258" t="s">
        <v>139</v>
      </c>
      <c r="C95" s="258" t="s">
        <v>12</v>
      </c>
      <c r="D95" s="258" t="s">
        <v>13</v>
      </c>
      <c r="E95" s="259">
        <v>43053</v>
      </c>
      <c r="F95" s="262">
        <v>9001.9157759999998</v>
      </c>
      <c r="G95" s="261" t="s">
        <v>15</v>
      </c>
      <c r="H95" s="258" t="s">
        <v>128</v>
      </c>
      <c r="I95" s="261">
        <v>801</v>
      </c>
      <c r="J95" s="261" t="s">
        <v>129</v>
      </c>
      <c r="K95" s="261" t="s">
        <v>123</v>
      </c>
      <c r="L95" s="258" t="s">
        <v>140</v>
      </c>
      <c r="M95" s="258" t="s">
        <v>128</v>
      </c>
    </row>
    <row r="96" spans="1:13" x14ac:dyDescent="0.2">
      <c r="A96" s="258" t="s">
        <v>138</v>
      </c>
      <c r="B96" s="258" t="s">
        <v>139</v>
      </c>
      <c r="C96" s="258" t="s">
        <v>12</v>
      </c>
      <c r="D96" s="258" t="s">
        <v>141</v>
      </c>
      <c r="E96" s="259">
        <v>43053</v>
      </c>
      <c r="F96" s="260">
        <v>44.2</v>
      </c>
      <c r="G96" s="261" t="s">
        <v>14</v>
      </c>
      <c r="H96" s="258" t="s">
        <v>16</v>
      </c>
      <c r="I96" s="261">
        <v>801</v>
      </c>
      <c r="J96" s="261" t="s">
        <v>129</v>
      </c>
      <c r="K96" s="261" t="s">
        <v>123</v>
      </c>
      <c r="L96" s="258" t="s">
        <v>140</v>
      </c>
      <c r="M96" s="258" t="s">
        <v>133</v>
      </c>
    </row>
    <row r="97" spans="1:13" x14ac:dyDescent="0.2">
      <c r="A97" s="258" t="s">
        <v>138</v>
      </c>
      <c r="B97" s="258" t="s">
        <v>139</v>
      </c>
      <c r="C97" s="258" t="s">
        <v>12</v>
      </c>
      <c r="D97" s="258" t="s">
        <v>141</v>
      </c>
      <c r="E97" s="259">
        <v>43053</v>
      </c>
      <c r="F97" s="262">
        <v>4047.5354400000001</v>
      </c>
      <c r="G97" s="261" t="s">
        <v>15</v>
      </c>
      <c r="H97" s="258" t="s">
        <v>16</v>
      </c>
      <c r="I97" s="261">
        <v>801</v>
      </c>
      <c r="J97" s="261" t="s">
        <v>129</v>
      </c>
      <c r="K97" s="261" t="s">
        <v>123</v>
      </c>
      <c r="L97" s="258" t="s">
        <v>140</v>
      </c>
      <c r="M97" s="258" t="s">
        <v>133</v>
      </c>
    </row>
    <row r="98" spans="1:13" x14ac:dyDescent="0.2">
      <c r="A98" s="258" t="s">
        <v>138</v>
      </c>
      <c r="B98" s="258" t="s">
        <v>139</v>
      </c>
      <c r="C98" s="258" t="s">
        <v>12</v>
      </c>
      <c r="D98" s="258" t="s">
        <v>13</v>
      </c>
      <c r="E98" s="259">
        <v>43045</v>
      </c>
      <c r="F98" s="260">
        <v>95.896432399999995</v>
      </c>
      <c r="G98" s="261" t="s">
        <v>14</v>
      </c>
      <c r="H98" s="258" t="s">
        <v>128</v>
      </c>
      <c r="I98" s="261">
        <v>801</v>
      </c>
      <c r="J98" s="261" t="s">
        <v>129</v>
      </c>
      <c r="K98" s="261" t="s">
        <v>123</v>
      </c>
      <c r="L98" s="258" t="s">
        <v>140</v>
      </c>
      <c r="M98" s="258" t="s">
        <v>128</v>
      </c>
    </row>
    <row r="99" spans="1:13" x14ac:dyDescent="0.2">
      <c r="A99" s="258" t="s">
        <v>138</v>
      </c>
      <c r="B99" s="258" t="s">
        <v>139</v>
      </c>
      <c r="C99" s="258" t="s">
        <v>12</v>
      </c>
      <c r="D99" s="258" t="s">
        <v>13</v>
      </c>
      <c r="E99" s="259">
        <v>43045</v>
      </c>
      <c r="F99" s="262">
        <v>8877.5163360000006</v>
      </c>
      <c r="G99" s="261" t="s">
        <v>15</v>
      </c>
      <c r="H99" s="258" t="s">
        <v>128</v>
      </c>
      <c r="I99" s="261">
        <v>801</v>
      </c>
      <c r="J99" s="261" t="s">
        <v>129</v>
      </c>
      <c r="K99" s="261" t="s">
        <v>123</v>
      </c>
      <c r="L99" s="258" t="s">
        <v>140</v>
      </c>
      <c r="M99" s="258" t="s">
        <v>128</v>
      </c>
    </row>
    <row r="100" spans="1:13" x14ac:dyDescent="0.2">
      <c r="A100" s="258" t="s">
        <v>138</v>
      </c>
      <c r="B100" s="258" t="s">
        <v>139</v>
      </c>
      <c r="C100" s="258" t="s">
        <v>12</v>
      </c>
      <c r="D100" s="258" t="s">
        <v>141</v>
      </c>
      <c r="E100" s="259">
        <v>43045</v>
      </c>
      <c r="F100" s="260">
        <v>52.4</v>
      </c>
      <c r="G100" s="261" t="s">
        <v>14</v>
      </c>
      <c r="H100" s="258" t="s">
        <v>16</v>
      </c>
      <c r="I100" s="261">
        <v>801</v>
      </c>
      <c r="J100" s="261" t="s">
        <v>129</v>
      </c>
      <c r="K100" s="261" t="s">
        <v>123</v>
      </c>
      <c r="L100" s="258" t="s">
        <v>140</v>
      </c>
      <c r="M100" s="258" t="s">
        <v>133</v>
      </c>
    </row>
    <row r="101" spans="1:13" x14ac:dyDescent="0.2">
      <c r="A101" s="258" t="s">
        <v>138</v>
      </c>
      <c r="B101" s="258" t="s">
        <v>139</v>
      </c>
      <c r="C101" s="258" t="s">
        <v>12</v>
      </c>
      <c r="D101" s="258" t="s">
        <v>141</v>
      </c>
      <c r="E101" s="259">
        <v>43045</v>
      </c>
      <c r="F101" s="262">
        <v>4645.4800800000003</v>
      </c>
      <c r="G101" s="261" t="s">
        <v>15</v>
      </c>
      <c r="H101" s="258" t="s">
        <v>16</v>
      </c>
      <c r="I101" s="261">
        <v>801</v>
      </c>
      <c r="J101" s="261" t="s">
        <v>129</v>
      </c>
      <c r="K101" s="261" t="s">
        <v>123</v>
      </c>
      <c r="L101" s="258" t="s">
        <v>140</v>
      </c>
      <c r="M101" s="258" t="s">
        <v>133</v>
      </c>
    </row>
    <row r="102" spans="1:13" x14ac:dyDescent="0.2">
      <c r="A102" s="258" t="s">
        <v>138</v>
      </c>
      <c r="B102" s="258" t="s">
        <v>139</v>
      </c>
      <c r="C102" s="258" t="s">
        <v>12</v>
      </c>
      <c r="D102" s="258" t="s">
        <v>13</v>
      </c>
      <c r="E102" s="259">
        <v>43039</v>
      </c>
      <c r="F102" s="260">
        <v>84.839279500000004</v>
      </c>
      <c r="G102" s="261" t="s">
        <v>14</v>
      </c>
      <c r="H102" s="258" t="s">
        <v>128</v>
      </c>
      <c r="I102" s="261">
        <v>801</v>
      </c>
      <c r="J102" s="261" t="s">
        <v>129</v>
      </c>
      <c r="K102" s="261" t="s">
        <v>123</v>
      </c>
      <c r="L102" s="258" t="s">
        <v>140</v>
      </c>
      <c r="M102" s="258" t="s">
        <v>128</v>
      </c>
    </row>
    <row r="103" spans="1:13" x14ac:dyDescent="0.2">
      <c r="A103" s="258" t="s">
        <v>138</v>
      </c>
      <c r="B103" s="258" t="s">
        <v>139</v>
      </c>
      <c r="C103" s="258" t="s">
        <v>12</v>
      </c>
      <c r="D103" s="258" t="s">
        <v>13</v>
      </c>
      <c r="E103" s="259">
        <v>43039</v>
      </c>
      <c r="F103" s="262">
        <v>8151.0864899999997</v>
      </c>
      <c r="G103" s="261" t="s">
        <v>15</v>
      </c>
      <c r="H103" s="258" t="s">
        <v>128</v>
      </c>
      <c r="I103" s="261">
        <v>801</v>
      </c>
      <c r="J103" s="261" t="s">
        <v>129</v>
      </c>
      <c r="K103" s="261" t="s">
        <v>123</v>
      </c>
      <c r="L103" s="258" t="s">
        <v>140</v>
      </c>
      <c r="M103" s="258" t="s">
        <v>128</v>
      </c>
    </row>
    <row r="104" spans="1:13" x14ac:dyDescent="0.2">
      <c r="A104" s="258" t="s">
        <v>138</v>
      </c>
      <c r="B104" s="258" t="s">
        <v>139</v>
      </c>
      <c r="C104" s="258" t="s">
        <v>12</v>
      </c>
      <c r="D104" s="258" t="s">
        <v>141</v>
      </c>
      <c r="E104" s="259">
        <v>43039</v>
      </c>
      <c r="F104" s="260">
        <v>41.3</v>
      </c>
      <c r="G104" s="261" t="s">
        <v>14</v>
      </c>
      <c r="H104" s="258" t="s">
        <v>16</v>
      </c>
      <c r="I104" s="261">
        <v>801</v>
      </c>
      <c r="J104" s="261" t="s">
        <v>129</v>
      </c>
      <c r="K104" s="261" t="s">
        <v>123</v>
      </c>
      <c r="L104" s="258" t="s">
        <v>140</v>
      </c>
      <c r="M104" s="258" t="s">
        <v>133</v>
      </c>
    </row>
    <row r="105" spans="1:13" x14ac:dyDescent="0.2">
      <c r="A105" s="258" t="s">
        <v>138</v>
      </c>
      <c r="B105" s="258" t="s">
        <v>139</v>
      </c>
      <c r="C105" s="258" t="s">
        <v>12</v>
      </c>
      <c r="D105" s="258" t="s">
        <v>141</v>
      </c>
      <c r="E105" s="259">
        <v>43039</v>
      </c>
      <c r="F105" s="262">
        <v>3819.8617800000002</v>
      </c>
      <c r="G105" s="261" t="s">
        <v>15</v>
      </c>
      <c r="H105" s="258" t="s">
        <v>16</v>
      </c>
      <c r="I105" s="261">
        <v>801</v>
      </c>
      <c r="J105" s="261" t="s">
        <v>129</v>
      </c>
      <c r="K105" s="261" t="s">
        <v>123</v>
      </c>
      <c r="L105" s="258" t="s">
        <v>140</v>
      </c>
      <c r="M105" s="258" t="s">
        <v>133</v>
      </c>
    </row>
    <row r="106" spans="1:13" x14ac:dyDescent="0.2">
      <c r="A106" s="258" t="s">
        <v>138</v>
      </c>
      <c r="B106" s="258" t="s">
        <v>139</v>
      </c>
      <c r="C106" s="258" t="s">
        <v>12</v>
      </c>
      <c r="D106" s="258" t="s">
        <v>13</v>
      </c>
      <c r="E106" s="259">
        <v>43032</v>
      </c>
      <c r="F106" s="260">
        <v>72.165598700000004</v>
      </c>
      <c r="G106" s="261" t="s">
        <v>14</v>
      </c>
      <c r="H106" s="258" t="s">
        <v>128</v>
      </c>
      <c r="I106" s="261">
        <v>801</v>
      </c>
      <c r="J106" s="261" t="s">
        <v>129</v>
      </c>
      <c r="K106" s="261" t="s">
        <v>123</v>
      </c>
      <c r="L106" s="258" t="s">
        <v>140</v>
      </c>
      <c r="M106" s="258" t="s">
        <v>128</v>
      </c>
    </row>
    <row r="107" spans="1:13" x14ac:dyDescent="0.2">
      <c r="A107" s="258" t="s">
        <v>138</v>
      </c>
      <c r="B107" s="258" t="s">
        <v>139</v>
      </c>
      <c r="C107" s="258" t="s">
        <v>12</v>
      </c>
      <c r="D107" s="258" t="s">
        <v>13</v>
      </c>
      <c r="E107" s="259">
        <v>43032</v>
      </c>
      <c r="F107" s="262">
        <v>7439.0031120000003</v>
      </c>
      <c r="G107" s="261" t="s">
        <v>15</v>
      </c>
      <c r="H107" s="258" t="s">
        <v>128</v>
      </c>
      <c r="I107" s="261">
        <v>801</v>
      </c>
      <c r="J107" s="261" t="s">
        <v>129</v>
      </c>
      <c r="K107" s="261" t="s">
        <v>123</v>
      </c>
      <c r="L107" s="258" t="s">
        <v>140</v>
      </c>
      <c r="M107" s="258" t="s">
        <v>128</v>
      </c>
    </row>
    <row r="108" spans="1:13" x14ac:dyDescent="0.2">
      <c r="A108" s="258" t="s">
        <v>138</v>
      </c>
      <c r="B108" s="258" t="s">
        <v>139</v>
      </c>
      <c r="C108" s="258" t="s">
        <v>12</v>
      </c>
      <c r="D108" s="258" t="s">
        <v>141</v>
      </c>
      <c r="E108" s="259">
        <v>43032</v>
      </c>
      <c r="F108" s="260">
        <v>44.7</v>
      </c>
      <c r="G108" s="261" t="s">
        <v>14</v>
      </c>
      <c r="H108" s="258" t="s">
        <v>16</v>
      </c>
      <c r="I108" s="261">
        <v>801</v>
      </c>
      <c r="J108" s="261" t="s">
        <v>129</v>
      </c>
      <c r="K108" s="261" t="s">
        <v>123</v>
      </c>
      <c r="L108" s="258" t="s">
        <v>140</v>
      </c>
      <c r="M108" s="258" t="s">
        <v>133</v>
      </c>
    </row>
    <row r="109" spans="1:13" x14ac:dyDescent="0.2">
      <c r="A109" s="258" t="s">
        <v>138</v>
      </c>
      <c r="B109" s="258" t="s">
        <v>139</v>
      </c>
      <c r="C109" s="258" t="s">
        <v>12</v>
      </c>
      <c r="D109" s="258" t="s">
        <v>141</v>
      </c>
      <c r="E109" s="259">
        <v>43032</v>
      </c>
      <c r="F109" s="262">
        <v>4536.9516599999997</v>
      </c>
      <c r="G109" s="261" t="s">
        <v>15</v>
      </c>
      <c r="H109" s="258" t="s">
        <v>16</v>
      </c>
      <c r="I109" s="261">
        <v>801</v>
      </c>
      <c r="J109" s="261" t="s">
        <v>129</v>
      </c>
      <c r="K109" s="261" t="s">
        <v>123</v>
      </c>
      <c r="L109" s="258" t="s">
        <v>140</v>
      </c>
      <c r="M109" s="258" t="s">
        <v>133</v>
      </c>
    </row>
    <row r="110" spans="1:13" x14ac:dyDescent="0.2">
      <c r="A110" s="258" t="s">
        <v>138</v>
      </c>
      <c r="B110" s="258" t="s">
        <v>139</v>
      </c>
      <c r="C110" s="258" t="s">
        <v>12</v>
      </c>
      <c r="D110" s="258" t="s">
        <v>13</v>
      </c>
      <c r="E110" s="259">
        <v>43025</v>
      </c>
      <c r="F110" s="260">
        <v>82.753825500000005</v>
      </c>
      <c r="G110" s="261" t="s">
        <v>14</v>
      </c>
      <c r="H110" s="258" t="s">
        <v>128</v>
      </c>
      <c r="I110" s="261">
        <v>801</v>
      </c>
      <c r="J110" s="261" t="s">
        <v>129</v>
      </c>
      <c r="K110" s="261" t="s">
        <v>123</v>
      </c>
      <c r="L110" s="258" t="s">
        <v>140</v>
      </c>
      <c r="M110" s="258" t="s">
        <v>128</v>
      </c>
    </row>
    <row r="111" spans="1:13" x14ac:dyDescent="0.2">
      <c r="A111" s="258" t="s">
        <v>138</v>
      </c>
      <c r="B111" s="258" t="s">
        <v>139</v>
      </c>
      <c r="C111" s="258" t="s">
        <v>12</v>
      </c>
      <c r="D111" s="258" t="s">
        <v>13</v>
      </c>
      <c r="E111" s="259">
        <v>43025</v>
      </c>
      <c r="F111" s="262">
        <v>8226.7895040000003</v>
      </c>
      <c r="G111" s="261" t="s">
        <v>15</v>
      </c>
      <c r="H111" s="258" t="s">
        <v>128</v>
      </c>
      <c r="I111" s="261">
        <v>801</v>
      </c>
      <c r="J111" s="261" t="s">
        <v>129</v>
      </c>
      <c r="K111" s="261" t="s">
        <v>123</v>
      </c>
      <c r="L111" s="258" t="s">
        <v>140</v>
      </c>
      <c r="M111" s="258" t="s">
        <v>128</v>
      </c>
    </row>
    <row r="112" spans="1:13" x14ac:dyDescent="0.2">
      <c r="A112" s="258" t="s">
        <v>138</v>
      </c>
      <c r="B112" s="258" t="s">
        <v>139</v>
      </c>
      <c r="C112" s="258" t="s">
        <v>12</v>
      </c>
      <c r="D112" s="258" t="s">
        <v>141</v>
      </c>
      <c r="E112" s="259">
        <v>43025</v>
      </c>
      <c r="F112" s="260">
        <v>45.5</v>
      </c>
      <c r="G112" s="261" t="s">
        <v>14</v>
      </c>
      <c r="H112" s="258" t="s">
        <v>16</v>
      </c>
      <c r="I112" s="261">
        <v>801</v>
      </c>
      <c r="J112" s="261" t="s">
        <v>129</v>
      </c>
      <c r="K112" s="261" t="s">
        <v>123</v>
      </c>
      <c r="L112" s="258" t="s">
        <v>140</v>
      </c>
      <c r="M112" s="258" t="s">
        <v>133</v>
      </c>
    </row>
    <row r="113" spans="1:13" x14ac:dyDescent="0.2">
      <c r="A113" s="258" t="s">
        <v>138</v>
      </c>
      <c r="B113" s="258" t="s">
        <v>139</v>
      </c>
      <c r="C113" s="258" t="s">
        <v>12</v>
      </c>
      <c r="D113" s="258" t="s">
        <v>141</v>
      </c>
      <c r="E113" s="259">
        <v>43025</v>
      </c>
      <c r="F113" s="262">
        <v>4481.5406999999996</v>
      </c>
      <c r="G113" s="261" t="s">
        <v>15</v>
      </c>
      <c r="H113" s="258" t="s">
        <v>16</v>
      </c>
      <c r="I113" s="261">
        <v>801</v>
      </c>
      <c r="J113" s="261" t="s">
        <v>129</v>
      </c>
      <c r="K113" s="261" t="s">
        <v>123</v>
      </c>
      <c r="L113" s="258" t="s">
        <v>140</v>
      </c>
      <c r="M113" s="258" t="s">
        <v>133</v>
      </c>
    </row>
    <row r="114" spans="1:13" x14ac:dyDescent="0.2">
      <c r="A114" s="258" t="s">
        <v>138</v>
      </c>
      <c r="B114" s="258" t="s">
        <v>139</v>
      </c>
      <c r="C114" s="258" t="s">
        <v>12</v>
      </c>
      <c r="D114" s="258" t="s">
        <v>13</v>
      </c>
      <c r="E114" s="259">
        <v>43018</v>
      </c>
      <c r="F114" s="260">
        <v>70.439783399999996</v>
      </c>
      <c r="G114" s="261" t="s">
        <v>14</v>
      </c>
      <c r="H114" s="258" t="s">
        <v>128</v>
      </c>
      <c r="I114" s="261">
        <v>801</v>
      </c>
      <c r="J114" s="261" t="s">
        <v>129</v>
      </c>
      <c r="K114" s="261" t="s">
        <v>123</v>
      </c>
      <c r="L114" s="258" t="s">
        <v>140</v>
      </c>
      <c r="M114" s="258" t="s">
        <v>128</v>
      </c>
    </row>
    <row r="115" spans="1:13" x14ac:dyDescent="0.2">
      <c r="A115" s="258" t="s">
        <v>138</v>
      </c>
      <c r="B115" s="258" t="s">
        <v>139</v>
      </c>
      <c r="C115" s="258" t="s">
        <v>12</v>
      </c>
      <c r="D115" s="258" t="s">
        <v>13</v>
      </c>
      <c r="E115" s="259">
        <v>43018</v>
      </c>
      <c r="F115" s="262">
        <v>7325.7233939999996</v>
      </c>
      <c r="G115" s="261" t="s">
        <v>15</v>
      </c>
      <c r="H115" s="258" t="s">
        <v>128</v>
      </c>
      <c r="I115" s="261">
        <v>801</v>
      </c>
      <c r="J115" s="261" t="s">
        <v>129</v>
      </c>
      <c r="K115" s="261" t="s">
        <v>123</v>
      </c>
      <c r="L115" s="258" t="s">
        <v>140</v>
      </c>
      <c r="M115" s="258" t="s">
        <v>128</v>
      </c>
    </row>
    <row r="116" spans="1:13" x14ac:dyDescent="0.2">
      <c r="A116" s="258" t="s">
        <v>138</v>
      </c>
      <c r="B116" s="258" t="s">
        <v>139</v>
      </c>
      <c r="C116" s="258" t="s">
        <v>12</v>
      </c>
      <c r="D116" s="258" t="s">
        <v>141</v>
      </c>
      <c r="E116" s="259">
        <v>43018</v>
      </c>
      <c r="F116" s="260">
        <v>47.6</v>
      </c>
      <c r="G116" s="261" t="s">
        <v>14</v>
      </c>
      <c r="H116" s="258" t="s">
        <v>16</v>
      </c>
      <c r="I116" s="261">
        <v>801</v>
      </c>
      <c r="J116" s="261" t="s">
        <v>129</v>
      </c>
      <c r="K116" s="261" t="s">
        <v>123</v>
      </c>
      <c r="L116" s="258" t="s">
        <v>140</v>
      </c>
      <c r="M116" s="258" t="s">
        <v>133</v>
      </c>
    </row>
    <row r="117" spans="1:13" x14ac:dyDescent="0.2">
      <c r="A117" s="258" t="s">
        <v>138</v>
      </c>
      <c r="B117" s="258" t="s">
        <v>139</v>
      </c>
      <c r="C117" s="258" t="s">
        <v>12</v>
      </c>
      <c r="D117" s="258" t="s">
        <v>141</v>
      </c>
      <c r="E117" s="259">
        <v>43018</v>
      </c>
      <c r="F117" s="262">
        <v>5045.6666400000004</v>
      </c>
      <c r="G117" s="261" t="s">
        <v>15</v>
      </c>
      <c r="H117" s="258" t="s">
        <v>16</v>
      </c>
      <c r="I117" s="261">
        <v>801</v>
      </c>
      <c r="J117" s="261" t="s">
        <v>129</v>
      </c>
      <c r="K117" s="261" t="s">
        <v>123</v>
      </c>
      <c r="L117" s="258" t="s">
        <v>140</v>
      </c>
      <c r="M117" s="258" t="s">
        <v>133</v>
      </c>
    </row>
    <row r="118" spans="1:13" x14ac:dyDescent="0.2">
      <c r="A118" s="258" t="s">
        <v>138</v>
      </c>
      <c r="B118" s="258" t="s">
        <v>139</v>
      </c>
      <c r="C118" s="258" t="s">
        <v>12</v>
      </c>
      <c r="D118" s="258" t="s">
        <v>13</v>
      </c>
      <c r="E118" s="259">
        <v>43011</v>
      </c>
      <c r="F118" s="260">
        <v>81.731059200000004</v>
      </c>
      <c r="G118" s="261" t="s">
        <v>14</v>
      </c>
      <c r="H118" s="258" t="s">
        <v>128</v>
      </c>
      <c r="I118" s="261">
        <v>801</v>
      </c>
      <c r="J118" s="261" t="s">
        <v>129</v>
      </c>
      <c r="K118" s="261" t="s">
        <v>123</v>
      </c>
      <c r="L118" s="258" t="s">
        <v>140</v>
      </c>
      <c r="M118" s="258" t="s">
        <v>128</v>
      </c>
    </row>
    <row r="119" spans="1:13" x14ac:dyDescent="0.2">
      <c r="A119" s="258" t="s">
        <v>138</v>
      </c>
      <c r="B119" s="258" t="s">
        <v>139</v>
      </c>
      <c r="C119" s="258" t="s">
        <v>12</v>
      </c>
      <c r="D119" s="258" t="s">
        <v>13</v>
      </c>
      <c r="E119" s="259">
        <v>43011</v>
      </c>
      <c r="F119" s="262">
        <v>7593.4365600000001</v>
      </c>
      <c r="G119" s="261" t="s">
        <v>15</v>
      </c>
      <c r="H119" s="258" t="s">
        <v>128</v>
      </c>
      <c r="I119" s="261">
        <v>801</v>
      </c>
      <c r="J119" s="261" t="s">
        <v>129</v>
      </c>
      <c r="K119" s="261" t="s">
        <v>123</v>
      </c>
      <c r="L119" s="258" t="s">
        <v>140</v>
      </c>
      <c r="M119" s="258" t="s">
        <v>128</v>
      </c>
    </row>
    <row r="120" spans="1:13" x14ac:dyDescent="0.2">
      <c r="A120" s="258" t="s">
        <v>138</v>
      </c>
      <c r="B120" s="258" t="s">
        <v>139</v>
      </c>
      <c r="C120" s="258" t="s">
        <v>12</v>
      </c>
      <c r="D120" s="258" t="s">
        <v>141</v>
      </c>
      <c r="E120" s="259">
        <v>43011</v>
      </c>
      <c r="F120" s="260">
        <v>58.2</v>
      </c>
      <c r="G120" s="261" t="s">
        <v>14</v>
      </c>
      <c r="H120" s="258" t="s">
        <v>16</v>
      </c>
      <c r="I120" s="261">
        <v>801</v>
      </c>
      <c r="J120" s="261" t="s">
        <v>129</v>
      </c>
      <c r="K120" s="261" t="s">
        <v>123</v>
      </c>
      <c r="L120" s="258" t="s">
        <v>140</v>
      </c>
      <c r="M120" s="258" t="s">
        <v>133</v>
      </c>
    </row>
    <row r="121" spans="1:13" x14ac:dyDescent="0.2">
      <c r="A121" s="258" t="s">
        <v>138</v>
      </c>
      <c r="B121" s="258" t="s">
        <v>139</v>
      </c>
      <c r="C121" s="258" t="s">
        <v>12</v>
      </c>
      <c r="D121" s="258" t="s">
        <v>141</v>
      </c>
      <c r="E121" s="259">
        <v>43011</v>
      </c>
      <c r="F121" s="262">
        <v>5509.1538</v>
      </c>
      <c r="G121" s="261" t="s">
        <v>15</v>
      </c>
      <c r="H121" s="258" t="s">
        <v>16</v>
      </c>
      <c r="I121" s="261">
        <v>801</v>
      </c>
      <c r="J121" s="261" t="s">
        <v>129</v>
      </c>
      <c r="K121" s="261" t="s">
        <v>123</v>
      </c>
      <c r="L121" s="258" t="s">
        <v>140</v>
      </c>
      <c r="M121" s="258" t="s">
        <v>133</v>
      </c>
    </row>
    <row r="122" spans="1:13" x14ac:dyDescent="0.2">
      <c r="A122" s="258" t="s">
        <v>138</v>
      </c>
      <c r="B122" s="258" t="s">
        <v>139</v>
      </c>
      <c r="C122" s="258" t="s">
        <v>12</v>
      </c>
      <c r="D122" s="258" t="s">
        <v>13</v>
      </c>
      <c r="E122" s="259">
        <v>43004</v>
      </c>
      <c r="F122" s="260">
        <v>90.87</v>
      </c>
      <c r="G122" s="261" t="s">
        <v>14</v>
      </c>
      <c r="H122" s="258" t="s">
        <v>128</v>
      </c>
      <c r="I122" s="261">
        <v>801</v>
      </c>
      <c r="J122" s="261" t="s">
        <v>129</v>
      </c>
      <c r="K122" s="261" t="s">
        <v>123</v>
      </c>
      <c r="L122" s="258" t="s">
        <v>140</v>
      </c>
      <c r="M122" s="258" t="s">
        <v>128</v>
      </c>
    </row>
    <row r="123" spans="1:13" x14ac:dyDescent="0.2">
      <c r="A123" s="258" t="s">
        <v>138</v>
      </c>
      <c r="B123" s="258" t="s">
        <v>139</v>
      </c>
      <c r="C123" s="258" t="s">
        <v>12</v>
      </c>
      <c r="D123" s="258" t="s">
        <v>13</v>
      </c>
      <c r="E123" s="259">
        <v>43004</v>
      </c>
      <c r="F123" s="262">
        <v>8093.8999439999998</v>
      </c>
      <c r="G123" s="261" t="s">
        <v>15</v>
      </c>
      <c r="H123" s="258" t="s">
        <v>128</v>
      </c>
      <c r="I123" s="261">
        <v>801</v>
      </c>
      <c r="J123" s="261" t="s">
        <v>129</v>
      </c>
      <c r="K123" s="261" t="s">
        <v>123</v>
      </c>
      <c r="L123" s="258" t="s">
        <v>140</v>
      </c>
      <c r="M123" s="258" t="s">
        <v>128</v>
      </c>
    </row>
    <row r="124" spans="1:13" x14ac:dyDescent="0.2">
      <c r="A124" s="258" t="s">
        <v>138</v>
      </c>
      <c r="B124" s="258" t="s">
        <v>139</v>
      </c>
      <c r="C124" s="258" t="s">
        <v>12</v>
      </c>
      <c r="D124" s="258" t="s">
        <v>141</v>
      </c>
      <c r="E124" s="259">
        <v>43004</v>
      </c>
      <c r="F124" s="260">
        <v>52.7</v>
      </c>
      <c r="G124" s="261" t="s">
        <v>14</v>
      </c>
      <c r="H124" s="258" t="s">
        <v>16</v>
      </c>
      <c r="I124" s="261">
        <v>801</v>
      </c>
      <c r="J124" s="261" t="s">
        <v>129</v>
      </c>
      <c r="K124" s="261" t="s">
        <v>123</v>
      </c>
      <c r="L124" s="258" t="s">
        <v>140</v>
      </c>
      <c r="M124" s="258" t="s">
        <v>133</v>
      </c>
    </row>
    <row r="125" spans="1:13" x14ac:dyDescent="0.2">
      <c r="A125" s="258" t="s">
        <v>138</v>
      </c>
      <c r="B125" s="258" t="s">
        <v>139</v>
      </c>
      <c r="C125" s="258" t="s">
        <v>12</v>
      </c>
      <c r="D125" s="258" t="s">
        <v>141</v>
      </c>
      <c r="E125" s="259">
        <v>43004</v>
      </c>
      <c r="F125" s="262">
        <v>4825.9076400000004</v>
      </c>
      <c r="G125" s="261" t="s">
        <v>15</v>
      </c>
      <c r="H125" s="258" t="s">
        <v>16</v>
      </c>
      <c r="I125" s="261">
        <v>801</v>
      </c>
      <c r="J125" s="261" t="s">
        <v>129</v>
      </c>
      <c r="K125" s="261" t="s">
        <v>123</v>
      </c>
      <c r="L125" s="258" t="s">
        <v>140</v>
      </c>
      <c r="M125" s="258" t="s">
        <v>133</v>
      </c>
    </row>
    <row r="126" spans="1:13" x14ac:dyDescent="0.2">
      <c r="A126" s="258" t="s">
        <v>138</v>
      </c>
      <c r="B126" s="258" t="s">
        <v>139</v>
      </c>
      <c r="C126" s="258" t="s">
        <v>12</v>
      </c>
      <c r="D126" s="258" t="s">
        <v>13</v>
      </c>
      <c r="E126" s="259">
        <v>42997</v>
      </c>
      <c r="F126" s="260">
        <v>90.75</v>
      </c>
      <c r="G126" s="261" t="s">
        <v>14</v>
      </c>
      <c r="H126" s="258" t="s">
        <v>128</v>
      </c>
      <c r="I126" s="261">
        <v>801</v>
      </c>
      <c r="J126" s="261" t="s">
        <v>129</v>
      </c>
      <c r="K126" s="261" t="s">
        <v>123</v>
      </c>
      <c r="L126" s="258" t="s">
        <v>140</v>
      </c>
      <c r="M126" s="258" t="s">
        <v>128</v>
      </c>
    </row>
    <row r="127" spans="1:13" x14ac:dyDescent="0.2">
      <c r="A127" s="258" t="s">
        <v>138</v>
      </c>
      <c r="B127" s="258" t="s">
        <v>139</v>
      </c>
      <c r="C127" s="258" t="s">
        <v>12</v>
      </c>
      <c r="D127" s="258" t="s">
        <v>13</v>
      </c>
      <c r="E127" s="259">
        <v>42997</v>
      </c>
      <c r="F127" s="262">
        <v>8393.5219500000003</v>
      </c>
      <c r="G127" s="261" t="s">
        <v>15</v>
      </c>
      <c r="H127" s="258" t="s">
        <v>128</v>
      </c>
      <c r="I127" s="261">
        <v>801</v>
      </c>
      <c r="J127" s="261" t="s">
        <v>129</v>
      </c>
      <c r="K127" s="261" t="s">
        <v>123</v>
      </c>
      <c r="L127" s="258" t="s">
        <v>140</v>
      </c>
      <c r="M127" s="258" t="s">
        <v>128</v>
      </c>
    </row>
    <row r="128" spans="1:13" x14ac:dyDescent="0.2">
      <c r="A128" s="258" t="s">
        <v>138</v>
      </c>
      <c r="B128" s="258" t="s">
        <v>139</v>
      </c>
      <c r="C128" s="258" t="s">
        <v>12</v>
      </c>
      <c r="D128" s="258" t="s">
        <v>141</v>
      </c>
      <c r="E128" s="259">
        <v>42997</v>
      </c>
      <c r="F128" s="260">
        <v>51</v>
      </c>
      <c r="G128" s="261" t="s">
        <v>14</v>
      </c>
      <c r="H128" s="258" t="s">
        <v>16</v>
      </c>
      <c r="I128" s="261">
        <v>801</v>
      </c>
      <c r="J128" s="261" t="s">
        <v>129</v>
      </c>
      <c r="K128" s="261" t="s">
        <v>123</v>
      </c>
      <c r="L128" s="258" t="s">
        <v>140</v>
      </c>
      <c r="M128" s="258" t="s">
        <v>133</v>
      </c>
    </row>
    <row r="129" spans="1:13" x14ac:dyDescent="0.2">
      <c r="A129" s="258" t="s">
        <v>138</v>
      </c>
      <c r="B129" s="258" t="s">
        <v>139</v>
      </c>
      <c r="C129" s="258" t="s">
        <v>12</v>
      </c>
      <c r="D129" s="258" t="s">
        <v>141</v>
      </c>
      <c r="E129" s="259">
        <v>42997</v>
      </c>
      <c r="F129" s="262">
        <v>4789.3284000000003</v>
      </c>
      <c r="G129" s="261" t="s">
        <v>15</v>
      </c>
      <c r="H129" s="258" t="s">
        <v>16</v>
      </c>
      <c r="I129" s="261">
        <v>801</v>
      </c>
      <c r="J129" s="261" t="s">
        <v>129</v>
      </c>
      <c r="K129" s="261" t="s">
        <v>123</v>
      </c>
      <c r="L129" s="258" t="s">
        <v>140</v>
      </c>
      <c r="M129" s="258" t="s">
        <v>133</v>
      </c>
    </row>
    <row r="130" spans="1:13" x14ac:dyDescent="0.2">
      <c r="A130" s="258" t="s">
        <v>138</v>
      </c>
      <c r="B130" s="258" t="s">
        <v>139</v>
      </c>
      <c r="C130" s="258" t="s">
        <v>12</v>
      </c>
      <c r="D130" s="258" t="s">
        <v>13</v>
      </c>
      <c r="E130" s="259">
        <v>42990</v>
      </c>
      <c r="F130" s="260">
        <v>107.02</v>
      </c>
      <c r="G130" s="261" t="s">
        <v>14</v>
      </c>
      <c r="H130" s="258" t="s">
        <v>128</v>
      </c>
      <c r="I130" s="261">
        <v>801</v>
      </c>
      <c r="J130" s="261" t="s">
        <v>129</v>
      </c>
      <c r="K130" s="261" t="s">
        <v>123</v>
      </c>
      <c r="L130" s="258" t="s">
        <v>140</v>
      </c>
      <c r="M130" s="258" t="s">
        <v>128</v>
      </c>
    </row>
    <row r="131" spans="1:13" x14ac:dyDescent="0.2">
      <c r="A131" s="258" t="s">
        <v>138</v>
      </c>
      <c r="B131" s="258" t="s">
        <v>139</v>
      </c>
      <c r="C131" s="258" t="s">
        <v>12</v>
      </c>
      <c r="D131" s="258" t="s">
        <v>13</v>
      </c>
      <c r="E131" s="259">
        <v>42990</v>
      </c>
      <c r="F131" s="262">
        <v>9996.5241600000008</v>
      </c>
      <c r="G131" s="261" t="s">
        <v>15</v>
      </c>
      <c r="H131" s="258" t="s">
        <v>128</v>
      </c>
      <c r="I131" s="261">
        <v>801</v>
      </c>
      <c r="J131" s="261" t="s">
        <v>129</v>
      </c>
      <c r="K131" s="261" t="s">
        <v>123</v>
      </c>
      <c r="L131" s="258" t="s">
        <v>140</v>
      </c>
      <c r="M131" s="258" t="s">
        <v>128</v>
      </c>
    </row>
    <row r="132" spans="1:13" x14ac:dyDescent="0.2">
      <c r="A132" s="258" t="s">
        <v>138</v>
      </c>
      <c r="B132" s="258" t="s">
        <v>139</v>
      </c>
      <c r="C132" s="258" t="s">
        <v>12</v>
      </c>
      <c r="D132" s="258" t="s">
        <v>141</v>
      </c>
      <c r="E132" s="259">
        <v>42990</v>
      </c>
      <c r="F132" s="260">
        <v>58.5</v>
      </c>
      <c r="G132" s="261" t="s">
        <v>14</v>
      </c>
      <c r="H132" s="258" t="s">
        <v>16</v>
      </c>
      <c r="I132" s="261">
        <v>801</v>
      </c>
      <c r="J132" s="261" t="s">
        <v>129</v>
      </c>
      <c r="K132" s="261" t="s">
        <v>123</v>
      </c>
      <c r="L132" s="258" t="s">
        <v>140</v>
      </c>
      <c r="M132" s="258" t="s">
        <v>133</v>
      </c>
    </row>
    <row r="133" spans="1:13" x14ac:dyDescent="0.2">
      <c r="A133" s="258" t="s">
        <v>138</v>
      </c>
      <c r="B133" s="258" t="s">
        <v>139</v>
      </c>
      <c r="C133" s="258" t="s">
        <v>12</v>
      </c>
      <c r="D133" s="258" t="s">
        <v>141</v>
      </c>
      <c r="E133" s="259">
        <v>42990</v>
      </c>
      <c r="F133" s="262">
        <v>5439.9735000000001</v>
      </c>
      <c r="G133" s="261" t="s">
        <v>15</v>
      </c>
      <c r="H133" s="258" t="s">
        <v>16</v>
      </c>
      <c r="I133" s="261">
        <v>801</v>
      </c>
      <c r="J133" s="261" t="s">
        <v>129</v>
      </c>
      <c r="K133" s="261" t="s">
        <v>123</v>
      </c>
      <c r="L133" s="258" t="s">
        <v>140</v>
      </c>
      <c r="M133" s="258" t="s">
        <v>133</v>
      </c>
    </row>
    <row r="134" spans="1:13" x14ac:dyDescent="0.2">
      <c r="A134" s="258" t="s">
        <v>138</v>
      </c>
      <c r="B134" s="258" t="s">
        <v>139</v>
      </c>
      <c r="C134" s="258" t="s">
        <v>12</v>
      </c>
      <c r="D134" s="258" t="s">
        <v>13</v>
      </c>
      <c r="E134" s="259">
        <v>42983</v>
      </c>
      <c r="F134" s="260">
        <v>87.66</v>
      </c>
      <c r="G134" s="261" t="s">
        <v>14</v>
      </c>
      <c r="H134" s="258" t="s">
        <v>128</v>
      </c>
      <c r="I134" s="261">
        <v>801</v>
      </c>
      <c r="J134" s="261" t="s">
        <v>129</v>
      </c>
      <c r="K134" s="261" t="s">
        <v>123</v>
      </c>
      <c r="L134" s="258" t="s">
        <v>140</v>
      </c>
      <c r="M134" s="258" t="s">
        <v>128</v>
      </c>
    </row>
    <row r="135" spans="1:13" x14ac:dyDescent="0.2">
      <c r="A135" s="258" t="s">
        <v>138</v>
      </c>
      <c r="B135" s="258" t="s">
        <v>139</v>
      </c>
      <c r="C135" s="258" t="s">
        <v>12</v>
      </c>
      <c r="D135" s="258" t="s">
        <v>13</v>
      </c>
      <c r="E135" s="259">
        <v>42983</v>
      </c>
      <c r="F135" s="262">
        <v>7457.06088</v>
      </c>
      <c r="G135" s="261" t="s">
        <v>15</v>
      </c>
      <c r="H135" s="258" t="s">
        <v>128</v>
      </c>
      <c r="I135" s="261">
        <v>801</v>
      </c>
      <c r="J135" s="261" t="s">
        <v>129</v>
      </c>
      <c r="K135" s="261" t="s">
        <v>123</v>
      </c>
      <c r="L135" s="258" t="s">
        <v>140</v>
      </c>
      <c r="M135" s="258" t="s">
        <v>128</v>
      </c>
    </row>
    <row r="136" spans="1:13" x14ac:dyDescent="0.2">
      <c r="A136" s="258" t="s">
        <v>138</v>
      </c>
      <c r="B136" s="258" t="s">
        <v>139</v>
      </c>
      <c r="C136" s="258" t="s">
        <v>12</v>
      </c>
      <c r="D136" s="258" t="s">
        <v>141</v>
      </c>
      <c r="E136" s="259">
        <v>42983</v>
      </c>
      <c r="F136" s="260">
        <v>46.4</v>
      </c>
      <c r="G136" s="261" t="s">
        <v>14</v>
      </c>
      <c r="H136" s="258" t="s">
        <v>16</v>
      </c>
      <c r="I136" s="261">
        <v>801</v>
      </c>
      <c r="J136" s="261" t="s">
        <v>129</v>
      </c>
      <c r="K136" s="261" t="s">
        <v>123</v>
      </c>
      <c r="L136" s="258" t="s">
        <v>140</v>
      </c>
      <c r="M136" s="258" t="s">
        <v>133</v>
      </c>
    </row>
    <row r="137" spans="1:13" x14ac:dyDescent="0.2">
      <c r="A137" s="258" t="s">
        <v>138</v>
      </c>
      <c r="B137" s="258" t="s">
        <v>139</v>
      </c>
      <c r="C137" s="258" t="s">
        <v>12</v>
      </c>
      <c r="D137" s="258" t="s">
        <v>141</v>
      </c>
      <c r="E137" s="259">
        <v>42983</v>
      </c>
      <c r="F137" s="262">
        <v>3943.2854400000001</v>
      </c>
      <c r="G137" s="261" t="s">
        <v>15</v>
      </c>
      <c r="H137" s="258" t="s">
        <v>16</v>
      </c>
      <c r="I137" s="261">
        <v>801</v>
      </c>
      <c r="J137" s="261" t="s">
        <v>129</v>
      </c>
      <c r="K137" s="261" t="s">
        <v>123</v>
      </c>
      <c r="L137" s="258" t="s">
        <v>140</v>
      </c>
      <c r="M137" s="258" t="s">
        <v>133</v>
      </c>
    </row>
    <row r="138" spans="1:13" x14ac:dyDescent="0.2">
      <c r="A138" s="258" t="s">
        <v>138</v>
      </c>
      <c r="B138" s="258" t="s">
        <v>139</v>
      </c>
      <c r="C138" s="258" t="s">
        <v>12</v>
      </c>
      <c r="D138" s="258" t="s">
        <v>13</v>
      </c>
      <c r="E138" s="259">
        <v>42975</v>
      </c>
      <c r="F138" s="260">
        <v>85.33</v>
      </c>
      <c r="G138" s="261" t="s">
        <v>14</v>
      </c>
      <c r="H138" s="258" t="s">
        <v>128</v>
      </c>
      <c r="I138" s="261">
        <v>801</v>
      </c>
      <c r="J138" s="261" t="s">
        <v>129</v>
      </c>
      <c r="K138" s="261" t="s">
        <v>123</v>
      </c>
      <c r="L138" s="258" t="s">
        <v>140</v>
      </c>
      <c r="M138" s="258" t="s">
        <v>128</v>
      </c>
    </row>
    <row r="139" spans="1:13" x14ac:dyDescent="0.2">
      <c r="A139" s="258" t="s">
        <v>138</v>
      </c>
      <c r="B139" s="258" t="s">
        <v>139</v>
      </c>
      <c r="C139" s="258" t="s">
        <v>12</v>
      </c>
      <c r="D139" s="258" t="s">
        <v>13</v>
      </c>
      <c r="E139" s="259">
        <v>42975</v>
      </c>
      <c r="F139" s="262">
        <v>7436.7654899999998</v>
      </c>
      <c r="G139" s="261" t="s">
        <v>15</v>
      </c>
      <c r="H139" s="258" t="s">
        <v>128</v>
      </c>
      <c r="I139" s="261">
        <v>801</v>
      </c>
      <c r="J139" s="261" t="s">
        <v>129</v>
      </c>
      <c r="K139" s="261" t="s">
        <v>123</v>
      </c>
      <c r="L139" s="258" t="s">
        <v>140</v>
      </c>
      <c r="M139" s="258" t="s">
        <v>128</v>
      </c>
    </row>
    <row r="140" spans="1:13" x14ac:dyDescent="0.2">
      <c r="A140" s="258" t="s">
        <v>138</v>
      </c>
      <c r="B140" s="258" t="s">
        <v>139</v>
      </c>
      <c r="C140" s="258" t="s">
        <v>12</v>
      </c>
      <c r="D140" s="258" t="s">
        <v>141</v>
      </c>
      <c r="E140" s="259">
        <v>42975</v>
      </c>
      <c r="F140" s="260">
        <v>44</v>
      </c>
      <c r="G140" s="261" t="s">
        <v>14</v>
      </c>
      <c r="H140" s="258" t="s">
        <v>16</v>
      </c>
      <c r="I140" s="261">
        <v>801</v>
      </c>
      <c r="J140" s="261" t="s">
        <v>129</v>
      </c>
      <c r="K140" s="261" t="s">
        <v>123</v>
      </c>
      <c r="L140" s="258" t="s">
        <v>140</v>
      </c>
      <c r="M140" s="258" t="s">
        <v>133</v>
      </c>
    </row>
    <row r="141" spans="1:13" x14ac:dyDescent="0.2">
      <c r="A141" s="258" t="s">
        <v>138</v>
      </c>
      <c r="B141" s="258" t="s">
        <v>139</v>
      </c>
      <c r="C141" s="258" t="s">
        <v>12</v>
      </c>
      <c r="D141" s="258" t="s">
        <v>141</v>
      </c>
      <c r="E141" s="259">
        <v>42975</v>
      </c>
      <c r="F141" s="262">
        <v>3842.0711999999999</v>
      </c>
      <c r="G141" s="261" t="s">
        <v>15</v>
      </c>
      <c r="H141" s="258" t="s">
        <v>16</v>
      </c>
      <c r="I141" s="261">
        <v>801</v>
      </c>
      <c r="J141" s="261" t="s">
        <v>129</v>
      </c>
      <c r="K141" s="261" t="s">
        <v>123</v>
      </c>
      <c r="L141" s="258" t="s">
        <v>140</v>
      </c>
      <c r="M141" s="258" t="s">
        <v>133</v>
      </c>
    </row>
    <row r="142" spans="1:13" x14ac:dyDescent="0.2">
      <c r="A142" s="258" t="s">
        <v>138</v>
      </c>
      <c r="B142" s="258" t="s">
        <v>139</v>
      </c>
      <c r="C142" s="258" t="s">
        <v>12</v>
      </c>
      <c r="D142" s="258" t="s">
        <v>13</v>
      </c>
      <c r="E142" s="259">
        <v>42970</v>
      </c>
      <c r="F142" s="260">
        <v>104.27</v>
      </c>
      <c r="G142" s="261" t="s">
        <v>14</v>
      </c>
      <c r="H142" s="258" t="s">
        <v>128</v>
      </c>
      <c r="I142" s="261">
        <v>801</v>
      </c>
      <c r="J142" s="261" t="s">
        <v>129</v>
      </c>
      <c r="K142" s="261" t="s">
        <v>123</v>
      </c>
      <c r="L142" s="258" t="s">
        <v>140</v>
      </c>
      <c r="M142" s="258" t="s">
        <v>128</v>
      </c>
    </row>
    <row r="143" spans="1:13" x14ac:dyDescent="0.2">
      <c r="A143" s="258" t="s">
        <v>138</v>
      </c>
      <c r="B143" s="258" t="s">
        <v>139</v>
      </c>
      <c r="C143" s="258" t="s">
        <v>12</v>
      </c>
      <c r="D143" s="258" t="s">
        <v>13</v>
      </c>
      <c r="E143" s="259">
        <v>42970</v>
      </c>
      <c r="F143" s="262">
        <v>10565.783369999999</v>
      </c>
      <c r="G143" s="261" t="s">
        <v>15</v>
      </c>
      <c r="H143" s="258" t="s">
        <v>128</v>
      </c>
      <c r="I143" s="261">
        <v>801</v>
      </c>
      <c r="J143" s="261" t="s">
        <v>129</v>
      </c>
      <c r="K143" s="261" t="s">
        <v>123</v>
      </c>
      <c r="L143" s="258" t="s">
        <v>140</v>
      </c>
      <c r="M143" s="258" t="s">
        <v>128</v>
      </c>
    </row>
    <row r="144" spans="1:13" x14ac:dyDescent="0.2">
      <c r="A144" s="258" t="s">
        <v>138</v>
      </c>
      <c r="B144" s="258" t="s">
        <v>139</v>
      </c>
      <c r="C144" s="258" t="s">
        <v>12</v>
      </c>
      <c r="D144" s="258" t="s">
        <v>141</v>
      </c>
      <c r="E144" s="259">
        <v>42970</v>
      </c>
      <c r="F144" s="260">
        <v>64.099999999999994</v>
      </c>
      <c r="G144" s="261" t="s">
        <v>14</v>
      </c>
      <c r="H144" s="258" t="s">
        <v>16</v>
      </c>
      <c r="I144" s="261">
        <v>801</v>
      </c>
      <c r="J144" s="261" t="s">
        <v>129</v>
      </c>
      <c r="K144" s="261" t="s">
        <v>123</v>
      </c>
      <c r="L144" s="258" t="s">
        <v>140</v>
      </c>
      <c r="M144" s="258" t="s">
        <v>133</v>
      </c>
    </row>
    <row r="145" spans="1:13" x14ac:dyDescent="0.2">
      <c r="A145" s="258" t="s">
        <v>138</v>
      </c>
      <c r="B145" s="258" t="s">
        <v>139</v>
      </c>
      <c r="C145" s="258" t="s">
        <v>12</v>
      </c>
      <c r="D145" s="258" t="s">
        <v>141</v>
      </c>
      <c r="E145" s="259">
        <v>42970</v>
      </c>
      <c r="F145" s="262">
        <v>6340.2848400000003</v>
      </c>
      <c r="G145" s="261" t="s">
        <v>15</v>
      </c>
      <c r="H145" s="258" t="s">
        <v>16</v>
      </c>
      <c r="I145" s="261">
        <v>801</v>
      </c>
      <c r="J145" s="261" t="s">
        <v>129</v>
      </c>
      <c r="K145" s="261" t="s">
        <v>123</v>
      </c>
      <c r="L145" s="258" t="s">
        <v>140</v>
      </c>
      <c r="M145" s="258" t="s">
        <v>133</v>
      </c>
    </row>
    <row r="146" spans="1:13" x14ac:dyDescent="0.2">
      <c r="A146" s="258" t="s">
        <v>138</v>
      </c>
      <c r="B146" s="258" t="s">
        <v>139</v>
      </c>
      <c r="C146" s="258" t="s">
        <v>12</v>
      </c>
      <c r="D146" s="258" t="s">
        <v>13</v>
      </c>
      <c r="E146" s="259">
        <v>42962</v>
      </c>
      <c r="F146" s="260">
        <v>116.25</v>
      </c>
      <c r="G146" s="261" t="s">
        <v>14</v>
      </c>
      <c r="H146" s="258" t="s">
        <v>128</v>
      </c>
      <c r="I146" s="261">
        <v>801</v>
      </c>
      <c r="J146" s="261" t="s">
        <v>129</v>
      </c>
      <c r="K146" s="261" t="s">
        <v>123</v>
      </c>
      <c r="L146" s="258" t="s">
        <v>140</v>
      </c>
      <c r="M146" s="258" t="s">
        <v>128</v>
      </c>
    </row>
    <row r="147" spans="1:13" x14ac:dyDescent="0.2">
      <c r="A147" s="258" t="s">
        <v>138</v>
      </c>
      <c r="B147" s="258" t="s">
        <v>139</v>
      </c>
      <c r="C147" s="258" t="s">
        <v>12</v>
      </c>
      <c r="D147" s="258" t="s">
        <v>13</v>
      </c>
      <c r="E147" s="259">
        <v>42962</v>
      </c>
      <c r="F147" s="262">
        <v>10897.460999999999</v>
      </c>
      <c r="G147" s="261" t="s">
        <v>15</v>
      </c>
      <c r="H147" s="258" t="s">
        <v>128</v>
      </c>
      <c r="I147" s="261">
        <v>801</v>
      </c>
      <c r="J147" s="261" t="s">
        <v>129</v>
      </c>
      <c r="K147" s="261" t="s">
        <v>123</v>
      </c>
      <c r="L147" s="258" t="s">
        <v>140</v>
      </c>
      <c r="M147" s="258" t="s">
        <v>128</v>
      </c>
    </row>
    <row r="148" spans="1:13" x14ac:dyDescent="0.2">
      <c r="A148" s="258" t="s">
        <v>138</v>
      </c>
      <c r="B148" s="258" t="s">
        <v>139</v>
      </c>
      <c r="C148" s="258" t="s">
        <v>12</v>
      </c>
      <c r="D148" s="258" t="s">
        <v>141</v>
      </c>
      <c r="E148" s="259">
        <v>42962</v>
      </c>
      <c r="F148" s="260">
        <v>71.599999999999994</v>
      </c>
      <c r="G148" s="261" t="s">
        <v>14</v>
      </c>
      <c r="H148" s="258" t="s">
        <v>16</v>
      </c>
      <c r="I148" s="261">
        <v>801</v>
      </c>
      <c r="J148" s="261" t="s">
        <v>129</v>
      </c>
      <c r="K148" s="261" t="s">
        <v>123</v>
      </c>
      <c r="L148" s="258" t="s">
        <v>140</v>
      </c>
      <c r="M148" s="258" t="s">
        <v>133</v>
      </c>
    </row>
    <row r="149" spans="1:13" x14ac:dyDescent="0.2">
      <c r="A149" s="258" t="s">
        <v>138</v>
      </c>
      <c r="B149" s="258" t="s">
        <v>139</v>
      </c>
      <c r="C149" s="258" t="s">
        <v>12</v>
      </c>
      <c r="D149" s="258" t="s">
        <v>141</v>
      </c>
      <c r="E149" s="259">
        <v>42962</v>
      </c>
      <c r="F149" s="262">
        <v>6652.1841599999998</v>
      </c>
      <c r="G149" s="261" t="s">
        <v>15</v>
      </c>
      <c r="H149" s="258" t="s">
        <v>16</v>
      </c>
      <c r="I149" s="261">
        <v>801</v>
      </c>
      <c r="J149" s="261" t="s">
        <v>129</v>
      </c>
      <c r="K149" s="261" t="s">
        <v>123</v>
      </c>
      <c r="L149" s="258" t="s">
        <v>140</v>
      </c>
      <c r="M149" s="258" t="s">
        <v>133</v>
      </c>
    </row>
    <row r="150" spans="1:13" x14ac:dyDescent="0.2">
      <c r="A150" s="258" t="s">
        <v>138</v>
      </c>
      <c r="B150" s="258" t="s">
        <v>139</v>
      </c>
      <c r="C150" s="258" t="s">
        <v>12</v>
      </c>
      <c r="D150" s="258" t="s">
        <v>13</v>
      </c>
      <c r="E150" s="259">
        <v>42955</v>
      </c>
      <c r="F150" s="260">
        <v>88.83</v>
      </c>
      <c r="G150" s="261" t="s">
        <v>14</v>
      </c>
      <c r="H150" s="258" t="s">
        <v>128</v>
      </c>
      <c r="I150" s="261">
        <v>801</v>
      </c>
      <c r="J150" s="261" t="s">
        <v>129</v>
      </c>
      <c r="K150" s="261" t="s">
        <v>123</v>
      </c>
      <c r="L150" s="258" t="s">
        <v>140</v>
      </c>
      <c r="M150" s="258" t="s">
        <v>128</v>
      </c>
    </row>
    <row r="151" spans="1:13" x14ac:dyDescent="0.2">
      <c r="A151" s="258" t="s">
        <v>138</v>
      </c>
      <c r="B151" s="258" t="s">
        <v>139</v>
      </c>
      <c r="C151" s="258" t="s">
        <v>12</v>
      </c>
      <c r="D151" s="258" t="s">
        <v>13</v>
      </c>
      <c r="E151" s="259">
        <v>42955</v>
      </c>
      <c r="F151" s="262">
        <v>8423.3758140000009</v>
      </c>
      <c r="G151" s="261" t="s">
        <v>15</v>
      </c>
      <c r="H151" s="258" t="s">
        <v>128</v>
      </c>
      <c r="I151" s="261">
        <v>801</v>
      </c>
      <c r="J151" s="261" t="s">
        <v>129</v>
      </c>
      <c r="K151" s="261" t="s">
        <v>123</v>
      </c>
      <c r="L151" s="258" t="s">
        <v>140</v>
      </c>
      <c r="M151" s="258" t="s">
        <v>128</v>
      </c>
    </row>
    <row r="152" spans="1:13" x14ac:dyDescent="0.2">
      <c r="A152" s="258" t="s">
        <v>138</v>
      </c>
      <c r="B152" s="258" t="s">
        <v>139</v>
      </c>
      <c r="C152" s="258" t="s">
        <v>12</v>
      </c>
      <c r="D152" s="258" t="s">
        <v>141</v>
      </c>
      <c r="E152" s="259">
        <v>42955</v>
      </c>
      <c r="F152" s="260">
        <v>50.2</v>
      </c>
      <c r="G152" s="261" t="s">
        <v>14</v>
      </c>
      <c r="H152" s="258" t="s">
        <v>16</v>
      </c>
      <c r="I152" s="261">
        <v>801</v>
      </c>
      <c r="J152" s="261" t="s">
        <v>129</v>
      </c>
      <c r="K152" s="261" t="s">
        <v>123</v>
      </c>
      <c r="L152" s="258" t="s">
        <v>140</v>
      </c>
      <c r="M152" s="258" t="s">
        <v>133</v>
      </c>
    </row>
    <row r="153" spans="1:13" x14ac:dyDescent="0.2">
      <c r="A153" s="258" t="s">
        <v>138</v>
      </c>
      <c r="B153" s="258" t="s">
        <v>139</v>
      </c>
      <c r="C153" s="258" t="s">
        <v>12</v>
      </c>
      <c r="D153" s="258" t="s">
        <v>141</v>
      </c>
      <c r="E153" s="259">
        <v>42955</v>
      </c>
      <c r="F153" s="262">
        <v>4634.6547600000004</v>
      </c>
      <c r="G153" s="261" t="s">
        <v>15</v>
      </c>
      <c r="H153" s="258" t="s">
        <v>16</v>
      </c>
      <c r="I153" s="261">
        <v>801</v>
      </c>
      <c r="J153" s="261" t="s">
        <v>129</v>
      </c>
      <c r="K153" s="261" t="s">
        <v>123</v>
      </c>
      <c r="L153" s="258" t="s">
        <v>140</v>
      </c>
      <c r="M153" s="258" t="s">
        <v>133</v>
      </c>
    </row>
    <row r="154" spans="1:13" x14ac:dyDescent="0.2">
      <c r="A154" s="258" t="s">
        <v>138</v>
      </c>
      <c r="B154" s="258" t="s">
        <v>139</v>
      </c>
      <c r="C154" s="258" t="s">
        <v>12</v>
      </c>
      <c r="D154" s="258" t="s">
        <v>13</v>
      </c>
      <c r="E154" s="259">
        <v>42949</v>
      </c>
      <c r="F154" s="260">
        <v>89.53</v>
      </c>
      <c r="G154" s="261" t="s">
        <v>14</v>
      </c>
      <c r="H154" s="258" t="s">
        <v>128</v>
      </c>
      <c r="I154" s="261">
        <v>801</v>
      </c>
      <c r="J154" s="261" t="s">
        <v>129</v>
      </c>
      <c r="K154" s="261" t="s">
        <v>123</v>
      </c>
      <c r="L154" s="258" t="s">
        <v>140</v>
      </c>
      <c r="M154" s="258" t="s">
        <v>128</v>
      </c>
    </row>
    <row r="155" spans="1:13" x14ac:dyDescent="0.2">
      <c r="A155" s="258" t="s">
        <v>138</v>
      </c>
      <c r="B155" s="258" t="s">
        <v>139</v>
      </c>
      <c r="C155" s="258" t="s">
        <v>12</v>
      </c>
      <c r="D155" s="258" t="s">
        <v>13</v>
      </c>
      <c r="E155" s="259">
        <v>42949</v>
      </c>
      <c r="F155" s="262">
        <v>9303.6352920000008</v>
      </c>
      <c r="G155" s="261" t="s">
        <v>15</v>
      </c>
      <c r="H155" s="258" t="s">
        <v>128</v>
      </c>
      <c r="I155" s="261">
        <v>801</v>
      </c>
      <c r="J155" s="261" t="s">
        <v>129</v>
      </c>
      <c r="K155" s="261" t="s">
        <v>123</v>
      </c>
      <c r="L155" s="258" t="s">
        <v>140</v>
      </c>
      <c r="M155" s="258" t="s">
        <v>128</v>
      </c>
    </row>
    <row r="156" spans="1:13" x14ac:dyDescent="0.2">
      <c r="A156" s="258" t="s">
        <v>138</v>
      </c>
      <c r="B156" s="258" t="s">
        <v>139</v>
      </c>
      <c r="C156" s="258" t="s">
        <v>12</v>
      </c>
      <c r="D156" s="258" t="s">
        <v>141</v>
      </c>
      <c r="E156" s="259">
        <v>42949</v>
      </c>
      <c r="F156" s="260">
        <v>55</v>
      </c>
      <c r="G156" s="261" t="s">
        <v>14</v>
      </c>
      <c r="H156" s="258" t="s">
        <v>16</v>
      </c>
      <c r="I156" s="261">
        <v>801</v>
      </c>
      <c r="J156" s="261" t="s">
        <v>129</v>
      </c>
      <c r="K156" s="261" t="s">
        <v>123</v>
      </c>
      <c r="L156" s="258" t="s">
        <v>140</v>
      </c>
      <c r="M156" s="258" t="s">
        <v>133</v>
      </c>
    </row>
    <row r="157" spans="1:13" x14ac:dyDescent="0.2">
      <c r="A157" s="258" t="s">
        <v>138</v>
      </c>
      <c r="B157" s="258" t="s">
        <v>139</v>
      </c>
      <c r="C157" s="258" t="s">
        <v>12</v>
      </c>
      <c r="D157" s="258" t="s">
        <v>141</v>
      </c>
      <c r="E157" s="259">
        <v>42949</v>
      </c>
      <c r="F157" s="262">
        <v>5564.0309999999999</v>
      </c>
      <c r="G157" s="261" t="s">
        <v>15</v>
      </c>
      <c r="H157" s="258" t="s">
        <v>16</v>
      </c>
      <c r="I157" s="261">
        <v>801</v>
      </c>
      <c r="J157" s="261" t="s">
        <v>129</v>
      </c>
      <c r="K157" s="261" t="s">
        <v>123</v>
      </c>
      <c r="L157" s="258" t="s">
        <v>140</v>
      </c>
      <c r="M157" s="258" t="s">
        <v>133</v>
      </c>
    </row>
    <row r="158" spans="1:13" x14ac:dyDescent="0.2">
      <c r="A158" s="258" t="s">
        <v>138</v>
      </c>
      <c r="B158" s="258" t="s">
        <v>139</v>
      </c>
      <c r="C158" s="258" t="s">
        <v>12</v>
      </c>
      <c r="D158" s="258" t="s">
        <v>13</v>
      </c>
      <c r="E158" s="259">
        <v>42941</v>
      </c>
      <c r="F158" s="260">
        <v>89.04</v>
      </c>
      <c r="G158" s="261" t="s">
        <v>14</v>
      </c>
      <c r="H158" s="258" t="s">
        <v>128</v>
      </c>
      <c r="I158" s="261">
        <v>801</v>
      </c>
      <c r="J158" s="261" t="s">
        <v>129</v>
      </c>
      <c r="K158" s="261" t="s">
        <v>123</v>
      </c>
      <c r="L158" s="258" t="s">
        <v>140</v>
      </c>
      <c r="M158" s="258" t="s">
        <v>128</v>
      </c>
    </row>
    <row r="159" spans="1:13" x14ac:dyDescent="0.2">
      <c r="A159" s="258" t="s">
        <v>138</v>
      </c>
      <c r="B159" s="258" t="s">
        <v>139</v>
      </c>
      <c r="C159" s="258" t="s">
        <v>12</v>
      </c>
      <c r="D159" s="258" t="s">
        <v>13</v>
      </c>
      <c r="E159" s="259">
        <v>42941</v>
      </c>
      <c r="F159" s="262">
        <v>9044.7900480000008</v>
      </c>
      <c r="G159" s="261" t="s">
        <v>15</v>
      </c>
      <c r="H159" s="258" t="s">
        <v>128</v>
      </c>
      <c r="I159" s="261">
        <v>801</v>
      </c>
      <c r="J159" s="261" t="s">
        <v>129</v>
      </c>
      <c r="K159" s="261" t="s">
        <v>123</v>
      </c>
      <c r="L159" s="258" t="s">
        <v>140</v>
      </c>
      <c r="M159" s="258" t="s">
        <v>128</v>
      </c>
    </row>
    <row r="160" spans="1:13" x14ac:dyDescent="0.2">
      <c r="A160" s="258" t="s">
        <v>138</v>
      </c>
      <c r="B160" s="258" t="s">
        <v>139</v>
      </c>
      <c r="C160" s="258" t="s">
        <v>12</v>
      </c>
      <c r="D160" s="258" t="s">
        <v>141</v>
      </c>
      <c r="E160" s="259">
        <v>42941</v>
      </c>
      <c r="F160" s="260">
        <v>44.9</v>
      </c>
      <c r="G160" s="261" t="s">
        <v>14</v>
      </c>
      <c r="H160" s="258" t="s">
        <v>16</v>
      </c>
      <c r="I160" s="261">
        <v>801</v>
      </c>
      <c r="J160" s="261" t="s">
        <v>129</v>
      </c>
      <c r="K160" s="261" t="s">
        <v>123</v>
      </c>
      <c r="L160" s="258" t="s">
        <v>140</v>
      </c>
      <c r="M160" s="258" t="s">
        <v>133</v>
      </c>
    </row>
    <row r="161" spans="1:13" x14ac:dyDescent="0.2">
      <c r="A161" s="258" t="s">
        <v>138</v>
      </c>
      <c r="B161" s="258" t="s">
        <v>139</v>
      </c>
      <c r="C161" s="258" t="s">
        <v>12</v>
      </c>
      <c r="D161" s="258" t="s">
        <v>141</v>
      </c>
      <c r="E161" s="259">
        <v>42941</v>
      </c>
      <c r="F161" s="262">
        <v>4564.7405399999998</v>
      </c>
      <c r="G161" s="261" t="s">
        <v>15</v>
      </c>
      <c r="H161" s="258" t="s">
        <v>16</v>
      </c>
      <c r="I161" s="261">
        <v>801</v>
      </c>
      <c r="J161" s="261" t="s">
        <v>129</v>
      </c>
      <c r="K161" s="261" t="s">
        <v>123</v>
      </c>
      <c r="L161" s="258" t="s">
        <v>140</v>
      </c>
      <c r="M161" s="258" t="s">
        <v>133</v>
      </c>
    </row>
    <row r="162" spans="1:13" x14ac:dyDescent="0.2">
      <c r="A162" s="258" t="s">
        <v>138</v>
      </c>
      <c r="B162" s="258" t="s">
        <v>139</v>
      </c>
      <c r="C162" s="258" t="s">
        <v>12</v>
      </c>
      <c r="D162" s="258" t="s">
        <v>13</v>
      </c>
      <c r="E162" s="259">
        <v>42934</v>
      </c>
      <c r="F162" s="260">
        <v>81.760000000000005</v>
      </c>
      <c r="G162" s="261" t="s">
        <v>14</v>
      </c>
      <c r="H162" s="258" t="s">
        <v>128</v>
      </c>
      <c r="I162" s="261">
        <v>801</v>
      </c>
      <c r="J162" s="261" t="s">
        <v>129</v>
      </c>
      <c r="K162" s="261" t="s">
        <v>123</v>
      </c>
      <c r="L162" s="258" t="s">
        <v>140</v>
      </c>
      <c r="M162" s="258" t="s">
        <v>128</v>
      </c>
    </row>
    <row r="163" spans="1:13" x14ac:dyDescent="0.2">
      <c r="A163" s="258" t="s">
        <v>138</v>
      </c>
      <c r="B163" s="258" t="s">
        <v>139</v>
      </c>
      <c r="C163" s="258" t="s">
        <v>12</v>
      </c>
      <c r="D163" s="258" t="s">
        <v>13</v>
      </c>
      <c r="E163" s="259">
        <v>42934</v>
      </c>
      <c r="F163" s="262">
        <v>8625.7617599999994</v>
      </c>
      <c r="G163" s="261" t="s">
        <v>15</v>
      </c>
      <c r="H163" s="258" t="s">
        <v>128</v>
      </c>
      <c r="I163" s="261">
        <v>801</v>
      </c>
      <c r="J163" s="261" t="s">
        <v>129</v>
      </c>
      <c r="K163" s="261" t="s">
        <v>123</v>
      </c>
      <c r="L163" s="258" t="s">
        <v>140</v>
      </c>
      <c r="M163" s="258" t="s">
        <v>128</v>
      </c>
    </row>
    <row r="164" spans="1:13" x14ac:dyDescent="0.2">
      <c r="A164" s="258" t="s">
        <v>138</v>
      </c>
      <c r="B164" s="258" t="s">
        <v>139</v>
      </c>
      <c r="C164" s="258" t="s">
        <v>12</v>
      </c>
      <c r="D164" s="258" t="s">
        <v>141</v>
      </c>
      <c r="E164" s="259">
        <v>42934</v>
      </c>
      <c r="F164" s="260">
        <v>47.5</v>
      </c>
      <c r="G164" s="261" t="s">
        <v>14</v>
      </c>
      <c r="H164" s="258" t="s">
        <v>16</v>
      </c>
      <c r="I164" s="261">
        <v>801</v>
      </c>
      <c r="J164" s="261" t="s">
        <v>129</v>
      </c>
      <c r="K164" s="261" t="s">
        <v>123</v>
      </c>
      <c r="L164" s="258" t="s">
        <v>140</v>
      </c>
      <c r="M164" s="258" t="s">
        <v>133</v>
      </c>
    </row>
    <row r="165" spans="1:13" x14ac:dyDescent="0.2">
      <c r="A165" s="258" t="s">
        <v>138</v>
      </c>
      <c r="B165" s="258" t="s">
        <v>139</v>
      </c>
      <c r="C165" s="258" t="s">
        <v>12</v>
      </c>
      <c r="D165" s="258" t="s">
        <v>141</v>
      </c>
      <c r="E165" s="259">
        <v>42934</v>
      </c>
      <c r="F165" s="262">
        <v>4983.567</v>
      </c>
      <c r="G165" s="261" t="s">
        <v>15</v>
      </c>
      <c r="H165" s="258" t="s">
        <v>16</v>
      </c>
      <c r="I165" s="261">
        <v>801</v>
      </c>
      <c r="J165" s="261" t="s">
        <v>129</v>
      </c>
      <c r="K165" s="261" t="s">
        <v>123</v>
      </c>
      <c r="L165" s="258" t="s">
        <v>140</v>
      </c>
      <c r="M165" s="258" t="s">
        <v>133</v>
      </c>
    </row>
    <row r="166" spans="1:13" x14ac:dyDescent="0.2">
      <c r="A166" s="258" t="s">
        <v>138</v>
      </c>
      <c r="B166" s="258" t="s">
        <v>139</v>
      </c>
      <c r="C166" s="258" t="s">
        <v>12</v>
      </c>
      <c r="D166" s="258" t="s">
        <v>13</v>
      </c>
      <c r="E166" s="259">
        <v>42927</v>
      </c>
      <c r="F166" s="260">
        <v>86.68</v>
      </c>
      <c r="G166" s="261" t="s">
        <v>14</v>
      </c>
      <c r="H166" s="258" t="s">
        <v>128</v>
      </c>
      <c r="I166" s="261">
        <v>801</v>
      </c>
      <c r="J166" s="261" t="s">
        <v>129</v>
      </c>
      <c r="K166" s="261" t="s">
        <v>123</v>
      </c>
      <c r="L166" s="258" t="s">
        <v>140</v>
      </c>
      <c r="M166" s="258" t="s">
        <v>128</v>
      </c>
    </row>
    <row r="167" spans="1:13" x14ac:dyDescent="0.2">
      <c r="A167" s="258" t="s">
        <v>138</v>
      </c>
      <c r="B167" s="258" t="s">
        <v>139</v>
      </c>
      <c r="C167" s="258" t="s">
        <v>12</v>
      </c>
      <c r="D167" s="258" t="s">
        <v>13</v>
      </c>
      <c r="E167" s="259">
        <v>42927</v>
      </c>
      <c r="F167" s="262">
        <v>9621.9480719999992</v>
      </c>
      <c r="G167" s="261" t="s">
        <v>15</v>
      </c>
      <c r="H167" s="258" t="s">
        <v>128</v>
      </c>
      <c r="I167" s="261">
        <v>801</v>
      </c>
      <c r="J167" s="261" t="s">
        <v>129</v>
      </c>
      <c r="K167" s="261" t="s">
        <v>123</v>
      </c>
      <c r="L167" s="258" t="s">
        <v>140</v>
      </c>
      <c r="M167" s="258" t="s">
        <v>128</v>
      </c>
    </row>
    <row r="168" spans="1:13" x14ac:dyDescent="0.2">
      <c r="A168" s="258" t="s">
        <v>138</v>
      </c>
      <c r="B168" s="258" t="s">
        <v>139</v>
      </c>
      <c r="C168" s="258" t="s">
        <v>12</v>
      </c>
      <c r="D168" s="258" t="s">
        <v>141</v>
      </c>
      <c r="E168" s="259">
        <v>42927</v>
      </c>
      <c r="F168" s="260">
        <v>43.9</v>
      </c>
      <c r="G168" s="261" t="s">
        <v>14</v>
      </c>
      <c r="H168" s="258" t="s">
        <v>16</v>
      </c>
      <c r="I168" s="261">
        <v>801</v>
      </c>
      <c r="J168" s="261" t="s">
        <v>129</v>
      </c>
      <c r="K168" s="261" t="s">
        <v>123</v>
      </c>
      <c r="L168" s="258" t="s">
        <v>140</v>
      </c>
      <c r="M168" s="258" t="s">
        <v>133</v>
      </c>
    </row>
    <row r="169" spans="1:13" x14ac:dyDescent="0.2">
      <c r="A169" s="258" t="s">
        <v>138</v>
      </c>
      <c r="B169" s="258" t="s">
        <v>139</v>
      </c>
      <c r="C169" s="258" t="s">
        <v>12</v>
      </c>
      <c r="D169" s="258" t="s">
        <v>141</v>
      </c>
      <c r="E169" s="259">
        <v>42927</v>
      </c>
      <c r="F169" s="262">
        <v>4825.5406800000001</v>
      </c>
      <c r="G169" s="261" t="s">
        <v>15</v>
      </c>
      <c r="H169" s="258" t="s">
        <v>16</v>
      </c>
      <c r="I169" s="261">
        <v>801</v>
      </c>
      <c r="J169" s="261" t="s">
        <v>129</v>
      </c>
      <c r="K169" s="261" t="s">
        <v>123</v>
      </c>
      <c r="L169" s="258" t="s">
        <v>140</v>
      </c>
      <c r="M169" s="258" t="s">
        <v>133</v>
      </c>
    </row>
    <row r="170" spans="1:13" x14ac:dyDescent="0.2">
      <c r="A170" s="258" t="s">
        <v>138</v>
      </c>
      <c r="B170" s="258" t="s">
        <v>139</v>
      </c>
      <c r="C170" s="258" t="s">
        <v>12</v>
      </c>
      <c r="D170" s="258" t="s">
        <v>13</v>
      </c>
      <c r="E170" s="259">
        <v>42920</v>
      </c>
      <c r="F170" s="260">
        <v>60.63</v>
      </c>
      <c r="G170" s="261" t="s">
        <v>14</v>
      </c>
      <c r="H170" s="258" t="s">
        <v>128</v>
      </c>
      <c r="I170" s="261">
        <v>801</v>
      </c>
      <c r="J170" s="261" t="s">
        <v>129</v>
      </c>
      <c r="K170" s="261" t="s">
        <v>123</v>
      </c>
      <c r="L170" s="258" t="s">
        <v>140</v>
      </c>
      <c r="M170" s="258" t="s">
        <v>128</v>
      </c>
    </row>
    <row r="171" spans="1:13" x14ac:dyDescent="0.2">
      <c r="A171" s="258" t="s">
        <v>138</v>
      </c>
      <c r="B171" s="258" t="s">
        <v>139</v>
      </c>
      <c r="C171" s="258" t="s">
        <v>12</v>
      </c>
      <c r="D171" s="258" t="s">
        <v>13</v>
      </c>
      <c r="E171" s="259">
        <v>42920</v>
      </c>
      <c r="F171" s="262">
        <v>6168.9812400000001</v>
      </c>
      <c r="G171" s="261" t="s">
        <v>15</v>
      </c>
      <c r="H171" s="258" t="s">
        <v>128</v>
      </c>
      <c r="I171" s="261">
        <v>801</v>
      </c>
      <c r="J171" s="261" t="s">
        <v>129</v>
      </c>
      <c r="K171" s="261" t="s">
        <v>123</v>
      </c>
      <c r="L171" s="258" t="s">
        <v>140</v>
      </c>
      <c r="M171" s="258" t="s">
        <v>128</v>
      </c>
    </row>
    <row r="172" spans="1:13" x14ac:dyDescent="0.2">
      <c r="A172" s="258" t="s">
        <v>138</v>
      </c>
      <c r="B172" s="258" t="s">
        <v>139</v>
      </c>
      <c r="C172" s="258" t="s">
        <v>12</v>
      </c>
      <c r="D172" s="258" t="s">
        <v>141</v>
      </c>
      <c r="E172" s="259">
        <v>42920</v>
      </c>
      <c r="F172" s="260">
        <v>36.299999999999997</v>
      </c>
      <c r="G172" s="261" t="s">
        <v>14</v>
      </c>
      <c r="H172" s="258" t="s">
        <v>16</v>
      </c>
      <c r="I172" s="261">
        <v>801</v>
      </c>
      <c r="J172" s="261" t="s">
        <v>129</v>
      </c>
      <c r="K172" s="261" t="s">
        <v>123</v>
      </c>
      <c r="L172" s="258" t="s">
        <v>140</v>
      </c>
      <c r="M172" s="258" t="s">
        <v>133</v>
      </c>
    </row>
    <row r="173" spans="1:13" x14ac:dyDescent="0.2">
      <c r="A173" s="258" t="s">
        <v>138</v>
      </c>
      <c r="B173" s="258" t="s">
        <v>139</v>
      </c>
      <c r="C173" s="258" t="s">
        <v>12</v>
      </c>
      <c r="D173" s="258" t="s">
        <v>141</v>
      </c>
      <c r="E173" s="259">
        <v>42920</v>
      </c>
      <c r="F173" s="262">
        <v>3699.5072399999999</v>
      </c>
      <c r="G173" s="261" t="s">
        <v>15</v>
      </c>
      <c r="H173" s="258" t="s">
        <v>16</v>
      </c>
      <c r="I173" s="261">
        <v>801</v>
      </c>
      <c r="J173" s="261" t="s">
        <v>129</v>
      </c>
      <c r="K173" s="261" t="s">
        <v>123</v>
      </c>
      <c r="L173" s="258" t="s">
        <v>140</v>
      </c>
      <c r="M173" s="258" t="s">
        <v>133</v>
      </c>
    </row>
    <row r="174" spans="1:13" x14ac:dyDescent="0.2">
      <c r="A174" s="258" t="s">
        <v>138</v>
      </c>
      <c r="B174" s="258" t="s">
        <v>139</v>
      </c>
      <c r="C174" s="258" t="s">
        <v>12</v>
      </c>
      <c r="D174" s="258" t="s">
        <v>13</v>
      </c>
      <c r="E174" s="259">
        <v>42913</v>
      </c>
      <c r="F174" s="260">
        <v>81.53</v>
      </c>
      <c r="G174" s="261" t="s">
        <v>14</v>
      </c>
      <c r="H174" s="258" t="s">
        <v>128</v>
      </c>
      <c r="I174" s="261">
        <v>801</v>
      </c>
      <c r="J174" s="261" t="s">
        <v>129</v>
      </c>
      <c r="K174" s="261" t="s">
        <v>123</v>
      </c>
      <c r="L174" s="258" t="s">
        <v>140</v>
      </c>
      <c r="M174" s="258" t="s">
        <v>128</v>
      </c>
    </row>
    <row r="175" spans="1:13" x14ac:dyDescent="0.2">
      <c r="A175" s="258" t="s">
        <v>138</v>
      </c>
      <c r="B175" s="258" t="s">
        <v>139</v>
      </c>
      <c r="C175" s="258" t="s">
        <v>12</v>
      </c>
      <c r="D175" s="258" t="s">
        <v>13</v>
      </c>
      <c r="E175" s="259">
        <v>42913</v>
      </c>
      <c r="F175" s="262">
        <v>9050.270262</v>
      </c>
      <c r="G175" s="261" t="s">
        <v>15</v>
      </c>
      <c r="H175" s="258" t="s">
        <v>128</v>
      </c>
      <c r="I175" s="261">
        <v>801</v>
      </c>
      <c r="J175" s="261" t="s">
        <v>129</v>
      </c>
      <c r="K175" s="261" t="s">
        <v>123</v>
      </c>
      <c r="L175" s="258" t="s">
        <v>140</v>
      </c>
      <c r="M175" s="258" t="s">
        <v>128</v>
      </c>
    </row>
    <row r="176" spans="1:13" x14ac:dyDescent="0.2">
      <c r="A176" s="258" t="s">
        <v>138</v>
      </c>
      <c r="B176" s="258" t="s">
        <v>139</v>
      </c>
      <c r="C176" s="258" t="s">
        <v>12</v>
      </c>
      <c r="D176" s="258" t="s">
        <v>141</v>
      </c>
      <c r="E176" s="259">
        <v>42913</v>
      </c>
      <c r="F176" s="260">
        <v>42.8</v>
      </c>
      <c r="G176" s="261" t="s">
        <v>14</v>
      </c>
      <c r="H176" s="258" t="s">
        <v>16</v>
      </c>
      <c r="I176" s="261">
        <v>801</v>
      </c>
      <c r="J176" s="261" t="s">
        <v>129</v>
      </c>
      <c r="K176" s="261" t="s">
        <v>123</v>
      </c>
      <c r="L176" s="258" t="s">
        <v>140</v>
      </c>
      <c r="M176" s="258" t="s">
        <v>133</v>
      </c>
    </row>
    <row r="177" spans="1:13" x14ac:dyDescent="0.2">
      <c r="A177" s="258" t="s">
        <v>138</v>
      </c>
      <c r="B177" s="258" t="s">
        <v>139</v>
      </c>
      <c r="C177" s="258" t="s">
        <v>12</v>
      </c>
      <c r="D177" s="258" t="s">
        <v>141</v>
      </c>
      <c r="E177" s="259">
        <v>42913</v>
      </c>
      <c r="F177" s="262">
        <v>4801.0043999999998</v>
      </c>
      <c r="G177" s="261" t="s">
        <v>15</v>
      </c>
      <c r="H177" s="258" t="s">
        <v>16</v>
      </c>
      <c r="I177" s="261">
        <v>801</v>
      </c>
      <c r="J177" s="261" t="s">
        <v>129</v>
      </c>
      <c r="K177" s="261" t="s">
        <v>123</v>
      </c>
      <c r="L177" s="258" t="s">
        <v>140</v>
      </c>
      <c r="M177" s="258" t="s">
        <v>133</v>
      </c>
    </row>
    <row r="178" spans="1:13" x14ac:dyDescent="0.2">
      <c r="A178" s="258" t="s">
        <v>138</v>
      </c>
      <c r="B178" s="258" t="s">
        <v>139</v>
      </c>
      <c r="C178" s="258" t="s">
        <v>12</v>
      </c>
      <c r="D178" s="258" t="s">
        <v>13</v>
      </c>
      <c r="E178" s="259">
        <v>42906</v>
      </c>
      <c r="F178" s="260">
        <v>97.29</v>
      </c>
      <c r="G178" s="261" t="s">
        <v>14</v>
      </c>
      <c r="H178" s="258" t="s">
        <v>128</v>
      </c>
      <c r="I178" s="261">
        <v>801</v>
      </c>
      <c r="J178" s="261" t="s">
        <v>129</v>
      </c>
      <c r="K178" s="261" t="s">
        <v>123</v>
      </c>
      <c r="L178" s="258" t="s">
        <v>140</v>
      </c>
      <c r="M178" s="258" t="s">
        <v>128</v>
      </c>
    </row>
    <row r="179" spans="1:13" x14ac:dyDescent="0.2">
      <c r="A179" s="258" t="s">
        <v>138</v>
      </c>
      <c r="B179" s="258" t="s">
        <v>139</v>
      </c>
      <c r="C179" s="258" t="s">
        <v>12</v>
      </c>
      <c r="D179" s="258" t="s">
        <v>13</v>
      </c>
      <c r="E179" s="259">
        <v>42906</v>
      </c>
      <c r="F179" s="262">
        <v>11116.160819999999</v>
      </c>
      <c r="G179" s="261" t="s">
        <v>15</v>
      </c>
      <c r="H179" s="258" t="s">
        <v>128</v>
      </c>
      <c r="I179" s="261">
        <v>801</v>
      </c>
      <c r="J179" s="261" t="s">
        <v>129</v>
      </c>
      <c r="K179" s="261" t="s">
        <v>123</v>
      </c>
      <c r="L179" s="258" t="s">
        <v>140</v>
      </c>
      <c r="M179" s="258" t="s">
        <v>128</v>
      </c>
    </row>
    <row r="180" spans="1:13" x14ac:dyDescent="0.2">
      <c r="A180" s="258" t="s">
        <v>138</v>
      </c>
      <c r="B180" s="258" t="s">
        <v>139</v>
      </c>
      <c r="C180" s="258" t="s">
        <v>12</v>
      </c>
      <c r="D180" s="258" t="s">
        <v>141</v>
      </c>
      <c r="E180" s="259">
        <v>42906</v>
      </c>
      <c r="F180" s="260">
        <v>54.1</v>
      </c>
      <c r="G180" s="261" t="s">
        <v>14</v>
      </c>
      <c r="H180" s="258" t="s">
        <v>16</v>
      </c>
      <c r="I180" s="261">
        <v>801</v>
      </c>
      <c r="J180" s="261" t="s">
        <v>129</v>
      </c>
      <c r="K180" s="261" t="s">
        <v>123</v>
      </c>
      <c r="L180" s="258" t="s">
        <v>140</v>
      </c>
      <c r="M180" s="258" t="s">
        <v>133</v>
      </c>
    </row>
    <row r="181" spans="1:13" x14ac:dyDescent="0.2">
      <c r="A181" s="258" t="s">
        <v>138</v>
      </c>
      <c r="B181" s="258" t="s">
        <v>139</v>
      </c>
      <c r="C181" s="258" t="s">
        <v>12</v>
      </c>
      <c r="D181" s="258" t="s">
        <v>141</v>
      </c>
      <c r="E181" s="259">
        <v>42906</v>
      </c>
      <c r="F181" s="262">
        <v>5996.3682600000002</v>
      </c>
      <c r="G181" s="261" t="s">
        <v>15</v>
      </c>
      <c r="H181" s="258" t="s">
        <v>16</v>
      </c>
      <c r="I181" s="261">
        <v>801</v>
      </c>
      <c r="J181" s="261" t="s">
        <v>129</v>
      </c>
      <c r="K181" s="261" t="s">
        <v>123</v>
      </c>
      <c r="L181" s="258" t="s">
        <v>140</v>
      </c>
      <c r="M181" s="258" t="s">
        <v>133</v>
      </c>
    </row>
    <row r="182" spans="1:13" x14ac:dyDescent="0.2">
      <c r="A182" s="258" t="s">
        <v>138</v>
      </c>
      <c r="B182" s="258" t="s">
        <v>139</v>
      </c>
      <c r="C182" s="258" t="s">
        <v>12</v>
      </c>
      <c r="D182" s="258" t="s">
        <v>13</v>
      </c>
      <c r="E182" s="259">
        <v>42899</v>
      </c>
      <c r="F182" s="260">
        <v>70.64</v>
      </c>
      <c r="G182" s="261" t="s">
        <v>14</v>
      </c>
      <c r="H182" s="258" t="s">
        <v>128</v>
      </c>
      <c r="I182" s="261">
        <v>801</v>
      </c>
      <c r="J182" s="261" t="s">
        <v>129</v>
      </c>
      <c r="K182" s="261" t="s">
        <v>123</v>
      </c>
      <c r="L182" s="258" t="s">
        <v>140</v>
      </c>
      <c r="M182" s="258" t="s">
        <v>128</v>
      </c>
    </row>
    <row r="183" spans="1:13" x14ac:dyDescent="0.2">
      <c r="A183" s="258" t="s">
        <v>138</v>
      </c>
      <c r="B183" s="258" t="s">
        <v>139</v>
      </c>
      <c r="C183" s="258" t="s">
        <v>12</v>
      </c>
      <c r="D183" s="258" t="s">
        <v>13</v>
      </c>
      <c r="E183" s="259">
        <v>42899</v>
      </c>
      <c r="F183" s="262">
        <v>7882.6610879999998</v>
      </c>
      <c r="G183" s="261" t="s">
        <v>15</v>
      </c>
      <c r="H183" s="258" t="s">
        <v>128</v>
      </c>
      <c r="I183" s="261">
        <v>801</v>
      </c>
      <c r="J183" s="261" t="s">
        <v>129</v>
      </c>
      <c r="K183" s="261" t="s">
        <v>123</v>
      </c>
      <c r="L183" s="258" t="s">
        <v>140</v>
      </c>
      <c r="M183" s="258" t="s">
        <v>128</v>
      </c>
    </row>
    <row r="184" spans="1:13" x14ac:dyDescent="0.2">
      <c r="A184" s="258" t="s">
        <v>138</v>
      </c>
      <c r="B184" s="258" t="s">
        <v>139</v>
      </c>
      <c r="C184" s="258" t="s">
        <v>12</v>
      </c>
      <c r="D184" s="258" t="s">
        <v>141</v>
      </c>
      <c r="E184" s="259">
        <v>42899</v>
      </c>
      <c r="F184" s="260">
        <v>41.1</v>
      </c>
      <c r="G184" s="261" t="s">
        <v>14</v>
      </c>
      <c r="H184" s="258" t="s">
        <v>16</v>
      </c>
      <c r="I184" s="261">
        <v>801</v>
      </c>
      <c r="J184" s="261" t="s">
        <v>129</v>
      </c>
      <c r="K184" s="261" t="s">
        <v>123</v>
      </c>
      <c r="L184" s="258" t="s">
        <v>140</v>
      </c>
      <c r="M184" s="258" t="s">
        <v>133</v>
      </c>
    </row>
    <row r="185" spans="1:13" x14ac:dyDescent="0.2">
      <c r="A185" s="258" t="s">
        <v>138</v>
      </c>
      <c r="B185" s="258" t="s">
        <v>139</v>
      </c>
      <c r="C185" s="258" t="s">
        <v>12</v>
      </c>
      <c r="D185" s="258" t="s">
        <v>141</v>
      </c>
      <c r="E185" s="259">
        <v>42899</v>
      </c>
      <c r="F185" s="262">
        <v>4483.4839199999997</v>
      </c>
      <c r="G185" s="261" t="s">
        <v>15</v>
      </c>
      <c r="H185" s="258" t="s">
        <v>16</v>
      </c>
      <c r="I185" s="261">
        <v>801</v>
      </c>
      <c r="J185" s="261" t="s">
        <v>129</v>
      </c>
      <c r="K185" s="261" t="s">
        <v>123</v>
      </c>
      <c r="L185" s="258" t="s">
        <v>140</v>
      </c>
      <c r="M185" s="258" t="s">
        <v>133</v>
      </c>
    </row>
    <row r="186" spans="1:13" x14ac:dyDescent="0.2">
      <c r="A186" s="258" t="s">
        <v>138</v>
      </c>
      <c r="B186" s="258" t="s">
        <v>139</v>
      </c>
      <c r="C186" s="258" t="s">
        <v>12</v>
      </c>
      <c r="D186" s="258" t="s">
        <v>13</v>
      </c>
      <c r="E186" s="259">
        <v>42892</v>
      </c>
      <c r="F186" s="260">
        <v>95.04</v>
      </c>
      <c r="G186" s="261" t="s">
        <v>14</v>
      </c>
      <c r="H186" s="258" t="s">
        <v>128</v>
      </c>
      <c r="I186" s="261">
        <v>801</v>
      </c>
      <c r="J186" s="261" t="s">
        <v>129</v>
      </c>
      <c r="K186" s="261" t="s">
        <v>123</v>
      </c>
      <c r="L186" s="258" t="s">
        <v>140</v>
      </c>
      <c r="M186" s="258" t="s">
        <v>128</v>
      </c>
    </row>
    <row r="187" spans="1:13" x14ac:dyDescent="0.2">
      <c r="A187" s="258" t="s">
        <v>138</v>
      </c>
      <c r="B187" s="258" t="s">
        <v>139</v>
      </c>
      <c r="C187" s="258" t="s">
        <v>12</v>
      </c>
      <c r="D187" s="258" t="s">
        <v>13</v>
      </c>
      <c r="E187" s="259">
        <v>42892</v>
      </c>
      <c r="F187" s="262">
        <v>11334.66048</v>
      </c>
      <c r="G187" s="261" t="s">
        <v>15</v>
      </c>
      <c r="H187" s="258" t="s">
        <v>128</v>
      </c>
      <c r="I187" s="261">
        <v>801</v>
      </c>
      <c r="J187" s="261" t="s">
        <v>129</v>
      </c>
      <c r="K187" s="261" t="s">
        <v>123</v>
      </c>
      <c r="L187" s="258" t="s">
        <v>140</v>
      </c>
      <c r="M187" s="258" t="s">
        <v>128</v>
      </c>
    </row>
    <row r="188" spans="1:13" x14ac:dyDescent="0.2">
      <c r="A188" s="258" t="s">
        <v>138</v>
      </c>
      <c r="B188" s="258" t="s">
        <v>139</v>
      </c>
      <c r="C188" s="258" t="s">
        <v>12</v>
      </c>
      <c r="D188" s="258" t="s">
        <v>141</v>
      </c>
      <c r="E188" s="259">
        <v>42892</v>
      </c>
      <c r="F188" s="260">
        <v>48.9</v>
      </c>
      <c r="G188" s="261" t="s">
        <v>14</v>
      </c>
      <c r="H188" s="258" t="s">
        <v>16</v>
      </c>
      <c r="I188" s="261">
        <v>801</v>
      </c>
      <c r="J188" s="261" t="s">
        <v>129</v>
      </c>
      <c r="K188" s="261" t="s">
        <v>123</v>
      </c>
      <c r="L188" s="258" t="s">
        <v>140</v>
      </c>
      <c r="M188" s="258" t="s">
        <v>133</v>
      </c>
    </row>
    <row r="189" spans="1:13" x14ac:dyDescent="0.2">
      <c r="A189" s="258" t="s">
        <v>138</v>
      </c>
      <c r="B189" s="258" t="s">
        <v>139</v>
      </c>
      <c r="C189" s="258" t="s">
        <v>12</v>
      </c>
      <c r="D189" s="258" t="s">
        <v>141</v>
      </c>
      <c r="E189" s="259">
        <v>42892</v>
      </c>
      <c r="F189" s="262">
        <v>5627.9988000000003</v>
      </c>
      <c r="G189" s="261" t="s">
        <v>15</v>
      </c>
      <c r="H189" s="258" t="s">
        <v>16</v>
      </c>
      <c r="I189" s="261">
        <v>801</v>
      </c>
      <c r="J189" s="261" t="s">
        <v>129</v>
      </c>
      <c r="K189" s="261" t="s">
        <v>123</v>
      </c>
      <c r="L189" s="258" t="s">
        <v>140</v>
      </c>
      <c r="M189" s="258" t="s">
        <v>133</v>
      </c>
    </row>
    <row r="190" spans="1:13" x14ac:dyDescent="0.2">
      <c r="A190" s="258" t="s">
        <v>138</v>
      </c>
      <c r="B190" s="258" t="s">
        <v>139</v>
      </c>
      <c r="C190" s="258" t="s">
        <v>12</v>
      </c>
      <c r="D190" s="258" t="s">
        <v>13</v>
      </c>
      <c r="E190" s="259">
        <v>42885</v>
      </c>
      <c r="F190" s="260">
        <v>67.447828400000006</v>
      </c>
      <c r="G190" s="261" t="s">
        <v>14</v>
      </c>
      <c r="H190" s="258" t="s">
        <v>128</v>
      </c>
      <c r="I190" s="261">
        <v>801</v>
      </c>
      <c r="J190" s="261" t="s">
        <v>129</v>
      </c>
      <c r="K190" s="261" t="s">
        <v>123</v>
      </c>
      <c r="L190" s="258" t="s">
        <v>140</v>
      </c>
      <c r="M190" s="258" t="s">
        <v>128</v>
      </c>
    </row>
    <row r="191" spans="1:13" x14ac:dyDescent="0.2">
      <c r="A191" s="258" t="s">
        <v>138</v>
      </c>
      <c r="B191" s="258" t="s">
        <v>139</v>
      </c>
      <c r="C191" s="258" t="s">
        <v>12</v>
      </c>
      <c r="D191" s="258" t="s">
        <v>13</v>
      </c>
      <c r="E191" s="259">
        <v>42885</v>
      </c>
      <c r="F191" s="262">
        <v>8392.7221439999994</v>
      </c>
      <c r="G191" s="261" t="s">
        <v>15</v>
      </c>
      <c r="H191" s="258" t="s">
        <v>128</v>
      </c>
      <c r="I191" s="261">
        <v>801</v>
      </c>
      <c r="J191" s="261" t="s">
        <v>129</v>
      </c>
      <c r="K191" s="261" t="s">
        <v>123</v>
      </c>
      <c r="L191" s="258" t="s">
        <v>140</v>
      </c>
      <c r="M191" s="258" t="s">
        <v>128</v>
      </c>
    </row>
    <row r="192" spans="1:13" x14ac:dyDescent="0.2">
      <c r="A192" s="258" t="s">
        <v>138</v>
      </c>
      <c r="B192" s="258" t="s">
        <v>139</v>
      </c>
      <c r="C192" s="258" t="s">
        <v>12</v>
      </c>
      <c r="D192" s="258" t="s">
        <v>141</v>
      </c>
      <c r="E192" s="259">
        <v>42885</v>
      </c>
      <c r="F192" s="260">
        <v>26.1</v>
      </c>
      <c r="G192" s="261" t="s">
        <v>14</v>
      </c>
      <c r="H192" s="258" t="s">
        <v>16</v>
      </c>
      <c r="I192" s="261">
        <v>801</v>
      </c>
      <c r="J192" s="261" t="s">
        <v>129</v>
      </c>
      <c r="K192" s="261" t="s">
        <v>123</v>
      </c>
      <c r="L192" s="258" t="s">
        <v>140</v>
      </c>
      <c r="M192" s="258" t="s">
        <v>133</v>
      </c>
    </row>
    <row r="193" spans="1:13" x14ac:dyDescent="0.2">
      <c r="A193" s="258" t="s">
        <v>138</v>
      </c>
      <c r="B193" s="258" t="s">
        <v>139</v>
      </c>
      <c r="C193" s="258" t="s">
        <v>12</v>
      </c>
      <c r="D193" s="258" t="s">
        <v>141</v>
      </c>
      <c r="E193" s="259">
        <v>42885</v>
      </c>
      <c r="F193" s="262">
        <v>3099.67776</v>
      </c>
      <c r="G193" s="261" t="s">
        <v>15</v>
      </c>
      <c r="H193" s="258" t="s">
        <v>16</v>
      </c>
      <c r="I193" s="261">
        <v>801</v>
      </c>
      <c r="J193" s="261" t="s">
        <v>129</v>
      </c>
      <c r="K193" s="261" t="s">
        <v>123</v>
      </c>
      <c r="L193" s="258" t="s">
        <v>140</v>
      </c>
      <c r="M193" s="258" t="s">
        <v>133</v>
      </c>
    </row>
    <row r="194" spans="1:13" x14ac:dyDescent="0.2">
      <c r="A194" s="258" t="s">
        <v>138</v>
      </c>
      <c r="B194" s="258" t="s">
        <v>139</v>
      </c>
      <c r="C194" s="258" t="s">
        <v>12</v>
      </c>
      <c r="D194" s="258" t="s">
        <v>13</v>
      </c>
      <c r="E194" s="259">
        <v>42878</v>
      </c>
      <c r="F194" s="260">
        <v>58.006666600000003</v>
      </c>
      <c r="G194" s="261" t="s">
        <v>14</v>
      </c>
      <c r="H194" s="258" t="s">
        <v>128</v>
      </c>
      <c r="I194" s="261">
        <v>801</v>
      </c>
      <c r="J194" s="261" t="s">
        <v>129</v>
      </c>
      <c r="K194" s="261" t="s">
        <v>123</v>
      </c>
      <c r="L194" s="258" t="s">
        <v>140</v>
      </c>
      <c r="M194" s="258" t="s">
        <v>128</v>
      </c>
    </row>
    <row r="195" spans="1:13" x14ac:dyDescent="0.2">
      <c r="A195" s="258" t="s">
        <v>138</v>
      </c>
      <c r="B195" s="258" t="s">
        <v>139</v>
      </c>
      <c r="C195" s="258" t="s">
        <v>12</v>
      </c>
      <c r="D195" s="258" t="s">
        <v>13</v>
      </c>
      <c r="E195" s="259">
        <v>42878</v>
      </c>
      <c r="F195" s="262">
        <v>8896.6332839999995</v>
      </c>
      <c r="G195" s="261" t="s">
        <v>15</v>
      </c>
      <c r="H195" s="258" t="s">
        <v>128</v>
      </c>
      <c r="I195" s="261">
        <v>801</v>
      </c>
      <c r="J195" s="261" t="s">
        <v>129</v>
      </c>
      <c r="K195" s="261" t="s">
        <v>123</v>
      </c>
      <c r="L195" s="258" t="s">
        <v>140</v>
      </c>
      <c r="M195" s="258" t="s">
        <v>128</v>
      </c>
    </row>
    <row r="196" spans="1:13" x14ac:dyDescent="0.2">
      <c r="A196" s="258" t="s">
        <v>138</v>
      </c>
      <c r="B196" s="258" t="s">
        <v>139</v>
      </c>
      <c r="C196" s="258" t="s">
        <v>12</v>
      </c>
      <c r="D196" s="258" t="s">
        <v>141</v>
      </c>
      <c r="E196" s="259">
        <v>42878</v>
      </c>
      <c r="F196" s="260">
        <v>28.3</v>
      </c>
      <c r="G196" s="261" t="s">
        <v>14</v>
      </c>
      <c r="H196" s="258" t="s">
        <v>16</v>
      </c>
      <c r="I196" s="261">
        <v>11</v>
      </c>
      <c r="J196" s="261" t="s">
        <v>129</v>
      </c>
      <c r="K196" s="261" t="s">
        <v>123</v>
      </c>
      <c r="L196" s="258" t="s">
        <v>142</v>
      </c>
      <c r="M196" s="258" t="s">
        <v>133</v>
      </c>
    </row>
    <row r="197" spans="1:13" x14ac:dyDescent="0.2">
      <c r="A197" s="258" t="s">
        <v>138</v>
      </c>
      <c r="B197" s="258" t="s">
        <v>139</v>
      </c>
      <c r="C197" s="258" t="s">
        <v>12</v>
      </c>
      <c r="D197" s="258" t="s">
        <v>141</v>
      </c>
      <c r="E197" s="259">
        <v>42878</v>
      </c>
      <c r="F197" s="262">
        <v>4144.5463200000004</v>
      </c>
      <c r="G197" s="261" t="s">
        <v>15</v>
      </c>
      <c r="H197" s="258" t="s">
        <v>16</v>
      </c>
      <c r="I197" s="261">
        <v>11</v>
      </c>
      <c r="J197" s="261" t="s">
        <v>129</v>
      </c>
      <c r="K197" s="261" t="s">
        <v>123</v>
      </c>
      <c r="L197" s="258" t="s">
        <v>142</v>
      </c>
      <c r="M197" s="258" t="s">
        <v>133</v>
      </c>
    </row>
    <row r="198" spans="1:13" x14ac:dyDescent="0.2">
      <c r="A198" s="258" t="s">
        <v>138</v>
      </c>
      <c r="B198" s="258" t="s">
        <v>139</v>
      </c>
      <c r="C198" s="258" t="s">
        <v>12</v>
      </c>
      <c r="D198" s="258" t="s">
        <v>13</v>
      </c>
      <c r="E198" s="259">
        <v>42871</v>
      </c>
      <c r="F198" s="260">
        <v>83.798603499999999</v>
      </c>
      <c r="G198" s="261" t="s">
        <v>14</v>
      </c>
      <c r="H198" s="258" t="s">
        <v>128</v>
      </c>
      <c r="I198" s="261">
        <v>801</v>
      </c>
      <c r="J198" s="261" t="s">
        <v>129</v>
      </c>
      <c r="K198" s="261" t="s">
        <v>123</v>
      </c>
      <c r="L198" s="258" t="s">
        <v>140</v>
      </c>
      <c r="M198" s="258" t="s">
        <v>128</v>
      </c>
    </row>
    <row r="199" spans="1:13" x14ac:dyDescent="0.2">
      <c r="A199" s="258" t="s">
        <v>138</v>
      </c>
      <c r="B199" s="258" t="s">
        <v>139</v>
      </c>
      <c r="C199" s="258" t="s">
        <v>12</v>
      </c>
      <c r="D199" s="258" t="s">
        <v>13</v>
      </c>
      <c r="E199" s="259">
        <v>42871</v>
      </c>
      <c r="F199" s="262">
        <v>11510.55942</v>
      </c>
      <c r="G199" s="261" t="s">
        <v>15</v>
      </c>
      <c r="H199" s="258" t="s">
        <v>128</v>
      </c>
      <c r="I199" s="261">
        <v>801</v>
      </c>
      <c r="J199" s="261" t="s">
        <v>129</v>
      </c>
      <c r="K199" s="261" t="s">
        <v>123</v>
      </c>
      <c r="L199" s="258" t="s">
        <v>140</v>
      </c>
      <c r="M199" s="258" t="s">
        <v>128</v>
      </c>
    </row>
    <row r="200" spans="1:13" x14ac:dyDescent="0.2">
      <c r="A200" s="258" t="s">
        <v>138</v>
      </c>
      <c r="B200" s="258" t="s">
        <v>139</v>
      </c>
      <c r="C200" s="258" t="s">
        <v>12</v>
      </c>
      <c r="D200" s="258" t="s">
        <v>141</v>
      </c>
      <c r="E200" s="259">
        <v>42871</v>
      </c>
      <c r="F200" s="260">
        <v>32.4</v>
      </c>
      <c r="G200" s="261" t="s">
        <v>14</v>
      </c>
      <c r="H200" s="258" t="s">
        <v>16</v>
      </c>
      <c r="I200" s="261">
        <v>801</v>
      </c>
      <c r="J200" s="261" t="s">
        <v>129</v>
      </c>
      <c r="K200" s="261" t="s">
        <v>123</v>
      </c>
      <c r="L200" s="258" t="s">
        <v>140</v>
      </c>
      <c r="M200" s="258" t="s">
        <v>133</v>
      </c>
    </row>
    <row r="201" spans="1:13" x14ac:dyDescent="0.2">
      <c r="A201" s="258" t="s">
        <v>138</v>
      </c>
      <c r="B201" s="258" t="s">
        <v>139</v>
      </c>
      <c r="C201" s="258" t="s">
        <v>12</v>
      </c>
      <c r="D201" s="258" t="s">
        <v>141</v>
      </c>
      <c r="E201" s="259">
        <v>42871</v>
      </c>
      <c r="F201" s="262">
        <v>4523.4158399999997</v>
      </c>
      <c r="G201" s="261" t="s">
        <v>15</v>
      </c>
      <c r="H201" s="258" t="s">
        <v>16</v>
      </c>
      <c r="I201" s="261">
        <v>801</v>
      </c>
      <c r="J201" s="261" t="s">
        <v>129</v>
      </c>
      <c r="K201" s="261" t="s">
        <v>123</v>
      </c>
      <c r="L201" s="258" t="s">
        <v>140</v>
      </c>
      <c r="M201" s="258" t="s">
        <v>133</v>
      </c>
    </row>
    <row r="202" spans="1:13" x14ac:dyDescent="0.2">
      <c r="A202" s="258" t="s">
        <v>138</v>
      </c>
      <c r="B202" s="258" t="s">
        <v>139</v>
      </c>
      <c r="C202" s="258" t="s">
        <v>12</v>
      </c>
      <c r="D202" s="258" t="s">
        <v>13</v>
      </c>
      <c r="E202" s="259">
        <v>42864</v>
      </c>
      <c r="F202" s="260">
        <v>67.973473400000003</v>
      </c>
      <c r="G202" s="261" t="s">
        <v>14</v>
      </c>
      <c r="H202" s="258" t="s">
        <v>128</v>
      </c>
      <c r="I202" s="261">
        <v>801</v>
      </c>
      <c r="J202" s="261" t="s">
        <v>129</v>
      </c>
      <c r="K202" s="261" t="s">
        <v>123</v>
      </c>
      <c r="L202" s="258" t="s">
        <v>140</v>
      </c>
      <c r="M202" s="258" t="s">
        <v>128</v>
      </c>
    </row>
    <row r="203" spans="1:13" x14ac:dyDescent="0.2">
      <c r="A203" s="258" t="s">
        <v>138</v>
      </c>
      <c r="B203" s="258" t="s">
        <v>139</v>
      </c>
      <c r="C203" s="258" t="s">
        <v>12</v>
      </c>
      <c r="D203" s="258" t="s">
        <v>13</v>
      </c>
      <c r="E203" s="259">
        <v>42864</v>
      </c>
      <c r="F203" s="262">
        <v>9172.4220719999994</v>
      </c>
      <c r="G203" s="261" t="s">
        <v>15</v>
      </c>
      <c r="H203" s="258" t="s">
        <v>128</v>
      </c>
      <c r="I203" s="261">
        <v>801</v>
      </c>
      <c r="J203" s="261" t="s">
        <v>129</v>
      </c>
      <c r="K203" s="261" t="s">
        <v>123</v>
      </c>
      <c r="L203" s="258" t="s">
        <v>140</v>
      </c>
      <c r="M203" s="258" t="s">
        <v>128</v>
      </c>
    </row>
    <row r="204" spans="1:13" x14ac:dyDescent="0.2">
      <c r="A204" s="258" t="s">
        <v>138</v>
      </c>
      <c r="B204" s="258" t="s">
        <v>139</v>
      </c>
      <c r="C204" s="258" t="s">
        <v>12</v>
      </c>
      <c r="D204" s="258" t="s">
        <v>141</v>
      </c>
      <c r="E204" s="259">
        <v>42864</v>
      </c>
      <c r="F204" s="260">
        <v>31.8</v>
      </c>
      <c r="G204" s="261" t="s">
        <v>14</v>
      </c>
      <c r="H204" s="258" t="s">
        <v>16</v>
      </c>
      <c r="I204" s="261">
        <v>801</v>
      </c>
      <c r="J204" s="261" t="s">
        <v>129</v>
      </c>
      <c r="K204" s="261" t="s">
        <v>123</v>
      </c>
      <c r="L204" s="258" t="s">
        <v>140</v>
      </c>
      <c r="M204" s="258" t="s">
        <v>133</v>
      </c>
    </row>
    <row r="205" spans="1:13" x14ac:dyDescent="0.2">
      <c r="A205" s="258" t="s">
        <v>138</v>
      </c>
      <c r="B205" s="258" t="s">
        <v>139</v>
      </c>
      <c r="C205" s="258" t="s">
        <v>12</v>
      </c>
      <c r="D205" s="258" t="s">
        <v>141</v>
      </c>
      <c r="E205" s="259">
        <v>42864</v>
      </c>
      <c r="F205" s="262">
        <v>4137.3072000000002</v>
      </c>
      <c r="G205" s="261" t="s">
        <v>15</v>
      </c>
      <c r="H205" s="258" t="s">
        <v>16</v>
      </c>
      <c r="I205" s="261">
        <v>801</v>
      </c>
      <c r="J205" s="261" t="s">
        <v>129</v>
      </c>
      <c r="K205" s="261" t="s">
        <v>123</v>
      </c>
      <c r="L205" s="258" t="s">
        <v>140</v>
      </c>
      <c r="M205" s="258" t="s">
        <v>133</v>
      </c>
    </row>
    <row r="206" spans="1:13" x14ac:dyDescent="0.2">
      <c r="A206" s="258" t="s">
        <v>138</v>
      </c>
      <c r="B206" s="258" t="s">
        <v>139</v>
      </c>
      <c r="C206" s="258" t="s">
        <v>12</v>
      </c>
      <c r="D206" s="258" t="s">
        <v>13</v>
      </c>
      <c r="E206" s="259">
        <v>42857</v>
      </c>
      <c r="F206" s="260">
        <v>115.47090900000001</v>
      </c>
      <c r="G206" s="261" t="s">
        <v>14</v>
      </c>
      <c r="H206" s="258" t="s">
        <v>128</v>
      </c>
      <c r="I206" s="261">
        <v>801</v>
      </c>
      <c r="J206" s="261" t="s">
        <v>129</v>
      </c>
      <c r="K206" s="261" t="s">
        <v>123</v>
      </c>
      <c r="L206" s="258" t="s">
        <v>140</v>
      </c>
      <c r="M206" s="258" t="s">
        <v>128</v>
      </c>
    </row>
    <row r="207" spans="1:13" x14ac:dyDescent="0.2">
      <c r="A207" s="258" t="s">
        <v>138</v>
      </c>
      <c r="B207" s="258" t="s">
        <v>139</v>
      </c>
      <c r="C207" s="258" t="s">
        <v>12</v>
      </c>
      <c r="D207" s="258" t="s">
        <v>13</v>
      </c>
      <c r="E207" s="259">
        <v>42857</v>
      </c>
      <c r="F207" s="264">
        <v>20021.339268</v>
      </c>
      <c r="G207" s="261" t="s">
        <v>15</v>
      </c>
      <c r="H207" s="258" t="s">
        <v>128</v>
      </c>
      <c r="I207" s="261">
        <v>801</v>
      </c>
      <c r="J207" s="261" t="s">
        <v>129</v>
      </c>
      <c r="K207" s="261" t="s">
        <v>123</v>
      </c>
      <c r="L207" s="258" t="s">
        <v>140</v>
      </c>
      <c r="M207" s="258" t="s">
        <v>128</v>
      </c>
    </row>
    <row r="208" spans="1:13" x14ac:dyDescent="0.2">
      <c r="A208" s="258" t="s">
        <v>138</v>
      </c>
      <c r="B208" s="258" t="s">
        <v>139</v>
      </c>
      <c r="C208" s="258" t="s">
        <v>12</v>
      </c>
      <c r="D208" s="258" t="s">
        <v>141</v>
      </c>
      <c r="E208" s="259">
        <v>42857</v>
      </c>
      <c r="F208" s="260">
        <v>33.6</v>
      </c>
      <c r="G208" s="261" t="s">
        <v>14</v>
      </c>
      <c r="H208" s="258" t="s">
        <v>16</v>
      </c>
      <c r="I208" s="261">
        <v>801</v>
      </c>
      <c r="J208" s="261" t="s">
        <v>129</v>
      </c>
      <c r="K208" s="261" t="s">
        <v>123</v>
      </c>
      <c r="L208" s="258" t="s">
        <v>140</v>
      </c>
      <c r="M208" s="258" t="s">
        <v>133</v>
      </c>
    </row>
    <row r="209" spans="1:13" x14ac:dyDescent="0.2">
      <c r="A209" s="258" t="s">
        <v>138</v>
      </c>
      <c r="B209" s="258" t="s">
        <v>139</v>
      </c>
      <c r="C209" s="258" t="s">
        <v>12</v>
      </c>
      <c r="D209" s="258" t="s">
        <v>141</v>
      </c>
      <c r="E209" s="259">
        <v>42857</v>
      </c>
      <c r="F209" s="262">
        <v>5593.2710399999996</v>
      </c>
      <c r="G209" s="261" t="s">
        <v>15</v>
      </c>
      <c r="H209" s="258" t="s">
        <v>16</v>
      </c>
      <c r="I209" s="261">
        <v>801</v>
      </c>
      <c r="J209" s="261" t="s">
        <v>129</v>
      </c>
      <c r="K209" s="261" t="s">
        <v>123</v>
      </c>
      <c r="L209" s="258" t="s">
        <v>140</v>
      </c>
      <c r="M209" s="258" t="s">
        <v>133</v>
      </c>
    </row>
    <row r="210" spans="1:13" x14ac:dyDescent="0.2">
      <c r="A210" s="258" t="s">
        <v>138</v>
      </c>
      <c r="B210" s="258" t="s">
        <v>139</v>
      </c>
      <c r="C210" s="258" t="s">
        <v>12</v>
      </c>
      <c r="D210" s="258" t="s">
        <v>13</v>
      </c>
      <c r="E210" s="259">
        <v>42850</v>
      </c>
      <c r="F210" s="260">
        <v>60.68</v>
      </c>
      <c r="G210" s="261" t="s">
        <v>14</v>
      </c>
      <c r="H210" s="258" t="s">
        <v>128</v>
      </c>
      <c r="I210" s="261">
        <v>801</v>
      </c>
      <c r="J210" s="261" t="s">
        <v>129</v>
      </c>
      <c r="K210" s="261" t="s">
        <v>123</v>
      </c>
      <c r="L210" s="258" t="s">
        <v>140</v>
      </c>
    </row>
    <row r="211" spans="1:13" x14ac:dyDescent="0.2">
      <c r="A211" s="258" t="s">
        <v>138</v>
      </c>
      <c r="B211" s="258" t="s">
        <v>139</v>
      </c>
      <c r="C211" s="258" t="s">
        <v>12</v>
      </c>
      <c r="D211" s="258" t="s">
        <v>13</v>
      </c>
      <c r="E211" s="259">
        <v>42850</v>
      </c>
      <c r="F211" s="262">
        <v>9245.9208240000007</v>
      </c>
      <c r="G211" s="261" t="s">
        <v>15</v>
      </c>
      <c r="H211" s="258" t="s">
        <v>128</v>
      </c>
      <c r="I211" s="261">
        <v>801</v>
      </c>
      <c r="J211" s="261" t="s">
        <v>129</v>
      </c>
      <c r="K211" s="261" t="s">
        <v>123</v>
      </c>
      <c r="L211" s="258" t="s">
        <v>140</v>
      </c>
    </row>
    <row r="212" spans="1:13" x14ac:dyDescent="0.2">
      <c r="A212" s="258" t="s">
        <v>138</v>
      </c>
      <c r="B212" s="258" t="s">
        <v>139</v>
      </c>
      <c r="C212" s="258" t="s">
        <v>12</v>
      </c>
      <c r="D212" s="258" t="s">
        <v>141</v>
      </c>
      <c r="E212" s="259">
        <v>42850</v>
      </c>
      <c r="F212" s="260">
        <v>33.200000000000003</v>
      </c>
      <c r="G212" s="261" t="s">
        <v>14</v>
      </c>
      <c r="H212" s="258" t="s">
        <v>16</v>
      </c>
      <c r="I212" s="261">
        <v>11</v>
      </c>
      <c r="J212" s="261" t="s">
        <v>129</v>
      </c>
      <c r="K212" s="261" t="s">
        <v>123</v>
      </c>
      <c r="L212" s="258" t="s">
        <v>142</v>
      </c>
    </row>
    <row r="213" spans="1:13" x14ac:dyDescent="0.2">
      <c r="A213" s="258" t="s">
        <v>138</v>
      </c>
      <c r="B213" s="258" t="s">
        <v>139</v>
      </c>
      <c r="C213" s="258" t="s">
        <v>12</v>
      </c>
      <c r="D213" s="258" t="s">
        <v>141</v>
      </c>
      <c r="E213" s="259">
        <v>42850</v>
      </c>
      <c r="F213" s="262">
        <v>4745.8603199999998</v>
      </c>
      <c r="G213" s="261" t="s">
        <v>15</v>
      </c>
      <c r="H213" s="258" t="s">
        <v>16</v>
      </c>
      <c r="I213" s="261">
        <v>11</v>
      </c>
      <c r="J213" s="261" t="s">
        <v>129</v>
      </c>
      <c r="K213" s="261" t="s">
        <v>123</v>
      </c>
      <c r="L213" s="258" t="s">
        <v>142</v>
      </c>
    </row>
    <row r="214" spans="1:13" x14ac:dyDescent="0.2">
      <c r="A214" s="258" t="s">
        <v>138</v>
      </c>
      <c r="B214" s="258" t="s">
        <v>139</v>
      </c>
      <c r="C214" s="258" t="s">
        <v>12</v>
      </c>
      <c r="D214" s="258" t="s">
        <v>13</v>
      </c>
      <c r="E214" s="259">
        <v>42842</v>
      </c>
      <c r="F214" s="260">
        <v>63.24</v>
      </c>
      <c r="G214" s="261" t="s">
        <v>14</v>
      </c>
      <c r="H214" s="258" t="s">
        <v>128</v>
      </c>
      <c r="I214" s="261">
        <v>801</v>
      </c>
      <c r="J214" s="261" t="s">
        <v>129</v>
      </c>
      <c r="K214" s="261" t="s">
        <v>123</v>
      </c>
      <c r="L214" s="258" t="s">
        <v>140</v>
      </c>
    </row>
    <row r="215" spans="1:13" x14ac:dyDescent="0.2">
      <c r="A215" s="258" t="s">
        <v>138</v>
      </c>
      <c r="B215" s="258" t="s">
        <v>139</v>
      </c>
      <c r="C215" s="258" t="s">
        <v>12</v>
      </c>
      <c r="D215" s="258" t="s">
        <v>13</v>
      </c>
      <c r="E215" s="259">
        <v>42842</v>
      </c>
      <c r="F215" s="262">
        <v>9799.4933280000005</v>
      </c>
      <c r="G215" s="261" t="s">
        <v>15</v>
      </c>
      <c r="H215" s="258" t="s">
        <v>128</v>
      </c>
      <c r="I215" s="261">
        <v>801</v>
      </c>
      <c r="J215" s="261" t="s">
        <v>129</v>
      </c>
      <c r="K215" s="261" t="s">
        <v>123</v>
      </c>
      <c r="L215" s="258" t="s">
        <v>140</v>
      </c>
    </row>
    <row r="216" spans="1:13" x14ac:dyDescent="0.2">
      <c r="A216" s="258" t="s">
        <v>138</v>
      </c>
      <c r="B216" s="258" t="s">
        <v>139</v>
      </c>
      <c r="C216" s="258" t="s">
        <v>12</v>
      </c>
      <c r="D216" s="258" t="s">
        <v>141</v>
      </c>
      <c r="E216" s="259">
        <v>42842</v>
      </c>
      <c r="F216" s="260">
        <v>25.8</v>
      </c>
      <c r="G216" s="261" t="s">
        <v>14</v>
      </c>
      <c r="H216" s="258" t="s">
        <v>16</v>
      </c>
      <c r="I216" s="261">
        <v>801</v>
      </c>
      <c r="J216" s="261" t="s">
        <v>129</v>
      </c>
      <c r="K216" s="261" t="s">
        <v>123</v>
      </c>
      <c r="L216" s="258" t="s">
        <v>140</v>
      </c>
    </row>
    <row r="217" spans="1:13" x14ac:dyDescent="0.2">
      <c r="A217" s="258" t="s">
        <v>138</v>
      </c>
      <c r="B217" s="258" t="s">
        <v>139</v>
      </c>
      <c r="C217" s="258" t="s">
        <v>12</v>
      </c>
      <c r="D217" s="258" t="s">
        <v>141</v>
      </c>
      <c r="E217" s="259">
        <v>42842</v>
      </c>
      <c r="F217" s="262">
        <v>3718.1721600000001</v>
      </c>
      <c r="G217" s="261" t="s">
        <v>15</v>
      </c>
      <c r="H217" s="258" t="s">
        <v>16</v>
      </c>
      <c r="I217" s="261">
        <v>801</v>
      </c>
      <c r="J217" s="261" t="s">
        <v>129</v>
      </c>
      <c r="K217" s="261" t="s">
        <v>123</v>
      </c>
      <c r="L217" s="258" t="s">
        <v>140</v>
      </c>
    </row>
    <row r="218" spans="1:13" x14ac:dyDescent="0.2">
      <c r="A218" s="258" t="s">
        <v>138</v>
      </c>
      <c r="B218" s="258" t="s">
        <v>139</v>
      </c>
      <c r="C218" s="258" t="s">
        <v>12</v>
      </c>
      <c r="D218" s="258" t="s">
        <v>13</v>
      </c>
      <c r="E218" s="259">
        <v>42835</v>
      </c>
      <c r="F218" s="260">
        <v>58.33</v>
      </c>
      <c r="G218" s="261" t="s">
        <v>14</v>
      </c>
      <c r="H218" s="258" t="s">
        <v>128</v>
      </c>
      <c r="I218" s="261">
        <v>801</v>
      </c>
      <c r="J218" s="261" t="s">
        <v>129</v>
      </c>
      <c r="K218" s="261" t="s">
        <v>123</v>
      </c>
      <c r="L218" s="258" t="s">
        <v>140</v>
      </c>
    </row>
    <row r="219" spans="1:13" x14ac:dyDescent="0.2">
      <c r="A219" s="258" t="s">
        <v>138</v>
      </c>
      <c r="B219" s="258" t="s">
        <v>139</v>
      </c>
      <c r="C219" s="258" t="s">
        <v>12</v>
      </c>
      <c r="D219" s="258" t="s">
        <v>13</v>
      </c>
      <c r="E219" s="259">
        <v>42835</v>
      </c>
      <c r="F219" s="262">
        <v>8946.2237580000001</v>
      </c>
      <c r="G219" s="261" t="s">
        <v>15</v>
      </c>
      <c r="H219" s="258" t="s">
        <v>128</v>
      </c>
      <c r="I219" s="261">
        <v>801</v>
      </c>
      <c r="J219" s="261" t="s">
        <v>129</v>
      </c>
      <c r="K219" s="261" t="s">
        <v>123</v>
      </c>
      <c r="L219" s="258" t="s">
        <v>140</v>
      </c>
    </row>
    <row r="220" spans="1:13" x14ac:dyDescent="0.2">
      <c r="A220" s="258" t="s">
        <v>138</v>
      </c>
      <c r="B220" s="258" t="s">
        <v>139</v>
      </c>
      <c r="C220" s="258" t="s">
        <v>12</v>
      </c>
      <c r="D220" s="258" t="s">
        <v>141</v>
      </c>
      <c r="E220" s="259">
        <v>42835</v>
      </c>
      <c r="F220" s="260">
        <v>18.100000000000001</v>
      </c>
      <c r="G220" s="261" t="s">
        <v>14</v>
      </c>
      <c r="H220" s="258" t="s">
        <v>16</v>
      </c>
      <c r="I220" s="261">
        <v>801</v>
      </c>
      <c r="J220" s="261" t="s">
        <v>129</v>
      </c>
      <c r="K220" s="261" t="s">
        <v>123</v>
      </c>
      <c r="L220" s="258" t="s">
        <v>140</v>
      </c>
    </row>
    <row r="221" spans="1:13" x14ac:dyDescent="0.2">
      <c r="A221" s="258" t="s">
        <v>138</v>
      </c>
      <c r="B221" s="258" t="s">
        <v>139</v>
      </c>
      <c r="C221" s="258" t="s">
        <v>12</v>
      </c>
      <c r="D221" s="258" t="s">
        <v>141</v>
      </c>
      <c r="E221" s="259">
        <v>42835</v>
      </c>
      <c r="F221" s="262">
        <v>2531.4985799999999</v>
      </c>
      <c r="G221" s="261" t="s">
        <v>15</v>
      </c>
      <c r="H221" s="258" t="s">
        <v>16</v>
      </c>
      <c r="I221" s="261">
        <v>801</v>
      </c>
      <c r="J221" s="261" t="s">
        <v>129</v>
      </c>
      <c r="K221" s="261" t="s">
        <v>123</v>
      </c>
      <c r="L221" s="258" t="s">
        <v>140</v>
      </c>
    </row>
    <row r="222" spans="1:13" x14ac:dyDescent="0.2">
      <c r="A222" s="258" t="s">
        <v>138</v>
      </c>
      <c r="B222" s="258" t="s">
        <v>139</v>
      </c>
      <c r="C222" s="258" t="s">
        <v>12</v>
      </c>
      <c r="D222" s="258" t="s">
        <v>13</v>
      </c>
      <c r="E222" s="259">
        <v>42829</v>
      </c>
      <c r="F222" s="260">
        <v>50.44</v>
      </c>
      <c r="G222" s="261" t="s">
        <v>14</v>
      </c>
      <c r="H222" s="258" t="s">
        <v>128</v>
      </c>
      <c r="I222" s="261">
        <v>801</v>
      </c>
      <c r="J222" s="261" t="s">
        <v>129</v>
      </c>
      <c r="K222" s="261" t="s">
        <v>123</v>
      </c>
      <c r="L222" s="258" t="s">
        <v>140</v>
      </c>
    </row>
    <row r="223" spans="1:13" x14ac:dyDescent="0.2">
      <c r="A223" s="258" t="s">
        <v>138</v>
      </c>
      <c r="B223" s="258" t="s">
        <v>139</v>
      </c>
      <c r="C223" s="258" t="s">
        <v>12</v>
      </c>
      <c r="D223" s="258" t="s">
        <v>13</v>
      </c>
      <c r="E223" s="259">
        <v>42829</v>
      </c>
      <c r="F223" s="262">
        <v>7466.8854000000001</v>
      </c>
      <c r="G223" s="261" t="s">
        <v>15</v>
      </c>
      <c r="H223" s="258" t="s">
        <v>128</v>
      </c>
      <c r="I223" s="261">
        <v>801</v>
      </c>
      <c r="J223" s="261" t="s">
        <v>129</v>
      </c>
      <c r="K223" s="261" t="s">
        <v>123</v>
      </c>
      <c r="L223" s="258" t="s">
        <v>140</v>
      </c>
    </row>
    <row r="224" spans="1:13" x14ac:dyDescent="0.2">
      <c r="A224" s="258" t="s">
        <v>138</v>
      </c>
      <c r="B224" s="258" t="s">
        <v>139</v>
      </c>
      <c r="C224" s="258" t="s">
        <v>12</v>
      </c>
      <c r="D224" s="258" t="s">
        <v>141</v>
      </c>
      <c r="E224" s="259">
        <v>42829</v>
      </c>
      <c r="F224" s="260">
        <v>25.1</v>
      </c>
      <c r="G224" s="261" t="s">
        <v>14</v>
      </c>
      <c r="H224" s="258" t="s">
        <v>16</v>
      </c>
      <c r="I224" s="261">
        <v>801</v>
      </c>
      <c r="J224" s="261" t="s">
        <v>129</v>
      </c>
      <c r="K224" s="261" t="s">
        <v>123</v>
      </c>
      <c r="L224" s="258" t="s">
        <v>140</v>
      </c>
    </row>
    <row r="225" spans="1:12" x14ac:dyDescent="0.2">
      <c r="A225" s="258" t="s">
        <v>138</v>
      </c>
      <c r="B225" s="258" t="s">
        <v>139</v>
      </c>
      <c r="C225" s="258" t="s">
        <v>12</v>
      </c>
      <c r="D225" s="258" t="s">
        <v>141</v>
      </c>
      <c r="E225" s="259">
        <v>42829</v>
      </c>
      <c r="F225" s="262">
        <v>3407.9575199999999</v>
      </c>
      <c r="G225" s="261" t="s">
        <v>15</v>
      </c>
      <c r="H225" s="258" t="s">
        <v>16</v>
      </c>
      <c r="I225" s="261">
        <v>801</v>
      </c>
      <c r="J225" s="261" t="s">
        <v>129</v>
      </c>
      <c r="K225" s="261" t="s">
        <v>123</v>
      </c>
      <c r="L225" s="258" t="s">
        <v>140</v>
      </c>
    </row>
    <row r="226" spans="1:12" x14ac:dyDescent="0.2">
      <c r="A226" s="258" t="s">
        <v>138</v>
      </c>
      <c r="B226" s="258" t="s">
        <v>139</v>
      </c>
      <c r="C226" s="258" t="s">
        <v>12</v>
      </c>
      <c r="D226" s="258" t="s">
        <v>13</v>
      </c>
      <c r="E226" s="259">
        <v>42822</v>
      </c>
      <c r="F226" s="260">
        <v>76.180000000000007</v>
      </c>
      <c r="G226" s="261" t="s">
        <v>14</v>
      </c>
      <c r="H226" s="258" t="s">
        <v>128</v>
      </c>
      <c r="I226" s="261">
        <v>801</v>
      </c>
      <c r="J226" s="261" t="s">
        <v>129</v>
      </c>
      <c r="K226" s="261" t="s">
        <v>123</v>
      </c>
      <c r="L226" s="258" t="s">
        <v>140</v>
      </c>
    </row>
    <row r="227" spans="1:12" x14ac:dyDescent="0.2">
      <c r="A227" s="258" t="s">
        <v>138</v>
      </c>
      <c r="B227" s="258" t="s">
        <v>139</v>
      </c>
      <c r="C227" s="258" t="s">
        <v>12</v>
      </c>
      <c r="D227" s="258" t="s">
        <v>13</v>
      </c>
      <c r="E227" s="259">
        <v>42822</v>
      </c>
      <c r="F227" s="262">
        <v>9955.7966039999992</v>
      </c>
      <c r="G227" s="261" t="s">
        <v>15</v>
      </c>
      <c r="H227" s="258" t="s">
        <v>128</v>
      </c>
      <c r="I227" s="261">
        <v>801</v>
      </c>
      <c r="J227" s="261" t="s">
        <v>129</v>
      </c>
      <c r="K227" s="261" t="s">
        <v>123</v>
      </c>
      <c r="L227" s="258" t="s">
        <v>140</v>
      </c>
    </row>
    <row r="228" spans="1:12" x14ac:dyDescent="0.2">
      <c r="A228" s="258" t="s">
        <v>138</v>
      </c>
      <c r="B228" s="258" t="s">
        <v>139</v>
      </c>
      <c r="C228" s="258" t="s">
        <v>12</v>
      </c>
      <c r="D228" s="258" t="s">
        <v>141</v>
      </c>
      <c r="E228" s="259">
        <v>42822</v>
      </c>
      <c r="F228" s="260">
        <v>27</v>
      </c>
      <c r="G228" s="261" t="s">
        <v>14</v>
      </c>
      <c r="H228" s="258" t="s">
        <v>16</v>
      </c>
      <c r="I228" s="261">
        <v>801</v>
      </c>
      <c r="J228" s="261" t="s">
        <v>129</v>
      </c>
      <c r="K228" s="261" t="s">
        <v>123</v>
      </c>
      <c r="L228" s="258" t="s">
        <v>140</v>
      </c>
    </row>
    <row r="229" spans="1:12" x14ac:dyDescent="0.2">
      <c r="A229" s="258" t="s">
        <v>138</v>
      </c>
      <c r="B229" s="258" t="s">
        <v>139</v>
      </c>
      <c r="C229" s="258" t="s">
        <v>12</v>
      </c>
      <c r="D229" s="258" t="s">
        <v>141</v>
      </c>
      <c r="E229" s="259">
        <v>42822</v>
      </c>
      <c r="F229" s="262">
        <v>3003.9011999999998</v>
      </c>
      <c r="G229" s="261" t="s">
        <v>15</v>
      </c>
      <c r="H229" s="258" t="s">
        <v>16</v>
      </c>
      <c r="I229" s="261">
        <v>801</v>
      </c>
      <c r="J229" s="261" t="s">
        <v>129</v>
      </c>
      <c r="K229" s="261" t="s">
        <v>123</v>
      </c>
      <c r="L229" s="258" t="s">
        <v>140</v>
      </c>
    </row>
    <row r="230" spans="1:12" x14ac:dyDescent="0.2">
      <c r="A230" s="258" t="s">
        <v>138</v>
      </c>
      <c r="B230" s="258" t="s">
        <v>139</v>
      </c>
      <c r="C230" s="258" t="s">
        <v>12</v>
      </c>
      <c r="D230" s="258" t="s">
        <v>13</v>
      </c>
      <c r="E230" s="259">
        <v>42808</v>
      </c>
      <c r="F230" s="260">
        <v>61.07</v>
      </c>
      <c r="G230" s="261" t="s">
        <v>14</v>
      </c>
      <c r="H230" s="258" t="s">
        <v>128</v>
      </c>
      <c r="I230" s="261">
        <v>801</v>
      </c>
      <c r="J230" s="261" t="s">
        <v>129</v>
      </c>
      <c r="K230" s="261" t="s">
        <v>123</v>
      </c>
      <c r="L230" s="258" t="s">
        <v>140</v>
      </c>
    </row>
    <row r="231" spans="1:12" x14ac:dyDescent="0.2">
      <c r="A231" s="258" t="s">
        <v>138</v>
      </c>
      <c r="B231" s="258" t="s">
        <v>139</v>
      </c>
      <c r="C231" s="258" t="s">
        <v>12</v>
      </c>
      <c r="D231" s="258" t="s">
        <v>13</v>
      </c>
      <c r="E231" s="259">
        <v>42808</v>
      </c>
      <c r="F231" s="262">
        <v>9697.5251520000002</v>
      </c>
      <c r="G231" s="261" t="s">
        <v>15</v>
      </c>
      <c r="H231" s="258" t="s">
        <v>128</v>
      </c>
      <c r="I231" s="261">
        <v>801</v>
      </c>
      <c r="J231" s="261" t="s">
        <v>129</v>
      </c>
      <c r="K231" s="261" t="s">
        <v>123</v>
      </c>
      <c r="L231" s="258" t="s">
        <v>140</v>
      </c>
    </row>
    <row r="232" spans="1:12" x14ac:dyDescent="0.2">
      <c r="A232" s="258" t="s">
        <v>138</v>
      </c>
      <c r="B232" s="258" t="s">
        <v>139</v>
      </c>
      <c r="C232" s="258" t="s">
        <v>12</v>
      </c>
      <c r="D232" s="258" t="s">
        <v>141</v>
      </c>
      <c r="E232" s="259">
        <v>42808</v>
      </c>
      <c r="F232" s="260">
        <v>36.9</v>
      </c>
      <c r="G232" s="261" t="s">
        <v>14</v>
      </c>
      <c r="H232" s="258" t="s">
        <v>16</v>
      </c>
      <c r="I232" s="261">
        <v>801</v>
      </c>
      <c r="J232" s="261" t="s">
        <v>129</v>
      </c>
      <c r="K232" s="261" t="s">
        <v>123</v>
      </c>
      <c r="L232" s="258" t="s">
        <v>140</v>
      </c>
    </row>
    <row r="233" spans="1:12" x14ac:dyDescent="0.2">
      <c r="A233" s="258" t="s">
        <v>138</v>
      </c>
      <c r="B233" s="258" t="s">
        <v>139</v>
      </c>
      <c r="C233" s="258" t="s">
        <v>12</v>
      </c>
      <c r="D233" s="258" t="s">
        <v>141</v>
      </c>
      <c r="E233" s="259">
        <v>42808</v>
      </c>
      <c r="F233" s="262">
        <v>5493.2660999999998</v>
      </c>
      <c r="G233" s="261" t="s">
        <v>15</v>
      </c>
      <c r="H233" s="258" t="s">
        <v>16</v>
      </c>
      <c r="I233" s="261">
        <v>801</v>
      </c>
      <c r="J233" s="261" t="s">
        <v>129</v>
      </c>
      <c r="K233" s="261" t="s">
        <v>123</v>
      </c>
      <c r="L233" s="258" t="s">
        <v>140</v>
      </c>
    </row>
    <row r="234" spans="1:12" x14ac:dyDescent="0.2">
      <c r="A234" s="258" t="s">
        <v>138</v>
      </c>
      <c r="B234" s="258" t="s">
        <v>139</v>
      </c>
      <c r="C234" s="258" t="s">
        <v>12</v>
      </c>
      <c r="D234" s="258" t="s">
        <v>13</v>
      </c>
      <c r="E234" s="259">
        <v>42801</v>
      </c>
      <c r="F234" s="260">
        <v>59.13</v>
      </c>
      <c r="G234" s="261" t="s">
        <v>14</v>
      </c>
      <c r="H234" s="258" t="s">
        <v>128</v>
      </c>
      <c r="I234" s="261">
        <v>801</v>
      </c>
      <c r="J234" s="261" t="s">
        <v>129</v>
      </c>
      <c r="K234" s="261" t="s">
        <v>123</v>
      </c>
      <c r="L234" s="258" t="s">
        <v>140</v>
      </c>
    </row>
    <row r="235" spans="1:12" x14ac:dyDescent="0.2">
      <c r="A235" s="258" t="s">
        <v>138</v>
      </c>
      <c r="B235" s="258" t="s">
        <v>139</v>
      </c>
      <c r="C235" s="258" t="s">
        <v>12</v>
      </c>
      <c r="D235" s="258" t="s">
        <v>13</v>
      </c>
      <c r="E235" s="259">
        <v>42801</v>
      </c>
      <c r="F235" s="262">
        <v>7796.6098019999999</v>
      </c>
      <c r="G235" s="261" t="s">
        <v>15</v>
      </c>
      <c r="H235" s="258" t="s">
        <v>128</v>
      </c>
      <c r="I235" s="261">
        <v>801</v>
      </c>
      <c r="J235" s="261" t="s">
        <v>129</v>
      </c>
      <c r="K235" s="261" t="s">
        <v>123</v>
      </c>
      <c r="L235" s="258" t="s">
        <v>140</v>
      </c>
    </row>
    <row r="236" spans="1:12" x14ac:dyDescent="0.2">
      <c r="A236" s="258" t="s">
        <v>138</v>
      </c>
      <c r="B236" s="258" t="s">
        <v>139</v>
      </c>
      <c r="C236" s="258" t="s">
        <v>12</v>
      </c>
      <c r="D236" s="258" t="s">
        <v>141</v>
      </c>
      <c r="E236" s="259">
        <v>42801</v>
      </c>
      <c r="F236" s="260">
        <v>27.3</v>
      </c>
      <c r="G236" s="261" t="s">
        <v>14</v>
      </c>
      <c r="H236" s="258" t="s">
        <v>16</v>
      </c>
      <c r="I236" s="261">
        <v>11</v>
      </c>
      <c r="J236" s="261" t="s">
        <v>129</v>
      </c>
      <c r="K236" s="261" t="s">
        <v>123</v>
      </c>
      <c r="L236" s="258" t="s">
        <v>142</v>
      </c>
    </row>
    <row r="237" spans="1:12" x14ac:dyDescent="0.2">
      <c r="A237" s="258" t="s">
        <v>138</v>
      </c>
      <c r="B237" s="258" t="s">
        <v>139</v>
      </c>
      <c r="C237" s="258" t="s">
        <v>12</v>
      </c>
      <c r="D237" s="258" t="s">
        <v>141</v>
      </c>
      <c r="E237" s="259">
        <v>42801</v>
      </c>
      <c r="F237" s="262">
        <v>3467.5968600000001</v>
      </c>
      <c r="G237" s="261" t="s">
        <v>15</v>
      </c>
      <c r="H237" s="258" t="s">
        <v>16</v>
      </c>
      <c r="I237" s="261">
        <v>11</v>
      </c>
      <c r="J237" s="261" t="s">
        <v>129</v>
      </c>
      <c r="K237" s="261" t="s">
        <v>123</v>
      </c>
      <c r="L237" s="258" t="s">
        <v>142</v>
      </c>
    </row>
    <row r="238" spans="1:12" x14ac:dyDescent="0.2">
      <c r="A238" s="258" t="s">
        <v>138</v>
      </c>
      <c r="B238" s="258" t="s">
        <v>139</v>
      </c>
      <c r="C238" s="258" t="s">
        <v>12</v>
      </c>
      <c r="D238" s="258" t="s">
        <v>13</v>
      </c>
      <c r="E238" s="259">
        <v>42794</v>
      </c>
      <c r="F238" s="260">
        <v>59.7</v>
      </c>
      <c r="G238" s="261" t="s">
        <v>14</v>
      </c>
      <c r="H238" s="258" t="s">
        <v>128</v>
      </c>
      <c r="I238" s="261">
        <v>801</v>
      </c>
      <c r="J238" s="261" t="s">
        <v>129</v>
      </c>
      <c r="K238" s="261" t="s">
        <v>123</v>
      </c>
      <c r="L238" s="258" t="s">
        <v>140</v>
      </c>
    </row>
    <row r="239" spans="1:12" x14ac:dyDescent="0.2">
      <c r="A239" s="258" t="s">
        <v>138</v>
      </c>
      <c r="B239" s="258" t="s">
        <v>139</v>
      </c>
      <c r="C239" s="258" t="s">
        <v>12</v>
      </c>
      <c r="D239" s="258" t="s">
        <v>13</v>
      </c>
      <c r="E239" s="259">
        <v>42794</v>
      </c>
      <c r="F239" s="262">
        <v>8105.7794400000002</v>
      </c>
      <c r="G239" s="261" t="s">
        <v>15</v>
      </c>
      <c r="H239" s="258" t="s">
        <v>128</v>
      </c>
      <c r="I239" s="261">
        <v>801</v>
      </c>
      <c r="J239" s="261" t="s">
        <v>129</v>
      </c>
      <c r="K239" s="261" t="s">
        <v>123</v>
      </c>
      <c r="L239" s="258" t="s">
        <v>140</v>
      </c>
    </row>
    <row r="240" spans="1:12" x14ac:dyDescent="0.2">
      <c r="A240" s="258" t="s">
        <v>138</v>
      </c>
      <c r="B240" s="258" t="s">
        <v>139</v>
      </c>
      <c r="C240" s="258" t="s">
        <v>12</v>
      </c>
      <c r="D240" s="258" t="s">
        <v>141</v>
      </c>
      <c r="E240" s="259">
        <v>42794</v>
      </c>
      <c r="F240" s="260">
        <v>26.6</v>
      </c>
      <c r="G240" s="261" t="s">
        <v>14</v>
      </c>
      <c r="H240" s="258" t="s">
        <v>16</v>
      </c>
      <c r="I240" s="261">
        <v>11</v>
      </c>
      <c r="J240" s="261" t="s">
        <v>129</v>
      </c>
      <c r="K240" s="261" t="s">
        <v>123</v>
      </c>
      <c r="L240" s="258" t="s">
        <v>142</v>
      </c>
    </row>
    <row r="241" spans="1:12" x14ac:dyDescent="0.2">
      <c r="A241" s="258" t="s">
        <v>138</v>
      </c>
      <c r="B241" s="258" t="s">
        <v>139</v>
      </c>
      <c r="C241" s="258" t="s">
        <v>12</v>
      </c>
      <c r="D241" s="258" t="s">
        <v>141</v>
      </c>
      <c r="E241" s="259">
        <v>42794</v>
      </c>
      <c r="F241" s="262">
        <v>3145.7479199999998</v>
      </c>
      <c r="G241" s="261" t="s">
        <v>15</v>
      </c>
      <c r="H241" s="258" t="s">
        <v>16</v>
      </c>
      <c r="I241" s="261">
        <v>11</v>
      </c>
      <c r="J241" s="261" t="s">
        <v>129</v>
      </c>
      <c r="K241" s="261" t="s">
        <v>123</v>
      </c>
      <c r="L241" s="258" t="s">
        <v>142</v>
      </c>
    </row>
    <row r="242" spans="1:12" x14ac:dyDescent="0.2">
      <c r="A242" s="258" t="s">
        <v>138</v>
      </c>
      <c r="B242" s="258" t="s">
        <v>139</v>
      </c>
      <c r="C242" s="258" t="s">
        <v>12</v>
      </c>
      <c r="D242" s="258" t="s">
        <v>13</v>
      </c>
      <c r="E242" s="259">
        <v>42787</v>
      </c>
      <c r="F242" s="260">
        <v>65.2</v>
      </c>
      <c r="G242" s="261" t="s">
        <v>14</v>
      </c>
      <c r="H242" s="258" t="s">
        <v>128</v>
      </c>
      <c r="I242" s="261">
        <v>801</v>
      </c>
      <c r="J242" s="261" t="s">
        <v>129</v>
      </c>
      <c r="K242" s="261" t="s">
        <v>123</v>
      </c>
      <c r="L242" s="258" t="s">
        <v>140</v>
      </c>
    </row>
    <row r="243" spans="1:12" x14ac:dyDescent="0.2">
      <c r="A243" s="258" t="s">
        <v>138</v>
      </c>
      <c r="B243" s="258" t="s">
        <v>139</v>
      </c>
      <c r="C243" s="258" t="s">
        <v>12</v>
      </c>
      <c r="D243" s="258" t="s">
        <v>13</v>
      </c>
      <c r="E243" s="259">
        <v>42787</v>
      </c>
      <c r="F243" s="262">
        <v>8390.3402399999995</v>
      </c>
      <c r="G243" s="261" t="s">
        <v>15</v>
      </c>
      <c r="H243" s="258" t="s">
        <v>128</v>
      </c>
      <c r="I243" s="261">
        <v>801</v>
      </c>
      <c r="J243" s="261" t="s">
        <v>129</v>
      </c>
      <c r="K243" s="261" t="s">
        <v>123</v>
      </c>
      <c r="L243" s="258" t="s">
        <v>140</v>
      </c>
    </row>
    <row r="244" spans="1:12" x14ac:dyDescent="0.2">
      <c r="A244" s="258" t="s">
        <v>138</v>
      </c>
      <c r="B244" s="258" t="s">
        <v>139</v>
      </c>
      <c r="C244" s="258" t="s">
        <v>12</v>
      </c>
      <c r="D244" s="258" t="s">
        <v>141</v>
      </c>
      <c r="E244" s="259">
        <v>42787</v>
      </c>
      <c r="F244" s="260">
        <v>40.6</v>
      </c>
      <c r="G244" s="261" t="s">
        <v>14</v>
      </c>
      <c r="H244" s="258" t="s">
        <v>16</v>
      </c>
      <c r="I244" s="261">
        <v>801</v>
      </c>
      <c r="J244" s="261" t="s">
        <v>129</v>
      </c>
      <c r="K244" s="261" t="s">
        <v>123</v>
      </c>
      <c r="L244" s="258" t="s">
        <v>140</v>
      </c>
    </row>
    <row r="245" spans="1:12" x14ac:dyDescent="0.2">
      <c r="A245" s="258" t="s">
        <v>138</v>
      </c>
      <c r="B245" s="258" t="s">
        <v>139</v>
      </c>
      <c r="C245" s="258" t="s">
        <v>12</v>
      </c>
      <c r="D245" s="258" t="s">
        <v>141</v>
      </c>
      <c r="E245" s="259">
        <v>42787</v>
      </c>
      <c r="F245" s="262">
        <v>4794.6326399999998</v>
      </c>
      <c r="G245" s="261" t="s">
        <v>15</v>
      </c>
      <c r="H245" s="258" t="s">
        <v>16</v>
      </c>
      <c r="I245" s="261">
        <v>801</v>
      </c>
      <c r="J245" s="261" t="s">
        <v>129</v>
      </c>
      <c r="K245" s="261" t="s">
        <v>123</v>
      </c>
      <c r="L245" s="258" t="s">
        <v>140</v>
      </c>
    </row>
    <row r="246" spans="1:12" x14ac:dyDescent="0.2">
      <c r="A246" s="258" t="s">
        <v>138</v>
      </c>
      <c r="B246" s="258" t="s">
        <v>139</v>
      </c>
      <c r="C246" s="258" t="s">
        <v>12</v>
      </c>
      <c r="D246" s="258" t="s">
        <v>13</v>
      </c>
      <c r="E246" s="259">
        <v>42780</v>
      </c>
      <c r="F246" s="260">
        <v>80.400000000000006</v>
      </c>
      <c r="G246" s="261" t="s">
        <v>14</v>
      </c>
      <c r="H246" s="258" t="s">
        <v>128</v>
      </c>
      <c r="I246" s="261">
        <v>801</v>
      </c>
      <c r="J246" s="261" t="s">
        <v>129</v>
      </c>
      <c r="K246" s="261" t="s">
        <v>123</v>
      </c>
      <c r="L246" s="258" t="s">
        <v>140</v>
      </c>
    </row>
    <row r="247" spans="1:12" x14ac:dyDescent="0.2">
      <c r="A247" s="258" t="s">
        <v>138</v>
      </c>
      <c r="B247" s="258" t="s">
        <v>139</v>
      </c>
      <c r="C247" s="258" t="s">
        <v>12</v>
      </c>
      <c r="D247" s="258" t="s">
        <v>13</v>
      </c>
      <c r="E247" s="259">
        <v>42780</v>
      </c>
      <c r="F247" s="262">
        <v>9575.2540800000006</v>
      </c>
      <c r="G247" s="261" t="s">
        <v>15</v>
      </c>
      <c r="H247" s="258" t="s">
        <v>128</v>
      </c>
      <c r="I247" s="261">
        <v>801</v>
      </c>
      <c r="J247" s="261" t="s">
        <v>129</v>
      </c>
      <c r="K247" s="261" t="s">
        <v>123</v>
      </c>
      <c r="L247" s="258" t="s">
        <v>140</v>
      </c>
    </row>
    <row r="248" spans="1:12" x14ac:dyDescent="0.2">
      <c r="A248" s="258" t="s">
        <v>138</v>
      </c>
      <c r="B248" s="258" t="s">
        <v>139</v>
      </c>
      <c r="C248" s="258" t="s">
        <v>12</v>
      </c>
      <c r="D248" s="258" t="s">
        <v>141</v>
      </c>
      <c r="E248" s="259">
        <v>42780</v>
      </c>
      <c r="F248" s="260">
        <v>33.700000000000003</v>
      </c>
      <c r="G248" s="261" t="s">
        <v>14</v>
      </c>
      <c r="H248" s="258" t="s">
        <v>16</v>
      </c>
      <c r="I248" s="261">
        <v>801</v>
      </c>
      <c r="J248" s="261" t="s">
        <v>129</v>
      </c>
      <c r="K248" s="261" t="s">
        <v>123</v>
      </c>
      <c r="L248" s="258" t="s">
        <v>140</v>
      </c>
    </row>
    <row r="249" spans="1:12" x14ac:dyDescent="0.2">
      <c r="A249" s="258" t="s">
        <v>138</v>
      </c>
      <c r="B249" s="258" t="s">
        <v>139</v>
      </c>
      <c r="C249" s="258" t="s">
        <v>12</v>
      </c>
      <c r="D249" s="258" t="s">
        <v>141</v>
      </c>
      <c r="E249" s="259">
        <v>42780</v>
      </c>
      <c r="F249" s="262">
        <v>3631.2693599999998</v>
      </c>
      <c r="G249" s="261" t="s">
        <v>15</v>
      </c>
      <c r="H249" s="258" t="s">
        <v>16</v>
      </c>
      <c r="I249" s="261">
        <v>801</v>
      </c>
      <c r="J249" s="261" t="s">
        <v>129</v>
      </c>
      <c r="K249" s="261" t="s">
        <v>123</v>
      </c>
      <c r="L249" s="258" t="s">
        <v>140</v>
      </c>
    </row>
    <row r="250" spans="1:12" x14ac:dyDescent="0.2">
      <c r="A250" s="258" t="s">
        <v>138</v>
      </c>
      <c r="B250" s="258" t="s">
        <v>139</v>
      </c>
      <c r="C250" s="258" t="s">
        <v>12</v>
      </c>
      <c r="D250" s="258" t="s">
        <v>13</v>
      </c>
      <c r="E250" s="259">
        <v>42773</v>
      </c>
      <c r="F250" s="260">
        <v>53.9</v>
      </c>
      <c r="G250" s="261" t="s">
        <v>14</v>
      </c>
      <c r="H250" s="258" t="s">
        <v>128</v>
      </c>
      <c r="I250" s="261">
        <v>801</v>
      </c>
      <c r="J250" s="261" t="s">
        <v>129</v>
      </c>
      <c r="K250" s="261" t="s">
        <v>123</v>
      </c>
      <c r="L250" s="258" t="s">
        <v>140</v>
      </c>
    </row>
    <row r="251" spans="1:12" x14ac:dyDescent="0.2">
      <c r="A251" s="258" t="s">
        <v>138</v>
      </c>
      <c r="B251" s="258" t="s">
        <v>139</v>
      </c>
      <c r="C251" s="258" t="s">
        <v>12</v>
      </c>
      <c r="D251" s="258" t="s">
        <v>13</v>
      </c>
      <c r="E251" s="259">
        <v>42773</v>
      </c>
      <c r="F251" s="262">
        <v>6648.4895399999996</v>
      </c>
      <c r="G251" s="261" t="s">
        <v>15</v>
      </c>
      <c r="H251" s="258" t="s">
        <v>128</v>
      </c>
      <c r="I251" s="261">
        <v>801</v>
      </c>
      <c r="J251" s="261" t="s">
        <v>129</v>
      </c>
      <c r="K251" s="261" t="s">
        <v>123</v>
      </c>
      <c r="L251" s="258" t="s">
        <v>140</v>
      </c>
    </row>
    <row r="252" spans="1:12" x14ac:dyDescent="0.2">
      <c r="A252" s="258" t="s">
        <v>138</v>
      </c>
      <c r="B252" s="258" t="s">
        <v>139</v>
      </c>
      <c r="C252" s="258" t="s">
        <v>12</v>
      </c>
      <c r="D252" s="258" t="s">
        <v>141</v>
      </c>
      <c r="E252" s="259">
        <v>42773</v>
      </c>
      <c r="F252" s="260">
        <v>40.1</v>
      </c>
      <c r="G252" s="261" t="s">
        <v>14</v>
      </c>
      <c r="H252" s="258" t="s">
        <v>16</v>
      </c>
      <c r="I252" s="261">
        <v>801</v>
      </c>
      <c r="J252" s="261" t="s">
        <v>129</v>
      </c>
      <c r="K252" s="261" t="s">
        <v>123</v>
      </c>
      <c r="L252" s="258" t="s">
        <v>140</v>
      </c>
    </row>
    <row r="253" spans="1:12" x14ac:dyDescent="0.2">
      <c r="A253" s="258" t="s">
        <v>138</v>
      </c>
      <c r="B253" s="258" t="s">
        <v>139</v>
      </c>
      <c r="C253" s="258" t="s">
        <v>12</v>
      </c>
      <c r="D253" s="258" t="s">
        <v>141</v>
      </c>
      <c r="E253" s="259">
        <v>42773</v>
      </c>
      <c r="F253" s="262">
        <v>4575.0571200000004</v>
      </c>
      <c r="G253" s="261" t="s">
        <v>15</v>
      </c>
      <c r="H253" s="258" t="s">
        <v>16</v>
      </c>
      <c r="I253" s="261">
        <v>801</v>
      </c>
      <c r="J253" s="261" t="s">
        <v>129</v>
      </c>
      <c r="K253" s="261" t="s">
        <v>123</v>
      </c>
      <c r="L253" s="258" t="s">
        <v>140</v>
      </c>
    </row>
    <row r="254" spans="1:12" x14ac:dyDescent="0.2">
      <c r="A254" s="258" t="s">
        <v>138</v>
      </c>
      <c r="B254" s="258" t="s">
        <v>139</v>
      </c>
      <c r="C254" s="258" t="s">
        <v>12</v>
      </c>
      <c r="D254" s="258" t="s">
        <v>13</v>
      </c>
      <c r="E254" s="259">
        <v>42766</v>
      </c>
      <c r="F254" s="260">
        <v>55.29</v>
      </c>
      <c r="G254" s="261" t="s">
        <v>14</v>
      </c>
      <c r="H254" s="258" t="s">
        <v>128</v>
      </c>
      <c r="I254" s="261">
        <v>801</v>
      </c>
      <c r="J254" s="261" t="s">
        <v>129</v>
      </c>
      <c r="K254" s="261" t="s">
        <v>123</v>
      </c>
      <c r="L254" s="258" t="s">
        <v>140</v>
      </c>
    </row>
    <row r="255" spans="1:12" x14ac:dyDescent="0.2">
      <c r="A255" s="258" t="s">
        <v>138</v>
      </c>
      <c r="B255" s="258" t="s">
        <v>139</v>
      </c>
      <c r="C255" s="258" t="s">
        <v>12</v>
      </c>
      <c r="D255" s="258" t="s">
        <v>13</v>
      </c>
      <c r="E255" s="259">
        <v>42766</v>
      </c>
      <c r="F255" s="262">
        <v>7262.6179499999998</v>
      </c>
      <c r="G255" s="261" t="s">
        <v>15</v>
      </c>
      <c r="H255" s="258" t="s">
        <v>128</v>
      </c>
      <c r="I255" s="261">
        <v>801</v>
      </c>
      <c r="J255" s="261" t="s">
        <v>129</v>
      </c>
      <c r="K255" s="261" t="s">
        <v>123</v>
      </c>
      <c r="L255" s="258" t="s">
        <v>140</v>
      </c>
    </row>
    <row r="256" spans="1:12" x14ac:dyDescent="0.2">
      <c r="A256" s="258" t="s">
        <v>138</v>
      </c>
      <c r="B256" s="258" t="s">
        <v>139</v>
      </c>
      <c r="C256" s="258" t="s">
        <v>12</v>
      </c>
      <c r="D256" s="258" t="s">
        <v>141</v>
      </c>
      <c r="E256" s="259">
        <v>42766</v>
      </c>
      <c r="F256" s="260">
        <v>35.5</v>
      </c>
      <c r="G256" s="261" t="s">
        <v>14</v>
      </c>
      <c r="H256" s="258" t="s">
        <v>16</v>
      </c>
      <c r="I256" s="261">
        <v>801</v>
      </c>
      <c r="J256" s="261" t="s">
        <v>129</v>
      </c>
      <c r="K256" s="261" t="s">
        <v>123</v>
      </c>
      <c r="L256" s="258" t="s">
        <v>140</v>
      </c>
    </row>
    <row r="257" spans="1:12" x14ac:dyDescent="0.2">
      <c r="A257" s="258" t="s">
        <v>138</v>
      </c>
      <c r="B257" s="258" t="s">
        <v>139</v>
      </c>
      <c r="C257" s="258" t="s">
        <v>12</v>
      </c>
      <c r="D257" s="258" t="s">
        <v>141</v>
      </c>
      <c r="E257" s="259">
        <v>42766</v>
      </c>
      <c r="F257" s="262">
        <v>4390.7181</v>
      </c>
      <c r="G257" s="261" t="s">
        <v>15</v>
      </c>
      <c r="H257" s="258" t="s">
        <v>16</v>
      </c>
      <c r="I257" s="261">
        <v>801</v>
      </c>
      <c r="J257" s="261" t="s">
        <v>129</v>
      </c>
      <c r="K257" s="261" t="s">
        <v>123</v>
      </c>
      <c r="L257" s="258" t="s">
        <v>140</v>
      </c>
    </row>
    <row r="258" spans="1:12" x14ac:dyDescent="0.2">
      <c r="A258" s="258" t="s">
        <v>138</v>
      </c>
      <c r="B258" s="258" t="s">
        <v>139</v>
      </c>
      <c r="C258" s="258" t="s">
        <v>12</v>
      </c>
      <c r="D258" s="258" t="s">
        <v>13</v>
      </c>
      <c r="E258" s="259">
        <v>42759</v>
      </c>
      <c r="F258" s="260">
        <v>65.13</v>
      </c>
      <c r="G258" s="261" t="s">
        <v>14</v>
      </c>
      <c r="H258" s="258" t="s">
        <v>128</v>
      </c>
      <c r="I258" s="261">
        <v>801</v>
      </c>
      <c r="J258" s="261" t="s">
        <v>129</v>
      </c>
      <c r="K258" s="261" t="s">
        <v>123</v>
      </c>
      <c r="L258" s="258" t="s">
        <v>140</v>
      </c>
    </row>
    <row r="259" spans="1:12" x14ac:dyDescent="0.2">
      <c r="A259" s="258" t="s">
        <v>138</v>
      </c>
      <c r="B259" s="258" t="s">
        <v>139</v>
      </c>
      <c r="C259" s="258" t="s">
        <v>12</v>
      </c>
      <c r="D259" s="258" t="s">
        <v>13</v>
      </c>
      <c r="E259" s="259">
        <v>42759</v>
      </c>
      <c r="F259" s="262">
        <v>8913.6527220000007</v>
      </c>
      <c r="G259" s="261" t="s">
        <v>15</v>
      </c>
      <c r="H259" s="258" t="s">
        <v>128</v>
      </c>
      <c r="I259" s="261">
        <v>801</v>
      </c>
      <c r="J259" s="261" t="s">
        <v>129</v>
      </c>
      <c r="K259" s="261" t="s">
        <v>123</v>
      </c>
      <c r="L259" s="258" t="s">
        <v>140</v>
      </c>
    </row>
    <row r="260" spans="1:12" x14ac:dyDescent="0.2">
      <c r="A260" s="258" t="s">
        <v>138</v>
      </c>
      <c r="B260" s="258" t="s">
        <v>139</v>
      </c>
      <c r="C260" s="258" t="s">
        <v>12</v>
      </c>
      <c r="D260" s="258" t="s">
        <v>141</v>
      </c>
      <c r="E260" s="259">
        <v>42759</v>
      </c>
      <c r="F260" s="260">
        <v>47.8</v>
      </c>
      <c r="G260" s="261" t="s">
        <v>14</v>
      </c>
      <c r="H260" s="258" t="s">
        <v>16</v>
      </c>
      <c r="I260" s="261">
        <v>11</v>
      </c>
      <c r="J260" s="261" t="s">
        <v>129</v>
      </c>
      <c r="K260" s="261" t="s">
        <v>123</v>
      </c>
      <c r="L260" s="258" t="s">
        <v>142</v>
      </c>
    </row>
    <row r="261" spans="1:12" x14ac:dyDescent="0.2">
      <c r="A261" s="258" t="s">
        <v>138</v>
      </c>
      <c r="B261" s="258" t="s">
        <v>139</v>
      </c>
      <c r="C261" s="258" t="s">
        <v>12</v>
      </c>
      <c r="D261" s="258" t="s">
        <v>141</v>
      </c>
      <c r="E261" s="259">
        <v>42759</v>
      </c>
      <c r="F261" s="262">
        <v>5892.0765600000004</v>
      </c>
      <c r="G261" s="261" t="s">
        <v>15</v>
      </c>
      <c r="H261" s="258" t="s">
        <v>16</v>
      </c>
      <c r="I261" s="261">
        <v>11</v>
      </c>
      <c r="J261" s="261" t="s">
        <v>129</v>
      </c>
      <c r="K261" s="261" t="s">
        <v>123</v>
      </c>
      <c r="L261" s="258" t="s">
        <v>142</v>
      </c>
    </row>
    <row r="262" spans="1:12" x14ac:dyDescent="0.2">
      <c r="A262" s="258" t="s">
        <v>138</v>
      </c>
      <c r="B262" s="258" t="s">
        <v>139</v>
      </c>
      <c r="C262" s="258" t="s">
        <v>12</v>
      </c>
      <c r="D262" s="258" t="s">
        <v>13</v>
      </c>
      <c r="E262" s="259">
        <v>42752</v>
      </c>
      <c r="F262" s="260">
        <v>62.7</v>
      </c>
      <c r="G262" s="261" t="s">
        <v>14</v>
      </c>
      <c r="H262" s="258" t="s">
        <v>128</v>
      </c>
      <c r="I262" s="261">
        <v>801</v>
      </c>
      <c r="J262" s="261" t="s">
        <v>129</v>
      </c>
      <c r="K262" s="261" t="s">
        <v>123</v>
      </c>
      <c r="L262" s="258" t="s">
        <v>140</v>
      </c>
    </row>
    <row r="263" spans="1:12" x14ac:dyDescent="0.2">
      <c r="A263" s="258" t="s">
        <v>138</v>
      </c>
      <c r="B263" s="258" t="s">
        <v>139</v>
      </c>
      <c r="C263" s="258" t="s">
        <v>12</v>
      </c>
      <c r="D263" s="258" t="s">
        <v>13</v>
      </c>
      <c r="E263" s="259">
        <v>42752</v>
      </c>
      <c r="F263" s="262">
        <v>7984.9578600000004</v>
      </c>
      <c r="G263" s="261" t="s">
        <v>15</v>
      </c>
      <c r="H263" s="258" t="s">
        <v>128</v>
      </c>
      <c r="I263" s="261">
        <v>801</v>
      </c>
      <c r="J263" s="261" t="s">
        <v>129</v>
      </c>
      <c r="K263" s="261" t="s">
        <v>123</v>
      </c>
      <c r="L263" s="258" t="s">
        <v>140</v>
      </c>
    </row>
    <row r="264" spans="1:12" x14ac:dyDescent="0.2">
      <c r="A264" s="258" t="s">
        <v>138</v>
      </c>
      <c r="B264" s="258" t="s">
        <v>139</v>
      </c>
      <c r="C264" s="258" t="s">
        <v>12</v>
      </c>
      <c r="D264" s="258" t="s">
        <v>141</v>
      </c>
      <c r="E264" s="259">
        <v>42752</v>
      </c>
      <c r="F264" s="260">
        <v>34</v>
      </c>
      <c r="G264" s="261" t="s">
        <v>14</v>
      </c>
      <c r="H264" s="258" t="s">
        <v>16</v>
      </c>
      <c r="I264" s="261">
        <v>801</v>
      </c>
      <c r="J264" s="261" t="s">
        <v>129</v>
      </c>
      <c r="K264" s="261" t="s">
        <v>123</v>
      </c>
      <c r="L264" s="258" t="s">
        <v>140</v>
      </c>
    </row>
    <row r="265" spans="1:12" x14ac:dyDescent="0.2">
      <c r="A265" s="258" t="s">
        <v>138</v>
      </c>
      <c r="B265" s="258" t="s">
        <v>139</v>
      </c>
      <c r="C265" s="258" t="s">
        <v>12</v>
      </c>
      <c r="D265" s="258" t="s">
        <v>141</v>
      </c>
      <c r="E265" s="259">
        <v>42752</v>
      </c>
      <c r="F265" s="262">
        <v>3813.8820000000001</v>
      </c>
      <c r="G265" s="261" t="s">
        <v>15</v>
      </c>
      <c r="H265" s="258" t="s">
        <v>16</v>
      </c>
      <c r="I265" s="261">
        <v>801</v>
      </c>
      <c r="J265" s="261" t="s">
        <v>129</v>
      </c>
      <c r="K265" s="261" t="s">
        <v>123</v>
      </c>
      <c r="L265" s="258" t="s">
        <v>140</v>
      </c>
    </row>
    <row r="266" spans="1:12" x14ac:dyDescent="0.2">
      <c r="A266" s="258" t="s">
        <v>138</v>
      </c>
      <c r="B266" s="258" t="s">
        <v>139</v>
      </c>
      <c r="C266" s="258" t="s">
        <v>12</v>
      </c>
      <c r="D266" s="258" t="s">
        <v>13</v>
      </c>
      <c r="E266" s="259">
        <v>42745</v>
      </c>
      <c r="F266" s="260">
        <v>66.59</v>
      </c>
      <c r="G266" s="261" t="s">
        <v>14</v>
      </c>
      <c r="H266" s="258" t="s">
        <v>128</v>
      </c>
      <c r="I266" s="261">
        <v>801</v>
      </c>
      <c r="J266" s="261" t="s">
        <v>129</v>
      </c>
      <c r="K266" s="261" t="s">
        <v>123</v>
      </c>
      <c r="L266" s="258" t="s">
        <v>140</v>
      </c>
    </row>
    <row r="267" spans="1:12" x14ac:dyDescent="0.2">
      <c r="A267" s="258" t="s">
        <v>138</v>
      </c>
      <c r="B267" s="258" t="s">
        <v>139</v>
      </c>
      <c r="C267" s="258" t="s">
        <v>12</v>
      </c>
      <c r="D267" s="258" t="s">
        <v>13</v>
      </c>
      <c r="E267" s="259">
        <v>42745</v>
      </c>
      <c r="F267" s="262">
        <v>9046.8241739999994</v>
      </c>
      <c r="G267" s="261" t="s">
        <v>15</v>
      </c>
      <c r="H267" s="258" t="s">
        <v>128</v>
      </c>
      <c r="I267" s="261">
        <v>801</v>
      </c>
      <c r="J267" s="261" t="s">
        <v>129</v>
      </c>
      <c r="K267" s="261" t="s">
        <v>123</v>
      </c>
      <c r="L267" s="258" t="s">
        <v>140</v>
      </c>
    </row>
    <row r="268" spans="1:12" x14ac:dyDescent="0.2">
      <c r="A268" s="258" t="s">
        <v>138</v>
      </c>
      <c r="B268" s="258" t="s">
        <v>139</v>
      </c>
      <c r="C268" s="258" t="s">
        <v>12</v>
      </c>
      <c r="D268" s="258" t="s">
        <v>141</v>
      </c>
      <c r="E268" s="259">
        <v>42745</v>
      </c>
      <c r="F268" s="260">
        <v>45.8</v>
      </c>
      <c r="G268" s="261" t="s">
        <v>14</v>
      </c>
      <c r="H268" s="258" t="s">
        <v>16</v>
      </c>
      <c r="I268" s="261">
        <v>801</v>
      </c>
      <c r="J268" s="261" t="s">
        <v>129</v>
      </c>
      <c r="K268" s="261" t="s">
        <v>123</v>
      </c>
      <c r="L268" s="258" t="s">
        <v>140</v>
      </c>
    </row>
    <row r="269" spans="1:12" x14ac:dyDescent="0.2">
      <c r="A269" s="258" t="s">
        <v>138</v>
      </c>
      <c r="B269" s="258" t="s">
        <v>139</v>
      </c>
      <c r="C269" s="258" t="s">
        <v>12</v>
      </c>
      <c r="D269" s="258" t="s">
        <v>141</v>
      </c>
      <c r="E269" s="259">
        <v>42745</v>
      </c>
      <c r="F269" s="262">
        <v>5657.0053200000002</v>
      </c>
      <c r="G269" s="261" t="s">
        <v>15</v>
      </c>
      <c r="H269" s="258" t="s">
        <v>16</v>
      </c>
      <c r="I269" s="261">
        <v>801</v>
      </c>
      <c r="J269" s="261" t="s">
        <v>129</v>
      </c>
      <c r="K269" s="261" t="s">
        <v>123</v>
      </c>
      <c r="L269" s="258" t="s">
        <v>140</v>
      </c>
    </row>
    <row r="270" spans="1:12" x14ac:dyDescent="0.2">
      <c r="A270" s="258" t="s">
        <v>138</v>
      </c>
      <c r="B270" s="258" t="s">
        <v>139</v>
      </c>
      <c r="C270" s="258" t="s">
        <v>12</v>
      </c>
      <c r="D270" s="258" t="s">
        <v>13</v>
      </c>
      <c r="E270" s="259">
        <v>42738</v>
      </c>
      <c r="F270" s="260">
        <v>68.52</v>
      </c>
      <c r="G270" s="261" t="s">
        <v>14</v>
      </c>
      <c r="H270" s="258" t="s">
        <v>128</v>
      </c>
      <c r="I270" s="261">
        <v>801</v>
      </c>
      <c r="J270" s="261" t="s">
        <v>129</v>
      </c>
      <c r="K270" s="261" t="s">
        <v>123</v>
      </c>
      <c r="L270" s="258" t="s">
        <v>140</v>
      </c>
    </row>
    <row r="271" spans="1:12" x14ac:dyDescent="0.2">
      <c r="A271" s="258" t="s">
        <v>138</v>
      </c>
      <c r="B271" s="258" t="s">
        <v>139</v>
      </c>
      <c r="C271" s="258" t="s">
        <v>12</v>
      </c>
      <c r="D271" s="258" t="s">
        <v>13</v>
      </c>
      <c r="E271" s="259">
        <v>42738</v>
      </c>
      <c r="F271" s="262">
        <v>8651.8559519999999</v>
      </c>
      <c r="G271" s="261" t="s">
        <v>15</v>
      </c>
      <c r="H271" s="258" t="s">
        <v>128</v>
      </c>
      <c r="I271" s="261">
        <v>801</v>
      </c>
      <c r="J271" s="261" t="s">
        <v>129</v>
      </c>
      <c r="K271" s="261" t="s">
        <v>123</v>
      </c>
      <c r="L271" s="258" t="s">
        <v>140</v>
      </c>
    </row>
    <row r="272" spans="1:12" x14ac:dyDescent="0.2">
      <c r="A272" s="258" t="s">
        <v>138</v>
      </c>
      <c r="B272" s="258" t="s">
        <v>139</v>
      </c>
      <c r="C272" s="258" t="s">
        <v>12</v>
      </c>
      <c r="D272" s="258" t="s">
        <v>141</v>
      </c>
      <c r="E272" s="259">
        <v>42738</v>
      </c>
      <c r="F272" s="260">
        <v>54.5</v>
      </c>
      <c r="G272" s="261" t="s">
        <v>14</v>
      </c>
      <c r="H272" s="258" t="s">
        <v>16</v>
      </c>
      <c r="I272" s="261">
        <v>801</v>
      </c>
      <c r="J272" s="261" t="s">
        <v>129</v>
      </c>
      <c r="K272" s="261" t="s">
        <v>123</v>
      </c>
      <c r="L272" s="258" t="s">
        <v>140</v>
      </c>
    </row>
    <row r="273" spans="1:13" x14ac:dyDescent="0.2">
      <c r="A273" s="258" t="s">
        <v>138</v>
      </c>
      <c r="B273" s="258" t="s">
        <v>139</v>
      </c>
      <c r="C273" s="258" t="s">
        <v>12</v>
      </c>
      <c r="D273" s="258" t="s">
        <v>141</v>
      </c>
      <c r="E273" s="259">
        <v>42738</v>
      </c>
      <c r="F273" s="262">
        <v>6467.9619000000002</v>
      </c>
      <c r="G273" s="261" t="s">
        <v>15</v>
      </c>
      <c r="H273" s="258" t="s">
        <v>16</v>
      </c>
      <c r="I273" s="261">
        <v>801</v>
      </c>
      <c r="J273" s="261" t="s">
        <v>129</v>
      </c>
      <c r="K273" s="261" t="s">
        <v>123</v>
      </c>
      <c r="L273" s="258" t="s">
        <v>140</v>
      </c>
    </row>
    <row r="274" spans="1:13" x14ac:dyDescent="0.2">
      <c r="A274" s="258" t="s">
        <v>138</v>
      </c>
      <c r="B274" s="258" t="s">
        <v>139</v>
      </c>
      <c r="C274" s="258" t="s">
        <v>12</v>
      </c>
      <c r="D274" s="258" t="s">
        <v>13</v>
      </c>
      <c r="E274" s="259">
        <v>42731</v>
      </c>
      <c r="F274" s="260">
        <v>61.313922400000003</v>
      </c>
      <c r="G274" s="261" t="s">
        <v>14</v>
      </c>
      <c r="H274" s="258" t="s">
        <v>128</v>
      </c>
      <c r="I274" s="261">
        <v>801</v>
      </c>
      <c r="J274" s="261" t="s">
        <v>129</v>
      </c>
      <c r="K274" s="261" t="s">
        <v>123</v>
      </c>
      <c r="L274" s="258" t="s">
        <v>140</v>
      </c>
      <c r="M274" s="258" t="s">
        <v>128</v>
      </c>
    </row>
    <row r="275" spans="1:13" x14ac:dyDescent="0.2">
      <c r="A275" s="258" t="s">
        <v>138</v>
      </c>
      <c r="B275" s="258" t="s">
        <v>139</v>
      </c>
      <c r="C275" s="258" t="s">
        <v>12</v>
      </c>
      <c r="D275" s="258" t="s">
        <v>13</v>
      </c>
      <c r="E275" s="259">
        <v>42731</v>
      </c>
      <c r="F275" s="262">
        <v>8043.6631200000002</v>
      </c>
      <c r="G275" s="261" t="s">
        <v>15</v>
      </c>
      <c r="H275" s="258" t="s">
        <v>128</v>
      </c>
      <c r="I275" s="261">
        <v>801</v>
      </c>
      <c r="J275" s="261" t="s">
        <v>129</v>
      </c>
      <c r="K275" s="261" t="s">
        <v>123</v>
      </c>
      <c r="L275" s="258" t="s">
        <v>140</v>
      </c>
      <c r="M275" s="258" t="s">
        <v>128</v>
      </c>
    </row>
    <row r="276" spans="1:13" x14ac:dyDescent="0.2">
      <c r="A276" s="258" t="s">
        <v>138</v>
      </c>
      <c r="B276" s="258" t="s">
        <v>139</v>
      </c>
      <c r="C276" s="258" t="s">
        <v>12</v>
      </c>
      <c r="D276" s="258" t="s">
        <v>141</v>
      </c>
      <c r="E276" s="259">
        <v>42731</v>
      </c>
      <c r="F276" s="260">
        <v>32.299999999999997</v>
      </c>
      <c r="G276" s="261" t="s">
        <v>14</v>
      </c>
      <c r="H276" s="258" t="s">
        <v>16</v>
      </c>
      <c r="I276" s="261">
        <v>801</v>
      </c>
      <c r="J276" s="261" t="s">
        <v>129</v>
      </c>
      <c r="K276" s="261" t="s">
        <v>123</v>
      </c>
      <c r="L276" s="258" t="s">
        <v>140</v>
      </c>
      <c r="M276" s="258" t="s">
        <v>133</v>
      </c>
    </row>
    <row r="277" spans="1:13" x14ac:dyDescent="0.2">
      <c r="A277" s="258" t="s">
        <v>138</v>
      </c>
      <c r="B277" s="258" t="s">
        <v>139</v>
      </c>
      <c r="C277" s="258" t="s">
        <v>12</v>
      </c>
      <c r="D277" s="258" t="s">
        <v>141</v>
      </c>
      <c r="E277" s="259">
        <v>42731</v>
      </c>
      <c r="F277" s="262">
        <v>4070.36202</v>
      </c>
      <c r="G277" s="261" t="s">
        <v>15</v>
      </c>
      <c r="H277" s="258" t="s">
        <v>16</v>
      </c>
      <c r="I277" s="261">
        <v>801</v>
      </c>
      <c r="J277" s="261" t="s">
        <v>129</v>
      </c>
      <c r="K277" s="261" t="s">
        <v>123</v>
      </c>
      <c r="L277" s="258" t="s">
        <v>140</v>
      </c>
      <c r="M277" s="258" t="s">
        <v>133</v>
      </c>
    </row>
    <row r="278" spans="1:13" x14ac:dyDescent="0.2">
      <c r="A278" s="258" t="s">
        <v>138</v>
      </c>
      <c r="B278" s="258" t="s">
        <v>139</v>
      </c>
      <c r="C278" s="258" t="s">
        <v>12</v>
      </c>
      <c r="D278" s="258" t="s">
        <v>13</v>
      </c>
      <c r="E278" s="259">
        <v>42724</v>
      </c>
      <c r="F278" s="260">
        <v>92.335999999999999</v>
      </c>
      <c r="G278" s="261" t="s">
        <v>14</v>
      </c>
      <c r="H278" s="258" t="s">
        <v>128</v>
      </c>
      <c r="I278" s="261">
        <v>801</v>
      </c>
      <c r="J278" s="261" t="s">
        <v>129</v>
      </c>
      <c r="K278" s="261" t="s">
        <v>123</v>
      </c>
      <c r="L278" s="258" t="s">
        <v>140</v>
      </c>
      <c r="M278" s="258" t="s">
        <v>128</v>
      </c>
    </row>
    <row r="279" spans="1:13" x14ac:dyDescent="0.2">
      <c r="A279" s="258" t="s">
        <v>138</v>
      </c>
      <c r="B279" s="258" t="s">
        <v>139</v>
      </c>
      <c r="C279" s="258" t="s">
        <v>12</v>
      </c>
      <c r="D279" s="258" t="s">
        <v>13</v>
      </c>
      <c r="E279" s="259">
        <v>42724</v>
      </c>
      <c r="F279" s="262">
        <v>10588.630800000001</v>
      </c>
      <c r="G279" s="261" t="s">
        <v>15</v>
      </c>
      <c r="H279" s="258" t="s">
        <v>128</v>
      </c>
      <c r="I279" s="261">
        <v>801</v>
      </c>
      <c r="J279" s="261" t="s">
        <v>129</v>
      </c>
      <c r="K279" s="261" t="s">
        <v>123</v>
      </c>
      <c r="L279" s="258" t="s">
        <v>140</v>
      </c>
      <c r="M279" s="258" t="s">
        <v>128</v>
      </c>
    </row>
    <row r="280" spans="1:13" x14ac:dyDescent="0.2">
      <c r="A280" s="258" t="s">
        <v>138</v>
      </c>
      <c r="B280" s="258" t="s">
        <v>139</v>
      </c>
      <c r="C280" s="258" t="s">
        <v>12</v>
      </c>
      <c r="D280" s="258" t="s">
        <v>141</v>
      </c>
      <c r="E280" s="259">
        <v>42724</v>
      </c>
      <c r="F280" s="260">
        <v>49.7</v>
      </c>
      <c r="G280" s="261" t="s">
        <v>14</v>
      </c>
      <c r="H280" s="258" t="s">
        <v>16</v>
      </c>
      <c r="I280" s="261">
        <v>801</v>
      </c>
      <c r="J280" s="261" t="s">
        <v>129</v>
      </c>
      <c r="K280" s="261" t="s">
        <v>123</v>
      </c>
      <c r="L280" s="258" t="s">
        <v>140</v>
      </c>
      <c r="M280" s="258" t="s">
        <v>133</v>
      </c>
    </row>
    <row r="281" spans="1:13" x14ac:dyDescent="0.2">
      <c r="A281" s="258" t="s">
        <v>138</v>
      </c>
      <c r="B281" s="258" t="s">
        <v>139</v>
      </c>
      <c r="C281" s="258" t="s">
        <v>12</v>
      </c>
      <c r="D281" s="258" t="s">
        <v>141</v>
      </c>
      <c r="E281" s="259">
        <v>42724</v>
      </c>
      <c r="F281" s="262">
        <v>5533.5483000000004</v>
      </c>
      <c r="G281" s="261" t="s">
        <v>15</v>
      </c>
      <c r="H281" s="258" t="s">
        <v>16</v>
      </c>
      <c r="I281" s="261">
        <v>801</v>
      </c>
      <c r="J281" s="261" t="s">
        <v>129</v>
      </c>
      <c r="K281" s="261" t="s">
        <v>123</v>
      </c>
      <c r="L281" s="258" t="s">
        <v>140</v>
      </c>
      <c r="M281" s="258" t="s">
        <v>133</v>
      </c>
    </row>
    <row r="282" spans="1:13" x14ac:dyDescent="0.2">
      <c r="A282" s="258" t="s">
        <v>138</v>
      </c>
      <c r="B282" s="258" t="s">
        <v>139</v>
      </c>
      <c r="C282" s="258" t="s">
        <v>12</v>
      </c>
      <c r="D282" s="258" t="s">
        <v>13</v>
      </c>
      <c r="E282" s="259">
        <v>42717</v>
      </c>
      <c r="F282" s="260">
        <v>84.983908600000007</v>
      </c>
      <c r="G282" s="261" t="s">
        <v>14</v>
      </c>
      <c r="H282" s="258" t="s">
        <v>128</v>
      </c>
      <c r="I282" s="261">
        <v>801</v>
      </c>
      <c r="J282" s="261" t="s">
        <v>129</v>
      </c>
      <c r="K282" s="261" t="s">
        <v>123</v>
      </c>
      <c r="L282" s="258" t="s">
        <v>140</v>
      </c>
      <c r="M282" s="258" t="s">
        <v>128</v>
      </c>
    </row>
    <row r="283" spans="1:13" x14ac:dyDescent="0.2">
      <c r="A283" s="258" t="s">
        <v>138</v>
      </c>
      <c r="B283" s="258" t="s">
        <v>139</v>
      </c>
      <c r="C283" s="258" t="s">
        <v>12</v>
      </c>
      <c r="D283" s="258" t="s">
        <v>13</v>
      </c>
      <c r="E283" s="259">
        <v>42717</v>
      </c>
      <c r="F283" s="262">
        <v>9773.8803540000008</v>
      </c>
      <c r="G283" s="261" t="s">
        <v>15</v>
      </c>
      <c r="H283" s="258" t="s">
        <v>128</v>
      </c>
      <c r="I283" s="261">
        <v>801</v>
      </c>
      <c r="J283" s="261" t="s">
        <v>129</v>
      </c>
      <c r="K283" s="261" t="s">
        <v>123</v>
      </c>
      <c r="L283" s="258" t="s">
        <v>140</v>
      </c>
      <c r="M283" s="258" t="s">
        <v>128</v>
      </c>
    </row>
    <row r="284" spans="1:13" x14ac:dyDescent="0.2">
      <c r="A284" s="258" t="s">
        <v>138</v>
      </c>
      <c r="B284" s="258" t="s">
        <v>139</v>
      </c>
      <c r="C284" s="258" t="s">
        <v>12</v>
      </c>
      <c r="D284" s="258" t="s">
        <v>141</v>
      </c>
      <c r="E284" s="259">
        <v>42717</v>
      </c>
      <c r="F284" s="260">
        <v>50.6</v>
      </c>
      <c r="G284" s="261" t="s">
        <v>14</v>
      </c>
      <c r="H284" s="258" t="s">
        <v>16</v>
      </c>
      <c r="I284" s="261">
        <v>801</v>
      </c>
      <c r="J284" s="261" t="s">
        <v>129</v>
      </c>
      <c r="K284" s="261" t="s">
        <v>123</v>
      </c>
      <c r="L284" s="258" t="s">
        <v>140</v>
      </c>
      <c r="M284" s="258" t="s">
        <v>133</v>
      </c>
    </row>
    <row r="285" spans="1:13" x14ac:dyDescent="0.2">
      <c r="A285" s="258" t="s">
        <v>138</v>
      </c>
      <c r="B285" s="258" t="s">
        <v>139</v>
      </c>
      <c r="C285" s="258" t="s">
        <v>12</v>
      </c>
      <c r="D285" s="258" t="s">
        <v>141</v>
      </c>
      <c r="E285" s="259">
        <v>42717</v>
      </c>
      <c r="F285" s="262">
        <v>5599.9930800000002</v>
      </c>
      <c r="G285" s="261" t="s">
        <v>15</v>
      </c>
      <c r="H285" s="258" t="s">
        <v>16</v>
      </c>
      <c r="I285" s="261">
        <v>801</v>
      </c>
      <c r="J285" s="261" t="s">
        <v>129</v>
      </c>
      <c r="K285" s="261" t="s">
        <v>123</v>
      </c>
      <c r="L285" s="258" t="s">
        <v>140</v>
      </c>
      <c r="M285" s="258" t="s">
        <v>133</v>
      </c>
    </row>
    <row r="286" spans="1:13" x14ac:dyDescent="0.2">
      <c r="A286" s="258" t="s">
        <v>138</v>
      </c>
      <c r="B286" s="258" t="s">
        <v>139</v>
      </c>
      <c r="C286" s="258" t="s">
        <v>12</v>
      </c>
      <c r="D286" s="258" t="s">
        <v>13</v>
      </c>
      <c r="E286" s="259">
        <v>42710</v>
      </c>
      <c r="F286" s="260">
        <v>79.929453100000003</v>
      </c>
      <c r="G286" s="261" t="s">
        <v>14</v>
      </c>
      <c r="H286" s="258" t="s">
        <v>128</v>
      </c>
      <c r="I286" s="261">
        <v>801</v>
      </c>
      <c r="J286" s="261" t="s">
        <v>129</v>
      </c>
      <c r="K286" s="261" t="s">
        <v>123</v>
      </c>
      <c r="L286" s="258" t="s">
        <v>140</v>
      </c>
      <c r="M286" s="258" t="s">
        <v>128</v>
      </c>
    </row>
    <row r="287" spans="1:13" x14ac:dyDescent="0.2">
      <c r="A287" s="258" t="s">
        <v>138</v>
      </c>
      <c r="B287" s="258" t="s">
        <v>139</v>
      </c>
      <c r="C287" s="258" t="s">
        <v>12</v>
      </c>
      <c r="D287" s="258" t="s">
        <v>13</v>
      </c>
      <c r="E287" s="259">
        <v>42710</v>
      </c>
      <c r="F287" s="262">
        <v>10239.154775999999</v>
      </c>
      <c r="G287" s="261" t="s">
        <v>15</v>
      </c>
      <c r="H287" s="258" t="s">
        <v>128</v>
      </c>
      <c r="I287" s="261">
        <v>801</v>
      </c>
      <c r="J287" s="261" t="s">
        <v>129</v>
      </c>
      <c r="K287" s="261" t="s">
        <v>123</v>
      </c>
      <c r="L287" s="258" t="s">
        <v>140</v>
      </c>
      <c r="M287" s="258" t="s">
        <v>128</v>
      </c>
    </row>
    <row r="288" spans="1:13" x14ac:dyDescent="0.2">
      <c r="A288" s="258" t="s">
        <v>138</v>
      </c>
      <c r="B288" s="258" t="s">
        <v>139</v>
      </c>
      <c r="C288" s="258" t="s">
        <v>12</v>
      </c>
      <c r="D288" s="258" t="s">
        <v>141</v>
      </c>
      <c r="E288" s="259">
        <v>42710</v>
      </c>
      <c r="F288" s="260">
        <v>51.8</v>
      </c>
      <c r="G288" s="261" t="s">
        <v>14</v>
      </c>
      <c r="H288" s="258" t="s">
        <v>16</v>
      </c>
      <c r="I288" s="261">
        <v>801</v>
      </c>
      <c r="J288" s="261" t="s">
        <v>129</v>
      </c>
      <c r="K288" s="261" t="s">
        <v>123</v>
      </c>
      <c r="L288" s="258" t="s">
        <v>140</v>
      </c>
      <c r="M288" s="258" t="s">
        <v>133</v>
      </c>
    </row>
    <row r="289" spans="1:13" x14ac:dyDescent="0.2">
      <c r="A289" s="258" t="s">
        <v>138</v>
      </c>
      <c r="B289" s="258" t="s">
        <v>139</v>
      </c>
      <c r="C289" s="258" t="s">
        <v>12</v>
      </c>
      <c r="D289" s="258" t="s">
        <v>141</v>
      </c>
      <c r="E289" s="259">
        <v>42710</v>
      </c>
      <c r="F289" s="262">
        <v>6177.7716</v>
      </c>
      <c r="G289" s="261" t="s">
        <v>15</v>
      </c>
      <c r="H289" s="258" t="s">
        <v>16</v>
      </c>
      <c r="I289" s="261">
        <v>801</v>
      </c>
      <c r="J289" s="261" t="s">
        <v>129</v>
      </c>
      <c r="K289" s="261" t="s">
        <v>123</v>
      </c>
      <c r="L289" s="258" t="s">
        <v>140</v>
      </c>
      <c r="M289" s="258" t="s">
        <v>133</v>
      </c>
    </row>
    <row r="290" spans="1:13" x14ac:dyDescent="0.2">
      <c r="A290" s="258" t="s">
        <v>138</v>
      </c>
      <c r="B290" s="258" t="s">
        <v>139</v>
      </c>
      <c r="C290" s="258" t="s">
        <v>12</v>
      </c>
      <c r="D290" s="258" t="s">
        <v>13</v>
      </c>
      <c r="E290" s="259">
        <v>42703</v>
      </c>
      <c r="F290" s="260">
        <v>84.81</v>
      </c>
      <c r="G290" s="261" t="s">
        <v>14</v>
      </c>
      <c r="H290" s="258" t="s">
        <v>128</v>
      </c>
      <c r="I290" s="261">
        <v>801</v>
      </c>
      <c r="J290" s="261" t="s">
        <v>129</v>
      </c>
      <c r="K290" s="261" t="s">
        <v>123</v>
      </c>
      <c r="L290" s="258" t="s">
        <v>140</v>
      </c>
      <c r="M290" s="258" t="s">
        <v>128</v>
      </c>
    </row>
    <row r="291" spans="1:13" x14ac:dyDescent="0.2">
      <c r="A291" s="258" t="s">
        <v>138</v>
      </c>
      <c r="B291" s="258" t="s">
        <v>139</v>
      </c>
      <c r="C291" s="258" t="s">
        <v>12</v>
      </c>
      <c r="D291" s="258" t="s">
        <v>13</v>
      </c>
      <c r="E291" s="259">
        <v>42703</v>
      </c>
      <c r="F291" s="262">
        <v>10814.852466</v>
      </c>
      <c r="G291" s="261" t="s">
        <v>15</v>
      </c>
      <c r="H291" s="258" t="s">
        <v>128</v>
      </c>
      <c r="I291" s="261">
        <v>801</v>
      </c>
      <c r="J291" s="261" t="s">
        <v>129</v>
      </c>
      <c r="K291" s="261" t="s">
        <v>123</v>
      </c>
      <c r="L291" s="258" t="s">
        <v>140</v>
      </c>
      <c r="M291" s="258" t="s">
        <v>128</v>
      </c>
    </row>
    <row r="292" spans="1:13" x14ac:dyDescent="0.2">
      <c r="A292" s="258" t="s">
        <v>138</v>
      </c>
      <c r="B292" s="258" t="s">
        <v>139</v>
      </c>
      <c r="C292" s="258" t="s">
        <v>12</v>
      </c>
      <c r="D292" s="258" t="s">
        <v>141</v>
      </c>
      <c r="E292" s="259">
        <v>42703</v>
      </c>
      <c r="F292" s="260">
        <v>36.4</v>
      </c>
      <c r="G292" s="261" t="s">
        <v>14</v>
      </c>
      <c r="H292" s="258" t="s">
        <v>16</v>
      </c>
      <c r="I292" s="261">
        <v>801</v>
      </c>
      <c r="J292" s="261" t="s">
        <v>129</v>
      </c>
      <c r="K292" s="261" t="s">
        <v>123</v>
      </c>
      <c r="L292" s="258" t="s">
        <v>140</v>
      </c>
      <c r="M292" s="258" t="s">
        <v>133</v>
      </c>
    </row>
    <row r="293" spans="1:13" x14ac:dyDescent="0.2">
      <c r="A293" s="258" t="s">
        <v>138</v>
      </c>
      <c r="B293" s="258" t="s">
        <v>139</v>
      </c>
      <c r="C293" s="258" t="s">
        <v>12</v>
      </c>
      <c r="D293" s="258" t="s">
        <v>141</v>
      </c>
      <c r="E293" s="259">
        <v>42703</v>
      </c>
      <c r="F293" s="262">
        <v>4410.95928</v>
      </c>
      <c r="G293" s="261" t="s">
        <v>15</v>
      </c>
      <c r="H293" s="258" t="s">
        <v>16</v>
      </c>
      <c r="I293" s="261">
        <v>801</v>
      </c>
      <c r="J293" s="261" t="s">
        <v>129</v>
      </c>
      <c r="K293" s="261" t="s">
        <v>123</v>
      </c>
      <c r="L293" s="258" t="s">
        <v>140</v>
      </c>
      <c r="M293" s="258" t="s">
        <v>133</v>
      </c>
    </row>
    <row r="294" spans="1:13" x14ac:dyDescent="0.2">
      <c r="A294" s="258" t="s">
        <v>138</v>
      </c>
      <c r="B294" s="258" t="s">
        <v>139</v>
      </c>
      <c r="C294" s="258" t="s">
        <v>12</v>
      </c>
      <c r="D294" s="258" t="s">
        <v>13</v>
      </c>
      <c r="E294" s="259">
        <v>42696</v>
      </c>
      <c r="F294" s="260">
        <v>79.03</v>
      </c>
      <c r="G294" s="261" t="s">
        <v>14</v>
      </c>
      <c r="H294" s="258" t="s">
        <v>128</v>
      </c>
      <c r="I294" s="261">
        <v>801</v>
      </c>
      <c r="J294" s="261" t="s">
        <v>129</v>
      </c>
      <c r="K294" s="261" t="s">
        <v>123</v>
      </c>
      <c r="L294" s="258" t="s">
        <v>140</v>
      </c>
      <c r="M294" s="258" t="s">
        <v>128</v>
      </c>
    </row>
    <row r="295" spans="1:13" x14ac:dyDescent="0.2">
      <c r="A295" s="258" t="s">
        <v>138</v>
      </c>
      <c r="B295" s="258" t="s">
        <v>139</v>
      </c>
      <c r="C295" s="258" t="s">
        <v>12</v>
      </c>
      <c r="D295" s="258" t="s">
        <v>13</v>
      </c>
      <c r="E295" s="259">
        <v>42696</v>
      </c>
      <c r="F295" s="262">
        <v>9234.1339019999996</v>
      </c>
      <c r="G295" s="261" t="s">
        <v>15</v>
      </c>
      <c r="H295" s="258" t="s">
        <v>128</v>
      </c>
      <c r="I295" s="261">
        <v>801</v>
      </c>
      <c r="J295" s="261" t="s">
        <v>129</v>
      </c>
      <c r="K295" s="261" t="s">
        <v>123</v>
      </c>
      <c r="L295" s="258" t="s">
        <v>140</v>
      </c>
      <c r="M295" s="258" t="s">
        <v>128</v>
      </c>
    </row>
    <row r="296" spans="1:13" x14ac:dyDescent="0.2">
      <c r="A296" s="258" t="s">
        <v>138</v>
      </c>
      <c r="B296" s="258" t="s">
        <v>139</v>
      </c>
      <c r="C296" s="258" t="s">
        <v>12</v>
      </c>
      <c r="D296" s="258" t="s">
        <v>141</v>
      </c>
      <c r="E296" s="259">
        <v>42696</v>
      </c>
      <c r="F296" s="260">
        <v>32.799999999999997</v>
      </c>
      <c r="G296" s="261" t="s">
        <v>14</v>
      </c>
      <c r="H296" s="258" t="s">
        <v>16</v>
      </c>
      <c r="I296" s="261">
        <v>801</v>
      </c>
      <c r="J296" s="261" t="s">
        <v>129</v>
      </c>
      <c r="K296" s="261" t="s">
        <v>123</v>
      </c>
      <c r="L296" s="258" t="s">
        <v>140</v>
      </c>
      <c r="M296" s="258" t="s">
        <v>133</v>
      </c>
    </row>
    <row r="297" spans="1:13" x14ac:dyDescent="0.2">
      <c r="A297" s="258" t="s">
        <v>138</v>
      </c>
      <c r="B297" s="258" t="s">
        <v>139</v>
      </c>
      <c r="C297" s="258" t="s">
        <v>12</v>
      </c>
      <c r="D297" s="258" t="s">
        <v>141</v>
      </c>
      <c r="E297" s="259">
        <v>42696</v>
      </c>
      <c r="F297" s="262">
        <v>3753.1334400000001</v>
      </c>
      <c r="G297" s="261" t="s">
        <v>15</v>
      </c>
      <c r="H297" s="258" t="s">
        <v>16</v>
      </c>
      <c r="I297" s="261">
        <v>801</v>
      </c>
      <c r="J297" s="261" t="s">
        <v>129</v>
      </c>
      <c r="K297" s="261" t="s">
        <v>123</v>
      </c>
      <c r="L297" s="258" t="s">
        <v>140</v>
      </c>
      <c r="M297" s="258" t="s">
        <v>133</v>
      </c>
    </row>
    <row r="298" spans="1:13" x14ac:dyDescent="0.2">
      <c r="A298" s="258" t="s">
        <v>138</v>
      </c>
      <c r="B298" s="258" t="s">
        <v>139</v>
      </c>
      <c r="C298" s="258" t="s">
        <v>12</v>
      </c>
      <c r="D298" s="258" t="s">
        <v>13</v>
      </c>
      <c r="E298" s="259">
        <v>42689</v>
      </c>
      <c r="F298" s="260">
        <v>85.68</v>
      </c>
      <c r="G298" s="261" t="s">
        <v>14</v>
      </c>
      <c r="H298" s="258" t="s">
        <v>128</v>
      </c>
      <c r="I298" s="261">
        <v>801</v>
      </c>
      <c r="J298" s="261" t="s">
        <v>129</v>
      </c>
      <c r="K298" s="261" t="s">
        <v>123</v>
      </c>
      <c r="L298" s="258" t="s">
        <v>140</v>
      </c>
      <c r="M298" s="258" t="s">
        <v>128</v>
      </c>
    </row>
    <row r="299" spans="1:13" x14ac:dyDescent="0.2">
      <c r="A299" s="258" t="s">
        <v>138</v>
      </c>
      <c r="B299" s="258" t="s">
        <v>139</v>
      </c>
      <c r="C299" s="258" t="s">
        <v>12</v>
      </c>
      <c r="D299" s="258" t="s">
        <v>13</v>
      </c>
      <c r="E299" s="259">
        <v>42689</v>
      </c>
      <c r="F299" s="262">
        <v>10439.885232000001</v>
      </c>
      <c r="G299" s="261" t="s">
        <v>15</v>
      </c>
      <c r="H299" s="258" t="s">
        <v>128</v>
      </c>
      <c r="I299" s="261">
        <v>801</v>
      </c>
      <c r="J299" s="261" t="s">
        <v>129</v>
      </c>
      <c r="K299" s="261" t="s">
        <v>123</v>
      </c>
      <c r="L299" s="258" t="s">
        <v>140</v>
      </c>
      <c r="M299" s="258" t="s">
        <v>128</v>
      </c>
    </row>
    <row r="300" spans="1:13" x14ac:dyDescent="0.2">
      <c r="A300" s="258" t="s">
        <v>138</v>
      </c>
      <c r="B300" s="258" t="s">
        <v>139</v>
      </c>
      <c r="C300" s="258" t="s">
        <v>12</v>
      </c>
      <c r="D300" s="258" t="s">
        <v>141</v>
      </c>
      <c r="E300" s="259">
        <v>42689</v>
      </c>
      <c r="F300" s="260">
        <v>46.7</v>
      </c>
      <c r="G300" s="261" t="s">
        <v>14</v>
      </c>
      <c r="H300" s="258" t="s">
        <v>16</v>
      </c>
      <c r="I300" s="261">
        <v>801</v>
      </c>
      <c r="J300" s="261" t="s">
        <v>129</v>
      </c>
      <c r="K300" s="261" t="s">
        <v>123</v>
      </c>
      <c r="L300" s="258" t="s">
        <v>140</v>
      </c>
      <c r="M300" s="258" t="s">
        <v>133</v>
      </c>
    </row>
    <row r="301" spans="1:13" x14ac:dyDescent="0.2">
      <c r="A301" s="258" t="s">
        <v>138</v>
      </c>
      <c r="B301" s="258" t="s">
        <v>139</v>
      </c>
      <c r="C301" s="258" t="s">
        <v>12</v>
      </c>
      <c r="D301" s="258" t="s">
        <v>141</v>
      </c>
      <c r="E301" s="259">
        <v>42689</v>
      </c>
      <c r="F301" s="262">
        <v>5631.8518800000002</v>
      </c>
      <c r="G301" s="261" t="s">
        <v>15</v>
      </c>
      <c r="H301" s="258" t="s">
        <v>16</v>
      </c>
      <c r="I301" s="261">
        <v>801</v>
      </c>
      <c r="J301" s="261" t="s">
        <v>129</v>
      </c>
      <c r="K301" s="261" t="s">
        <v>123</v>
      </c>
      <c r="L301" s="258" t="s">
        <v>140</v>
      </c>
      <c r="M301" s="258" t="s">
        <v>133</v>
      </c>
    </row>
    <row r="302" spans="1:13" x14ac:dyDescent="0.2">
      <c r="A302" s="258" t="s">
        <v>138</v>
      </c>
      <c r="B302" s="258" t="s">
        <v>139</v>
      </c>
      <c r="C302" s="258" t="s">
        <v>12</v>
      </c>
      <c r="D302" s="258" t="s">
        <v>13</v>
      </c>
      <c r="E302" s="259">
        <v>42682</v>
      </c>
      <c r="F302" s="260">
        <v>78.900000000000006</v>
      </c>
      <c r="G302" s="261" t="s">
        <v>14</v>
      </c>
      <c r="H302" s="258" t="s">
        <v>128</v>
      </c>
      <c r="I302" s="261">
        <v>801</v>
      </c>
      <c r="J302" s="261" t="s">
        <v>129</v>
      </c>
      <c r="K302" s="261" t="s">
        <v>123</v>
      </c>
      <c r="L302" s="258" t="s">
        <v>140</v>
      </c>
      <c r="M302" s="258" t="s">
        <v>128</v>
      </c>
    </row>
    <row r="303" spans="1:13" x14ac:dyDescent="0.2">
      <c r="A303" s="258" t="s">
        <v>138</v>
      </c>
      <c r="B303" s="258" t="s">
        <v>139</v>
      </c>
      <c r="C303" s="258" t="s">
        <v>12</v>
      </c>
      <c r="D303" s="258" t="s">
        <v>13</v>
      </c>
      <c r="E303" s="259">
        <v>42682</v>
      </c>
      <c r="F303" s="262">
        <v>10008.57546</v>
      </c>
      <c r="G303" s="261" t="s">
        <v>15</v>
      </c>
      <c r="H303" s="258" t="s">
        <v>128</v>
      </c>
      <c r="I303" s="261">
        <v>801</v>
      </c>
      <c r="J303" s="261" t="s">
        <v>129</v>
      </c>
      <c r="K303" s="261" t="s">
        <v>123</v>
      </c>
      <c r="L303" s="258" t="s">
        <v>140</v>
      </c>
      <c r="M303" s="258" t="s">
        <v>128</v>
      </c>
    </row>
    <row r="304" spans="1:13" x14ac:dyDescent="0.2">
      <c r="A304" s="258" t="s">
        <v>138</v>
      </c>
      <c r="B304" s="258" t="s">
        <v>139</v>
      </c>
      <c r="C304" s="258" t="s">
        <v>12</v>
      </c>
      <c r="D304" s="258" t="s">
        <v>141</v>
      </c>
      <c r="E304" s="259">
        <v>42682</v>
      </c>
      <c r="F304" s="260">
        <v>41.5</v>
      </c>
      <c r="G304" s="261" t="s">
        <v>14</v>
      </c>
      <c r="H304" s="258" t="s">
        <v>16</v>
      </c>
      <c r="I304" s="261">
        <v>801</v>
      </c>
      <c r="J304" s="261" t="s">
        <v>129</v>
      </c>
      <c r="K304" s="261" t="s">
        <v>123</v>
      </c>
      <c r="L304" s="258" t="s">
        <v>140</v>
      </c>
      <c r="M304" s="258" t="s">
        <v>133</v>
      </c>
    </row>
    <row r="305" spans="1:13" x14ac:dyDescent="0.2">
      <c r="A305" s="258" t="s">
        <v>138</v>
      </c>
      <c r="B305" s="258" t="s">
        <v>139</v>
      </c>
      <c r="C305" s="258" t="s">
        <v>12</v>
      </c>
      <c r="D305" s="258" t="s">
        <v>141</v>
      </c>
      <c r="E305" s="259">
        <v>42682</v>
      </c>
      <c r="F305" s="262">
        <v>5080.8948</v>
      </c>
      <c r="G305" s="261" t="s">
        <v>15</v>
      </c>
      <c r="H305" s="258" t="s">
        <v>16</v>
      </c>
      <c r="I305" s="261">
        <v>801</v>
      </c>
      <c r="J305" s="261" t="s">
        <v>129</v>
      </c>
      <c r="K305" s="261" t="s">
        <v>123</v>
      </c>
      <c r="L305" s="258" t="s">
        <v>140</v>
      </c>
      <c r="M305" s="258" t="s">
        <v>133</v>
      </c>
    </row>
    <row r="306" spans="1:13" x14ac:dyDescent="0.2">
      <c r="A306" s="258" t="s">
        <v>138</v>
      </c>
      <c r="B306" s="258" t="s">
        <v>139</v>
      </c>
      <c r="C306" s="258" t="s">
        <v>12</v>
      </c>
      <c r="D306" s="258" t="s">
        <v>13</v>
      </c>
      <c r="E306" s="259">
        <v>42675</v>
      </c>
      <c r="F306" s="260">
        <v>71.290000000000006</v>
      </c>
      <c r="G306" s="261" t="s">
        <v>14</v>
      </c>
      <c r="H306" s="258" t="s">
        <v>128</v>
      </c>
      <c r="I306" s="261">
        <v>801</v>
      </c>
      <c r="J306" s="261" t="s">
        <v>129</v>
      </c>
      <c r="K306" s="261" t="s">
        <v>123</v>
      </c>
      <c r="L306" s="258" t="s">
        <v>140</v>
      </c>
      <c r="M306" s="258" t="s">
        <v>128</v>
      </c>
    </row>
    <row r="307" spans="1:13" x14ac:dyDescent="0.2">
      <c r="A307" s="258" t="s">
        <v>138</v>
      </c>
      <c r="B307" s="258" t="s">
        <v>139</v>
      </c>
      <c r="C307" s="258" t="s">
        <v>12</v>
      </c>
      <c r="D307" s="258" t="s">
        <v>13</v>
      </c>
      <c r="E307" s="259">
        <v>42675</v>
      </c>
      <c r="F307" s="262">
        <v>9346.4611920000007</v>
      </c>
      <c r="G307" s="261" t="s">
        <v>15</v>
      </c>
      <c r="H307" s="258" t="s">
        <v>128</v>
      </c>
      <c r="I307" s="261">
        <v>801</v>
      </c>
      <c r="J307" s="261" t="s">
        <v>129</v>
      </c>
      <c r="K307" s="261" t="s">
        <v>123</v>
      </c>
      <c r="L307" s="258" t="s">
        <v>140</v>
      </c>
      <c r="M307" s="258" t="s">
        <v>128</v>
      </c>
    </row>
    <row r="308" spans="1:13" x14ac:dyDescent="0.2">
      <c r="A308" s="258" t="s">
        <v>138</v>
      </c>
      <c r="B308" s="258" t="s">
        <v>139</v>
      </c>
      <c r="C308" s="258" t="s">
        <v>12</v>
      </c>
      <c r="D308" s="258" t="s">
        <v>141</v>
      </c>
      <c r="E308" s="259">
        <v>42675</v>
      </c>
      <c r="F308" s="260">
        <v>19.899999999999999</v>
      </c>
      <c r="G308" s="261" t="s">
        <v>14</v>
      </c>
      <c r="H308" s="258" t="s">
        <v>16</v>
      </c>
      <c r="I308" s="261">
        <v>801</v>
      </c>
      <c r="J308" s="261" t="s">
        <v>129</v>
      </c>
      <c r="K308" s="261" t="s">
        <v>123</v>
      </c>
      <c r="L308" s="258" t="s">
        <v>140</v>
      </c>
      <c r="M308" s="258" t="s">
        <v>133</v>
      </c>
    </row>
    <row r="309" spans="1:13" x14ac:dyDescent="0.2">
      <c r="A309" s="258" t="s">
        <v>138</v>
      </c>
      <c r="B309" s="258" t="s">
        <v>139</v>
      </c>
      <c r="C309" s="258" t="s">
        <v>12</v>
      </c>
      <c r="D309" s="258" t="s">
        <v>141</v>
      </c>
      <c r="E309" s="259">
        <v>42675</v>
      </c>
      <c r="F309" s="262">
        <v>2627.2417799999998</v>
      </c>
      <c r="G309" s="261" t="s">
        <v>15</v>
      </c>
      <c r="H309" s="258" t="s">
        <v>16</v>
      </c>
      <c r="I309" s="261">
        <v>801</v>
      </c>
      <c r="J309" s="261" t="s">
        <v>129</v>
      </c>
      <c r="K309" s="261" t="s">
        <v>123</v>
      </c>
      <c r="L309" s="258" t="s">
        <v>140</v>
      </c>
      <c r="M309" s="258" t="s">
        <v>133</v>
      </c>
    </row>
    <row r="310" spans="1:13" x14ac:dyDescent="0.2">
      <c r="A310" s="258" t="s">
        <v>138</v>
      </c>
      <c r="B310" s="258" t="s">
        <v>139</v>
      </c>
      <c r="C310" s="258" t="s">
        <v>12</v>
      </c>
      <c r="D310" s="258" t="s">
        <v>13</v>
      </c>
      <c r="E310" s="259">
        <v>42668</v>
      </c>
      <c r="F310" s="260">
        <v>69.7</v>
      </c>
      <c r="G310" s="261" t="s">
        <v>14</v>
      </c>
      <c r="H310" s="258" t="s">
        <v>128</v>
      </c>
      <c r="I310" s="261">
        <v>801</v>
      </c>
      <c r="J310" s="261" t="s">
        <v>129</v>
      </c>
      <c r="K310" s="261" t="s">
        <v>123</v>
      </c>
      <c r="L310" s="258" t="s">
        <v>140</v>
      </c>
      <c r="M310" s="258" t="s">
        <v>128</v>
      </c>
    </row>
    <row r="311" spans="1:13" x14ac:dyDescent="0.2">
      <c r="A311" s="258" t="s">
        <v>138</v>
      </c>
      <c r="B311" s="258" t="s">
        <v>139</v>
      </c>
      <c r="C311" s="258" t="s">
        <v>12</v>
      </c>
      <c r="D311" s="258" t="s">
        <v>13</v>
      </c>
      <c r="E311" s="259">
        <v>42668</v>
      </c>
      <c r="F311" s="262">
        <v>9417.0275999999994</v>
      </c>
      <c r="G311" s="261" t="s">
        <v>15</v>
      </c>
      <c r="H311" s="258" t="s">
        <v>128</v>
      </c>
      <c r="I311" s="261">
        <v>801</v>
      </c>
      <c r="J311" s="261" t="s">
        <v>129</v>
      </c>
      <c r="K311" s="261" t="s">
        <v>123</v>
      </c>
      <c r="L311" s="258" t="s">
        <v>140</v>
      </c>
      <c r="M311" s="258" t="s">
        <v>128</v>
      </c>
    </row>
    <row r="312" spans="1:13" x14ac:dyDescent="0.2">
      <c r="A312" s="258" t="s">
        <v>138</v>
      </c>
      <c r="B312" s="258" t="s">
        <v>139</v>
      </c>
      <c r="C312" s="258" t="s">
        <v>12</v>
      </c>
      <c r="D312" s="258" t="s">
        <v>141</v>
      </c>
      <c r="E312" s="259">
        <v>42668</v>
      </c>
      <c r="F312" s="260">
        <v>36.5</v>
      </c>
      <c r="G312" s="261" t="s">
        <v>14</v>
      </c>
      <c r="H312" s="258" t="s">
        <v>16</v>
      </c>
      <c r="I312" s="261">
        <v>801</v>
      </c>
      <c r="J312" s="261" t="s">
        <v>129</v>
      </c>
      <c r="K312" s="261" t="s">
        <v>123</v>
      </c>
      <c r="L312" s="258" t="s">
        <v>140</v>
      </c>
      <c r="M312" s="258" t="s">
        <v>133</v>
      </c>
    </row>
    <row r="313" spans="1:13" x14ac:dyDescent="0.2">
      <c r="A313" s="258" t="s">
        <v>138</v>
      </c>
      <c r="B313" s="258" t="s">
        <v>139</v>
      </c>
      <c r="C313" s="258" t="s">
        <v>12</v>
      </c>
      <c r="D313" s="258" t="s">
        <v>141</v>
      </c>
      <c r="E313" s="259">
        <v>42668</v>
      </c>
      <c r="F313" s="262">
        <v>5007.5445</v>
      </c>
      <c r="G313" s="261" t="s">
        <v>15</v>
      </c>
      <c r="H313" s="258" t="s">
        <v>16</v>
      </c>
      <c r="I313" s="261">
        <v>801</v>
      </c>
      <c r="J313" s="261" t="s">
        <v>129</v>
      </c>
      <c r="K313" s="261" t="s">
        <v>123</v>
      </c>
      <c r="L313" s="258" t="s">
        <v>140</v>
      </c>
      <c r="M313" s="258" t="s">
        <v>133</v>
      </c>
    </row>
    <row r="314" spans="1:13" x14ac:dyDescent="0.2">
      <c r="A314" s="258" t="s">
        <v>138</v>
      </c>
      <c r="B314" s="258" t="s">
        <v>139</v>
      </c>
      <c r="C314" s="258" t="s">
        <v>12</v>
      </c>
      <c r="D314" s="258" t="s">
        <v>13</v>
      </c>
      <c r="E314" s="259">
        <v>42661</v>
      </c>
      <c r="F314" s="260">
        <v>72.44</v>
      </c>
      <c r="G314" s="261" t="s">
        <v>14</v>
      </c>
      <c r="H314" s="258" t="s">
        <v>128</v>
      </c>
      <c r="I314" s="261">
        <v>801</v>
      </c>
      <c r="J314" s="261" t="s">
        <v>129</v>
      </c>
      <c r="K314" s="261" t="s">
        <v>123</v>
      </c>
      <c r="L314" s="258" t="s">
        <v>140</v>
      </c>
      <c r="M314" s="258" t="s">
        <v>128</v>
      </c>
    </row>
    <row r="315" spans="1:13" x14ac:dyDescent="0.2">
      <c r="A315" s="258" t="s">
        <v>138</v>
      </c>
      <c r="B315" s="258" t="s">
        <v>139</v>
      </c>
      <c r="C315" s="258" t="s">
        <v>12</v>
      </c>
      <c r="D315" s="258" t="s">
        <v>13</v>
      </c>
      <c r="E315" s="259">
        <v>42661</v>
      </c>
      <c r="F315" s="262">
        <v>9690.5595840000005</v>
      </c>
      <c r="G315" s="261" t="s">
        <v>15</v>
      </c>
      <c r="H315" s="258" t="s">
        <v>128</v>
      </c>
      <c r="I315" s="261">
        <v>801</v>
      </c>
      <c r="J315" s="261" t="s">
        <v>129</v>
      </c>
      <c r="K315" s="261" t="s">
        <v>123</v>
      </c>
      <c r="L315" s="258" t="s">
        <v>140</v>
      </c>
      <c r="M315" s="258" t="s">
        <v>128</v>
      </c>
    </row>
    <row r="316" spans="1:13" x14ac:dyDescent="0.2">
      <c r="A316" s="258" t="s">
        <v>138</v>
      </c>
      <c r="B316" s="258" t="s">
        <v>139</v>
      </c>
      <c r="C316" s="258" t="s">
        <v>12</v>
      </c>
      <c r="D316" s="258" t="s">
        <v>141</v>
      </c>
      <c r="E316" s="259">
        <v>42661</v>
      </c>
      <c r="F316" s="260">
        <v>44</v>
      </c>
      <c r="G316" s="261" t="s">
        <v>14</v>
      </c>
      <c r="H316" s="258" t="s">
        <v>16</v>
      </c>
      <c r="I316" s="261">
        <v>801</v>
      </c>
      <c r="J316" s="261" t="s">
        <v>129</v>
      </c>
      <c r="K316" s="261" t="s">
        <v>123</v>
      </c>
      <c r="L316" s="258" t="s">
        <v>140</v>
      </c>
      <c r="M316" s="258" t="s">
        <v>133</v>
      </c>
    </row>
    <row r="317" spans="1:13" x14ac:dyDescent="0.2">
      <c r="A317" s="258" t="s">
        <v>138</v>
      </c>
      <c r="B317" s="258" t="s">
        <v>139</v>
      </c>
      <c r="C317" s="258" t="s">
        <v>12</v>
      </c>
      <c r="D317" s="258" t="s">
        <v>141</v>
      </c>
      <c r="E317" s="259">
        <v>42661</v>
      </c>
      <c r="F317" s="262">
        <v>6161.2583999999997</v>
      </c>
      <c r="G317" s="261" t="s">
        <v>15</v>
      </c>
      <c r="H317" s="258" t="s">
        <v>16</v>
      </c>
      <c r="I317" s="261">
        <v>801</v>
      </c>
      <c r="J317" s="261" t="s">
        <v>129</v>
      </c>
      <c r="K317" s="261" t="s">
        <v>123</v>
      </c>
      <c r="L317" s="258" t="s">
        <v>140</v>
      </c>
      <c r="M317" s="258" t="s">
        <v>133</v>
      </c>
    </row>
    <row r="318" spans="1:13" x14ac:dyDescent="0.2">
      <c r="A318" s="258" t="s">
        <v>138</v>
      </c>
      <c r="B318" s="258" t="s">
        <v>139</v>
      </c>
      <c r="C318" s="258" t="s">
        <v>12</v>
      </c>
      <c r="D318" s="258" t="s">
        <v>13</v>
      </c>
      <c r="E318" s="259">
        <v>42654</v>
      </c>
      <c r="F318" s="260">
        <v>65.8</v>
      </c>
      <c r="G318" s="261" t="s">
        <v>14</v>
      </c>
      <c r="H318" s="258" t="s">
        <v>128</v>
      </c>
      <c r="I318" s="261">
        <v>801</v>
      </c>
      <c r="J318" s="261" t="s">
        <v>129</v>
      </c>
      <c r="K318" s="261" t="s">
        <v>123</v>
      </c>
      <c r="L318" s="258" t="s">
        <v>140</v>
      </c>
      <c r="M318" s="258" t="s">
        <v>128</v>
      </c>
    </row>
    <row r="319" spans="1:13" x14ac:dyDescent="0.2">
      <c r="A319" s="258" t="s">
        <v>138</v>
      </c>
      <c r="B319" s="258" t="s">
        <v>139</v>
      </c>
      <c r="C319" s="258" t="s">
        <v>12</v>
      </c>
      <c r="D319" s="258" t="s">
        <v>13</v>
      </c>
      <c r="E319" s="259">
        <v>42654</v>
      </c>
      <c r="F319" s="262">
        <v>9982.1626799999995</v>
      </c>
      <c r="G319" s="261" t="s">
        <v>15</v>
      </c>
      <c r="H319" s="258" t="s">
        <v>128</v>
      </c>
      <c r="I319" s="261">
        <v>801</v>
      </c>
      <c r="J319" s="261" t="s">
        <v>129</v>
      </c>
      <c r="K319" s="261" t="s">
        <v>123</v>
      </c>
      <c r="L319" s="258" t="s">
        <v>140</v>
      </c>
      <c r="M319" s="258" t="s">
        <v>128</v>
      </c>
    </row>
    <row r="320" spans="1:13" x14ac:dyDescent="0.2">
      <c r="A320" s="258" t="s">
        <v>138</v>
      </c>
      <c r="B320" s="258" t="s">
        <v>139</v>
      </c>
      <c r="C320" s="258" t="s">
        <v>12</v>
      </c>
      <c r="D320" s="258" t="s">
        <v>141</v>
      </c>
      <c r="E320" s="259">
        <v>42654</v>
      </c>
      <c r="F320" s="260">
        <v>14.2</v>
      </c>
      <c r="G320" s="261" t="s">
        <v>14</v>
      </c>
      <c r="H320" s="258" t="s">
        <v>16</v>
      </c>
      <c r="I320" s="261">
        <v>801</v>
      </c>
      <c r="J320" s="261" t="s">
        <v>129</v>
      </c>
      <c r="K320" s="261" t="s">
        <v>123</v>
      </c>
      <c r="L320" s="258" t="s">
        <v>140</v>
      </c>
      <c r="M320" s="258" t="s">
        <v>133</v>
      </c>
    </row>
    <row r="321" spans="1:14" x14ac:dyDescent="0.2">
      <c r="A321" s="258" t="s">
        <v>138</v>
      </c>
      <c r="B321" s="258" t="s">
        <v>139</v>
      </c>
      <c r="C321" s="258" t="s">
        <v>12</v>
      </c>
      <c r="D321" s="258" t="s">
        <v>141</v>
      </c>
      <c r="E321" s="259">
        <v>42654</v>
      </c>
      <c r="F321" s="262">
        <v>2155.3896</v>
      </c>
      <c r="G321" s="261" t="s">
        <v>15</v>
      </c>
      <c r="H321" s="258" t="s">
        <v>16</v>
      </c>
      <c r="I321" s="261">
        <v>801</v>
      </c>
      <c r="J321" s="261" t="s">
        <v>129</v>
      </c>
      <c r="K321" s="261" t="s">
        <v>123</v>
      </c>
      <c r="L321" s="258" t="s">
        <v>140</v>
      </c>
      <c r="M321" s="258" t="s">
        <v>133</v>
      </c>
    </row>
    <row r="322" spans="1:14" x14ac:dyDescent="0.2">
      <c r="A322" s="258" t="s">
        <v>138</v>
      </c>
      <c r="B322" s="258" t="s">
        <v>139</v>
      </c>
      <c r="C322" s="258" t="s">
        <v>12</v>
      </c>
      <c r="D322" s="258" t="s">
        <v>13</v>
      </c>
      <c r="E322" s="259">
        <v>42647</v>
      </c>
      <c r="F322" s="260">
        <v>48.28</v>
      </c>
      <c r="G322" s="261" t="s">
        <v>14</v>
      </c>
      <c r="H322" s="258" t="s">
        <v>128</v>
      </c>
      <c r="I322" s="261">
        <v>801</v>
      </c>
      <c r="J322" s="261" t="s">
        <v>129</v>
      </c>
      <c r="K322" s="261" t="s">
        <v>123</v>
      </c>
      <c r="L322" s="258" t="s">
        <v>140</v>
      </c>
      <c r="M322" s="258" t="s">
        <v>128</v>
      </c>
    </row>
    <row r="323" spans="1:14" x14ac:dyDescent="0.2">
      <c r="A323" s="258" t="s">
        <v>138</v>
      </c>
      <c r="B323" s="258" t="s">
        <v>139</v>
      </c>
      <c r="C323" s="258" t="s">
        <v>12</v>
      </c>
      <c r="D323" s="258" t="s">
        <v>13</v>
      </c>
      <c r="E323" s="259">
        <v>42647</v>
      </c>
      <c r="F323" s="262">
        <v>10058.326896</v>
      </c>
      <c r="G323" s="261" t="s">
        <v>15</v>
      </c>
      <c r="H323" s="258" t="s">
        <v>128</v>
      </c>
      <c r="I323" s="261">
        <v>801</v>
      </c>
      <c r="J323" s="261" t="s">
        <v>129</v>
      </c>
      <c r="K323" s="261" t="s">
        <v>123</v>
      </c>
      <c r="L323" s="258" t="s">
        <v>140</v>
      </c>
      <c r="M323" s="258" t="s">
        <v>128</v>
      </c>
    </row>
    <row r="324" spans="1:14" x14ac:dyDescent="0.2">
      <c r="A324" s="258" t="s">
        <v>138</v>
      </c>
      <c r="B324" s="258" t="s">
        <v>139</v>
      </c>
      <c r="C324" s="258" t="s">
        <v>12</v>
      </c>
      <c r="D324" s="258" t="s">
        <v>141</v>
      </c>
      <c r="E324" s="259">
        <v>42647</v>
      </c>
      <c r="F324" s="260">
        <v>30.1</v>
      </c>
      <c r="G324" s="261" t="s">
        <v>14</v>
      </c>
      <c r="H324" s="258" t="s">
        <v>16</v>
      </c>
      <c r="I324" s="261">
        <v>11</v>
      </c>
      <c r="J324" s="261" t="s">
        <v>129</v>
      </c>
      <c r="K324" s="261" t="s">
        <v>123</v>
      </c>
      <c r="L324" s="258" t="s">
        <v>142</v>
      </c>
      <c r="M324" s="258" t="s">
        <v>133</v>
      </c>
      <c r="N324" s="258"/>
    </row>
    <row r="325" spans="1:14" x14ac:dyDescent="0.2">
      <c r="A325" s="258" t="s">
        <v>138</v>
      </c>
      <c r="B325" s="258" t="s">
        <v>139</v>
      </c>
      <c r="C325" s="258" t="s">
        <v>12</v>
      </c>
      <c r="D325" s="258" t="s">
        <v>141</v>
      </c>
      <c r="E325" s="259">
        <v>42647</v>
      </c>
      <c r="F325" s="262">
        <v>6077.5331399999995</v>
      </c>
      <c r="G325" s="261" t="s">
        <v>15</v>
      </c>
      <c r="H325" s="258" t="s">
        <v>16</v>
      </c>
      <c r="I325" s="261">
        <v>11</v>
      </c>
      <c r="J325" s="261" t="s">
        <v>129</v>
      </c>
      <c r="K325" s="261" t="s">
        <v>123</v>
      </c>
      <c r="L325" s="258" t="s">
        <v>142</v>
      </c>
      <c r="M325" s="258" t="s">
        <v>133</v>
      </c>
      <c r="N325" s="258"/>
    </row>
    <row r="326" spans="1:14" x14ac:dyDescent="0.2">
      <c r="A326" s="258" t="s">
        <v>138</v>
      </c>
      <c r="B326" s="258" t="s">
        <v>139</v>
      </c>
      <c r="C326" s="258" t="s">
        <v>12</v>
      </c>
      <c r="D326" s="258" t="s">
        <v>13</v>
      </c>
      <c r="E326" s="259">
        <v>42641</v>
      </c>
      <c r="F326" s="260">
        <v>30.49</v>
      </c>
      <c r="G326" s="261" t="s">
        <v>14</v>
      </c>
      <c r="H326" s="258" t="s">
        <v>128</v>
      </c>
      <c r="I326" s="261">
        <v>801</v>
      </c>
      <c r="J326" s="261" t="s">
        <v>129</v>
      </c>
      <c r="K326" s="261" t="s">
        <v>123</v>
      </c>
      <c r="L326" s="258" t="s">
        <v>140</v>
      </c>
      <c r="M326" s="258" t="s">
        <v>128</v>
      </c>
    </row>
    <row r="327" spans="1:14" x14ac:dyDescent="0.2">
      <c r="A327" s="258" t="s">
        <v>138</v>
      </c>
      <c r="B327" s="258" t="s">
        <v>139</v>
      </c>
      <c r="C327" s="258" t="s">
        <v>12</v>
      </c>
      <c r="D327" s="258" t="s">
        <v>13</v>
      </c>
      <c r="E327" s="259">
        <v>42641</v>
      </c>
      <c r="F327" s="262">
        <v>7338.711276</v>
      </c>
      <c r="G327" s="261" t="s">
        <v>15</v>
      </c>
      <c r="H327" s="258" t="s">
        <v>128</v>
      </c>
      <c r="I327" s="261">
        <v>801</v>
      </c>
      <c r="J327" s="261" t="s">
        <v>129</v>
      </c>
      <c r="K327" s="261" t="s">
        <v>123</v>
      </c>
      <c r="L327" s="258" t="s">
        <v>140</v>
      </c>
      <c r="M327" s="258" t="s">
        <v>128</v>
      </c>
    </row>
    <row r="328" spans="1:14" x14ac:dyDescent="0.2">
      <c r="A328" s="258" t="s">
        <v>138</v>
      </c>
      <c r="B328" s="258" t="s">
        <v>139</v>
      </c>
      <c r="C328" s="258" t="s">
        <v>12</v>
      </c>
      <c r="D328" s="258" t="s">
        <v>141</v>
      </c>
      <c r="E328" s="259">
        <v>42641</v>
      </c>
      <c r="F328" s="260">
        <v>18.7</v>
      </c>
      <c r="G328" s="261" t="s">
        <v>14</v>
      </c>
      <c r="H328" s="258" t="s">
        <v>16</v>
      </c>
      <c r="I328" s="261">
        <v>11</v>
      </c>
      <c r="J328" s="261" t="s">
        <v>129</v>
      </c>
      <c r="K328" s="261" t="s">
        <v>123</v>
      </c>
      <c r="L328" s="258" t="s">
        <v>142</v>
      </c>
      <c r="M328" s="258" t="s">
        <v>133</v>
      </c>
      <c r="N328" s="258"/>
    </row>
    <row r="329" spans="1:14" x14ac:dyDescent="0.2">
      <c r="A329" s="258" t="s">
        <v>138</v>
      </c>
      <c r="B329" s="258" t="s">
        <v>139</v>
      </c>
      <c r="C329" s="258" t="s">
        <v>12</v>
      </c>
      <c r="D329" s="258" t="s">
        <v>141</v>
      </c>
      <c r="E329" s="259">
        <v>42641</v>
      </c>
      <c r="F329" s="262">
        <v>4427.6476199999997</v>
      </c>
      <c r="G329" s="261" t="s">
        <v>15</v>
      </c>
      <c r="H329" s="258" t="s">
        <v>16</v>
      </c>
      <c r="I329" s="261">
        <v>11</v>
      </c>
      <c r="J329" s="261" t="s">
        <v>129</v>
      </c>
      <c r="K329" s="261" t="s">
        <v>123</v>
      </c>
      <c r="L329" s="258" t="s">
        <v>142</v>
      </c>
      <c r="M329" s="258" t="s">
        <v>133</v>
      </c>
      <c r="N329" s="258"/>
    </row>
    <row r="330" spans="1:14" x14ac:dyDescent="0.2">
      <c r="A330" s="258" t="s">
        <v>138</v>
      </c>
      <c r="B330" s="258" t="s">
        <v>139</v>
      </c>
      <c r="C330" s="258" t="s">
        <v>12</v>
      </c>
      <c r="D330" s="258" t="s">
        <v>13</v>
      </c>
      <c r="E330" s="259">
        <v>42633</v>
      </c>
      <c r="F330" s="260">
        <v>61.4</v>
      </c>
      <c r="G330" s="261" t="s">
        <v>14</v>
      </c>
      <c r="H330" s="258" t="s">
        <v>128</v>
      </c>
      <c r="I330" s="261">
        <v>801</v>
      </c>
      <c r="J330" s="261" t="s">
        <v>129</v>
      </c>
      <c r="K330" s="261" t="s">
        <v>123</v>
      </c>
      <c r="L330" s="258" t="s">
        <v>140</v>
      </c>
      <c r="M330" s="258" t="s">
        <v>128</v>
      </c>
    </row>
    <row r="331" spans="1:14" x14ac:dyDescent="0.2">
      <c r="A331" s="258" t="s">
        <v>138</v>
      </c>
      <c r="B331" s="258" t="s">
        <v>139</v>
      </c>
      <c r="C331" s="258" t="s">
        <v>12</v>
      </c>
      <c r="D331" s="258" t="s">
        <v>13</v>
      </c>
      <c r="E331" s="259">
        <v>42633</v>
      </c>
      <c r="F331" s="262">
        <v>10896.977279999999</v>
      </c>
      <c r="G331" s="261" t="s">
        <v>15</v>
      </c>
      <c r="H331" s="258" t="s">
        <v>128</v>
      </c>
      <c r="I331" s="261">
        <v>801</v>
      </c>
      <c r="J331" s="261" t="s">
        <v>129</v>
      </c>
      <c r="K331" s="261" t="s">
        <v>123</v>
      </c>
      <c r="L331" s="258" t="s">
        <v>140</v>
      </c>
      <c r="M331" s="258" t="s">
        <v>128</v>
      </c>
    </row>
    <row r="332" spans="1:14" x14ac:dyDescent="0.2">
      <c r="A332" s="258" t="s">
        <v>138</v>
      </c>
      <c r="B332" s="258" t="s">
        <v>139</v>
      </c>
      <c r="C332" s="258" t="s">
        <v>12</v>
      </c>
      <c r="D332" s="258" t="s">
        <v>141</v>
      </c>
      <c r="E332" s="259">
        <v>42633</v>
      </c>
      <c r="F332" s="260">
        <v>35.1</v>
      </c>
      <c r="G332" s="261" t="s">
        <v>14</v>
      </c>
      <c r="H332" s="258" t="s">
        <v>16</v>
      </c>
      <c r="I332" s="261">
        <v>11</v>
      </c>
      <c r="J332" s="261" t="s">
        <v>129</v>
      </c>
      <c r="K332" s="261" t="s">
        <v>123</v>
      </c>
      <c r="L332" s="258" t="s">
        <v>142</v>
      </c>
      <c r="M332" s="258" t="s">
        <v>133</v>
      </c>
      <c r="N332" s="258"/>
    </row>
    <row r="333" spans="1:14" x14ac:dyDescent="0.2">
      <c r="A333" s="258" t="s">
        <v>138</v>
      </c>
      <c r="B333" s="258" t="s">
        <v>139</v>
      </c>
      <c r="C333" s="258" t="s">
        <v>12</v>
      </c>
      <c r="D333" s="258" t="s">
        <v>141</v>
      </c>
      <c r="E333" s="259">
        <v>42633</v>
      </c>
      <c r="F333" s="262">
        <v>5822.4792600000001</v>
      </c>
      <c r="G333" s="261" t="s">
        <v>15</v>
      </c>
      <c r="H333" s="258" t="s">
        <v>16</v>
      </c>
      <c r="I333" s="261">
        <v>11</v>
      </c>
      <c r="J333" s="261" t="s">
        <v>129</v>
      </c>
      <c r="K333" s="261" t="s">
        <v>123</v>
      </c>
      <c r="L333" s="258" t="s">
        <v>142</v>
      </c>
      <c r="M333" s="258" t="s">
        <v>133</v>
      </c>
      <c r="N333" s="258"/>
    </row>
    <row r="334" spans="1:14" x14ac:dyDescent="0.2">
      <c r="A334" s="258" t="s">
        <v>138</v>
      </c>
      <c r="B334" s="258" t="s">
        <v>139</v>
      </c>
      <c r="C334" s="258" t="s">
        <v>12</v>
      </c>
      <c r="D334" s="258" t="s">
        <v>13</v>
      </c>
      <c r="E334" s="259">
        <v>42626</v>
      </c>
      <c r="F334" s="260">
        <v>63.14</v>
      </c>
      <c r="G334" s="261" t="s">
        <v>14</v>
      </c>
      <c r="H334" s="258" t="s">
        <v>128</v>
      </c>
      <c r="I334" s="261">
        <v>801</v>
      </c>
      <c r="J334" s="261" t="s">
        <v>129</v>
      </c>
      <c r="K334" s="261" t="s">
        <v>123</v>
      </c>
      <c r="L334" s="258" t="s">
        <v>140</v>
      </c>
      <c r="M334" s="258" t="s">
        <v>128</v>
      </c>
    </row>
    <row r="335" spans="1:14" x14ac:dyDescent="0.2">
      <c r="A335" s="258" t="s">
        <v>138</v>
      </c>
      <c r="B335" s="258" t="s">
        <v>139</v>
      </c>
      <c r="C335" s="258" t="s">
        <v>12</v>
      </c>
      <c r="D335" s="258" t="s">
        <v>13</v>
      </c>
      <c r="E335" s="259">
        <v>42626</v>
      </c>
      <c r="F335" s="262">
        <v>8862.4693079999997</v>
      </c>
      <c r="G335" s="261" t="s">
        <v>15</v>
      </c>
      <c r="H335" s="258" t="s">
        <v>128</v>
      </c>
      <c r="I335" s="261">
        <v>801</v>
      </c>
      <c r="J335" s="261" t="s">
        <v>129</v>
      </c>
      <c r="K335" s="261" t="s">
        <v>123</v>
      </c>
      <c r="L335" s="258" t="s">
        <v>140</v>
      </c>
      <c r="M335" s="258" t="s">
        <v>128</v>
      </c>
    </row>
    <row r="336" spans="1:14" x14ac:dyDescent="0.2">
      <c r="A336" s="258" t="s">
        <v>138</v>
      </c>
      <c r="B336" s="258" t="s">
        <v>139</v>
      </c>
      <c r="C336" s="258" t="s">
        <v>12</v>
      </c>
      <c r="D336" s="258" t="s">
        <v>141</v>
      </c>
      <c r="E336" s="259">
        <v>42626</v>
      </c>
      <c r="F336" s="260">
        <v>50.1</v>
      </c>
      <c r="G336" s="261" t="s">
        <v>14</v>
      </c>
      <c r="H336" s="258" t="s">
        <v>16</v>
      </c>
      <c r="I336" s="261">
        <v>11</v>
      </c>
      <c r="J336" s="261" t="s">
        <v>129</v>
      </c>
      <c r="K336" s="261" t="s">
        <v>123</v>
      </c>
      <c r="L336" s="258" t="s">
        <v>142</v>
      </c>
      <c r="M336" s="258" t="s">
        <v>133</v>
      </c>
      <c r="N336" s="258"/>
    </row>
    <row r="337" spans="1:14" x14ac:dyDescent="0.2">
      <c r="A337" s="258" t="s">
        <v>138</v>
      </c>
      <c r="B337" s="258" t="s">
        <v>139</v>
      </c>
      <c r="C337" s="258" t="s">
        <v>12</v>
      </c>
      <c r="D337" s="258" t="s">
        <v>141</v>
      </c>
      <c r="E337" s="259">
        <v>42626</v>
      </c>
      <c r="F337" s="262">
        <v>6447.1786199999997</v>
      </c>
      <c r="G337" s="261" t="s">
        <v>15</v>
      </c>
      <c r="H337" s="258" t="s">
        <v>16</v>
      </c>
      <c r="I337" s="261">
        <v>11</v>
      </c>
      <c r="J337" s="261" t="s">
        <v>129</v>
      </c>
      <c r="K337" s="261" t="s">
        <v>123</v>
      </c>
      <c r="L337" s="258" t="s">
        <v>142</v>
      </c>
      <c r="M337" s="258" t="s">
        <v>133</v>
      </c>
      <c r="N337" s="258"/>
    </row>
    <row r="338" spans="1:14" x14ac:dyDescent="0.2">
      <c r="A338" s="258" t="s">
        <v>138</v>
      </c>
      <c r="B338" s="258" t="s">
        <v>139</v>
      </c>
      <c r="C338" s="258" t="s">
        <v>12</v>
      </c>
      <c r="D338" s="258" t="s">
        <v>13</v>
      </c>
      <c r="E338" s="259">
        <v>42619</v>
      </c>
      <c r="F338" s="260">
        <v>81.02</v>
      </c>
      <c r="G338" s="261" t="s">
        <v>14</v>
      </c>
      <c r="H338" s="258" t="s">
        <v>128</v>
      </c>
      <c r="I338" s="261">
        <v>801</v>
      </c>
      <c r="J338" s="261" t="s">
        <v>129</v>
      </c>
      <c r="K338" s="261" t="s">
        <v>123</v>
      </c>
      <c r="L338" s="258" t="s">
        <v>140</v>
      </c>
      <c r="M338" s="258" t="s">
        <v>128</v>
      </c>
    </row>
    <row r="339" spans="1:14" x14ac:dyDescent="0.2">
      <c r="A339" s="258" t="s">
        <v>138</v>
      </c>
      <c r="B339" s="258" t="s">
        <v>139</v>
      </c>
      <c r="C339" s="258" t="s">
        <v>12</v>
      </c>
      <c r="D339" s="258" t="s">
        <v>13</v>
      </c>
      <c r="E339" s="259">
        <v>42619</v>
      </c>
      <c r="F339" s="262">
        <v>9216.6407519999993</v>
      </c>
      <c r="G339" s="261" t="s">
        <v>15</v>
      </c>
      <c r="H339" s="258" t="s">
        <v>128</v>
      </c>
      <c r="I339" s="261">
        <v>801</v>
      </c>
      <c r="J339" s="261" t="s">
        <v>129</v>
      </c>
      <c r="K339" s="261" t="s">
        <v>123</v>
      </c>
      <c r="L339" s="258" t="s">
        <v>140</v>
      </c>
      <c r="M339" s="258" t="s">
        <v>128</v>
      </c>
    </row>
    <row r="340" spans="1:14" x14ac:dyDescent="0.2">
      <c r="A340" s="258" t="s">
        <v>138</v>
      </c>
      <c r="B340" s="258" t="s">
        <v>139</v>
      </c>
      <c r="C340" s="258" t="s">
        <v>12</v>
      </c>
      <c r="D340" s="258" t="s">
        <v>141</v>
      </c>
      <c r="E340" s="259">
        <v>42619</v>
      </c>
      <c r="F340" s="260">
        <v>66.900000000000006</v>
      </c>
      <c r="G340" s="261" t="s">
        <v>14</v>
      </c>
      <c r="H340" s="258" t="s">
        <v>16</v>
      </c>
      <c r="I340" s="261">
        <v>801</v>
      </c>
      <c r="J340" s="261" t="s">
        <v>129</v>
      </c>
      <c r="K340" s="261" t="s">
        <v>123</v>
      </c>
      <c r="L340" s="258" t="s">
        <v>140</v>
      </c>
      <c r="M340" s="258" t="s">
        <v>133</v>
      </c>
    </row>
    <row r="341" spans="1:14" x14ac:dyDescent="0.2">
      <c r="A341" s="258" t="s">
        <v>138</v>
      </c>
      <c r="B341" s="258" t="s">
        <v>139</v>
      </c>
      <c r="C341" s="258" t="s">
        <v>12</v>
      </c>
      <c r="D341" s="258" t="s">
        <v>141</v>
      </c>
      <c r="E341" s="259">
        <v>42619</v>
      </c>
      <c r="F341" s="262">
        <v>6673.0341600000002</v>
      </c>
      <c r="G341" s="261" t="s">
        <v>15</v>
      </c>
      <c r="H341" s="258" t="s">
        <v>16</v>
      </c>
      <c r="I341" s="261">
        <v>801</v>
      </c>
      <c r="J341" s="261" t="s">
        <v>129</v>
      </c>
      <c r="K341" s="261" t="s">
        <v>123</v>
      </c>
      <c r="L341" s="258" t="s">
        <v>140</v>
      </c>
      <c r="M341" s="258" t="s">
        <v>133</v>
      </c>
    </row>
    <row r="342" spans="1:14" x14ac:dyDescent="0.2">
      <c r="A342" s="258" t="s">
        <v>138</v>
      </c>
      <c r="B342" s="258" t="s">
        <v>139</v>
      </c>
      <c r="C342" s="258" t="s">
        <v>12</v>
      </c>
      <c r="D342" s="258" t="s">
        <v>13</v>
      </c>
      <c r="E342" s="259">
        <v>42612</v>
      </c>
      <c r="F342" s="260">
        <v>72.72</v>
      </c>
      <c r="G342" s="261" t="s">
        <v>14</v>
      </c>
      <c r="H342" s="258" t="s">
        <v>128</v>
      </c>
      <c r="I342" s="261">
        <v>801</v>
      </c>
      <c r="J342" s="261" t="s">
        <v>129</v>
      </c>
      <c r="K342" s="261" t="s">
        <v>123</v>
      </c>
      <c r="L342" s="258" t="s">
        <v>140</v>
      </c>
      <c r="M342" s="258" t="s">
        <v>128</v>
      </c>
    </row>
    <row r="343" spans="1:14" x14ac:dyDescent="0.2">
      <c r="A343" s="258" t="s">
        <v>138</v>
      </c>
      <c r="B343" s="258" t="s">
        <v>139</v>
      </c>
      <c r="C343" s="258" t="s">
        <v>12</v>
      </c>
      <c r="D343" s="258" t="s">
        <v>13</v>
      </c>
      <c r="E343" s="259">
        <v>42612</v>
      </c>
      <c r="F343" s="262">
        <v>9818.9889120000007</v>
      </c>
      <c r="G343" s="261" t="s">
        <v>15</v>
      </c>
      <c r="H343" s="258" t="s">
        <v>128</v>
      </c>
      <c r="I343" s="261">
        <v>801</v>
      </c>
      <c r="J343" s="261" t="s">
        <v>129</v>
      </c>
      <c r="K343" s="261" t="s">
        <v>123</v>
      </c>
      <c r="L343" s="258" t="s">
        <v>140</v>
      </c>
      <c r="M343" s="258" t="s">
        <v>128</v>
      </c>
    </row>
    <row r="344" spans="1:14" x14ac:dyDescent="0.2">
      <c r="A344" s="258" t="s">
        <v>138</v>
      </c>
      <c r="B344" s="258" t="s">
        <v>139</v>
      </c>
      <c r="C344" s="258" t="s">
        <v>12</v>
      </c>
      <c r="D344" s="258" t="s">
        <v>141</v>
      </c>
      <c r="E344" s="259">
        <v>42612</v>
      </c>
      <c r="F344" s="260">
        <v>23</v>
      </c>
      <c r="G344" s="261" t="s">
        <v>14</v>
      </c>
      <c r="H344" s="258" t="s">
        <v>16</v>
      </c>
      <c r="I344" s="261">
        <v>801</v>
      </c>
      <c r="J344" s="261" t="s">
        <v>129</v>
      </c>
      <c r="K344" s="261" t="s">
        <v>123</v>
      </c>
      <c r="L344" s="258" t="s">
        <v>140</v>
      </c>
      <c r="M344" s="258" t="s">
        <v>133</v>
      </c>
    </row>
    <row r="345" spans="1:14" x14ac:dyDescent="0.2">
      <c r="A345" s="258" t="s">
        <v>138</v>
      </c>
      <c r="B345" s="258" t="s">
        <v>139</v>
      </c>
      <c r="C345" s="258" t="s">
        <v>12</v>
      </c>
      <c r="D345" s="258" t="s">
        <v>141</v>
      </c>
      <c r="E345" s="259">
        <v>42612</v>
      </c>
      <c r="F345" s="262">
        <v>3021.165</v>
      </c>
      <c r="G345" s="261" t="s">
        <v>15</v>
      </c>
      <c r="H345" s="258" t="s">
        <v>16</v>
      </c>
      <c r="I345" s="261">
        <v>801</v>
      </c>
      <c r="J345" s="261" t="s">
        <v>129</v>
      </c>
      <c r="K345" s="261" t="s">
        <v>123</v>
      </c>
      <c r="L345" s="258" t="s">
        <v>140</v>
      </c>
      <c r="M345" s="258" t="s">
        <v>133</v>
      </c>
    </row>
    <row r="346" spans="1:14" x14ac:dyDescent="0.2">
      <c r="A346" s="258" t="s">
        <v>138</v>
      </c>
      <c r="B346" s="258" t="s">
        <v>139</v>
      </c>
      <c r="C346" s="258" t="s">
        <v>12</v>
      </c>
      <c r="D346" s="258" t="s">
        <v>13</v>
      </c>
      <c r="E346" s="259">
        <v>42605</v>
      </c>
      <c r="F346" s="260">
        <v>66.95</v>
      </c>
      <c r="G346" s="261" t="s">
        <v>14</v>
      </c>
      <c r="H346" s="258" t="s">
        <v>128</v>
      </c>
      <c r="I346" s="261">
        <v>801</v>
      </c>
      <c r="J346" s="261" t="s">
        <v>129</v>
      </c>
      <c r="K346" s="261" t="s">
        <v>123</v>
      </c>
      <c r="L346" s="258" t="s">
        <v>140</v>
      </c>
      <c r="M346" s="258" t="s">
        <v>128</v>
      </c>
    </row>
    <row r="347" spans="1:14" x14ac:dyDescent="0.2">
      <c r="A347" s="258" t="s">
        <v>138</v>
      </c>
      <c r="B347" s="258" t="s">
        <v>139</v>
      </c>
      <c r="C347" s="258" t="s">
        <v>12</v>
      </c>
      <c r="D347" s="258" t="s">
        <v>13</v>
      </c>
      <c r="E347" s="259">
        <v>42605</v>
      </c>
      <c r="F347" s="262">
        <v>9888.6087299999999</v>
      </c>
      <c r="G347" s="261" t="s">
        <v>15</v>
      </c>
      <c r="H347" s="258" t="s">
        <v>128</v>
      </c>
      <c r="I347" s="261">
        <v>801</v>
      </c>
      <c r="J347" s="261" t="s">
        <v>129</v>
      </c>
      <c r="K347" s="261" t="s">
        <v>123</v>
      </c>
      <c r="L347" s="258" t="s">
        <v>140</v>
      </c>
      <c r="M347" s="258" t="s">
        <v>128</v>
      </c>
    </row>
    <row r="348" spans="1:14" x14ac:dyDescent="0.2">
      <c r="A348" s="258" t="s">
        <v>138</v>
      </c>
      <c r="B348" s="258" t="s">
        <v>139</v>
      </c>
      <c r="C348" s="258" t="s">
        <v>12</v>
      </c>
      <c r="D348" s="258" t="s">
        <v>141</v>
      </c>
      <c r="E348" s="259">
        <v>42605</v>
      </c>
      <c r="F348" s="260">
        <v>38.200000000000003</v>
      </c>
      <c r="G348" s="261" t="s">
        <v>14</v>
      </c>
      <c r="H348" s="258" t="s">
        <v>16</v>
      </c>
      <c r="I348" s="261">
        <v>801</v>
      </c>
      <c r="J348" s="261" t="s">
        <v>129</v>
      </c>
      <c r="K348" s="261" t="s">
        <v>123</v>
      </c>
      <c r="L348" s="258" t="s">
        <v>140</v>
      </c>
      <c r="M348" s="258" t="s">
        <v>133</v>
      </c>
    </row>
    <row r="349" spans="1:14" x14ac:dyDescent="0.2">
      <c r="A349" s="258" t="s">
        <v>138</v>
      </c>
      <c r="B349" s="258" t="s">
        <v>139</v>
      </c>
      <c r="C349" s="258" t="s">
        <v>12</v>
      </c>
      <c r="D349" s="258" t="s">
        <v>141</v>
      </c>
      <c r="E349" s="259">
        <v>42605</v>
      </c>
      <c r="F349" s="262">
        <v>5250.3302400000002</v>
      </c>
      <c r="G349" s="261" t="s">
        <v>15</v>
      </c>
      <c r="H349" s="258" t="s">
        <v>16</v>
      </c>
      <c r="I349" s="261">
        <v>801</v>
      </c>
      <c r="J349" s="261" t="s">
        <v>129</v>
      </c>
      <c r="K349" s="261" t="s">
        <v>123</v>
      </c>
      <c r="L349" s="258" t="s">
        <v>140</v>
      </c>
      <c r="M349" s="258" t="s">
        <v>133</v>
      </c>
    </row>
    <row r="350" spans="1:14" x14ac:dyDescent="0.2">
      <c r="A350" s="258" t="s">
        <v>138</v>
      </c>
      <c r="B350" s="258" t="s">
        <v>139</v>
      </c>
      <c r="C350" s="258" t="s">
        <v>12</v>
      </c>
      <c r="D350" s="258" t="s">
        <v>13</v>
      </c>
      <c r="E350" s="259">
        <v>42599</v>
      </c>
      <c r="F350" s="260">
        <v>76.02</v>
      </c>
      <c r="G350" s="261" t="s">
        <v>14</v>
      </c>
      <c r="H350" s="258" t="s">
        <v>128</v>
      </c>
      <c r="I350" s="261">
        <v>801</v>
      </c>
      <c r="J350" s="261" t="s">
        <v>129</v>
      </c>
      <c r="K350" s="261" t="s">
        <v>123</v>
      </c>
      <c r="L350" s="258" t="s">
        <v>140</v>
      </c>
      <c r="M350" s="258" t="s">
        <v>128</v>
      </c>
    </row>
    <row r="351" spans="1:14" x14ac:dyDescent="0.2">
      <c r="A351" s="258" t="s">
        <v>138</v>
      </c>
      <c r="B351" s="258" t="s">
        <v>139</v>
      </c>
      <c r="C351" s="258" t="s">
        <v>12</v>
      </c>
      <c r="D351" s="258" t="s">
        <v>13</v>
      </c>
      <c r="E351" s="259">
        <v>42599</v>
      </c>
      <c r="F351" s="262">
        <v>10378.691316</v>
      </c>
      <c r="G351" s="261" t="s">
        <v>15</v>
      </c>
      <c r="H351" s="258" t="s">
        <v>128</v>
      </c>
      <c r="I351" s="261">
        <v>801</v>
      </c>
      <c r="J351" s="261" t="s">
        <v>129</v>
      </c>
      <c r="K351" s="261" t="s">
        <v>123</v>
      </c>
      <c r="L351" s="258" t="s">
        <v>140</v>
      </c>
      <c r="M351" s="258" t="s">
        <v>128</v>
      </c>
    </row>
    <row r="352" spans="1:14" x14ac:dyDescent="0.2">
      <c r="A352" s="258" t="s">
        <v>138</v>
      </c>
      <c r="B352" s="258" t="s">
        <v>139</v>
      </c>
      <c r="C352" s="258" t="s">
        <v>12</v>
      </c>
      <c r="D352" s="258" t="s">
        <v>141</v>
      </c>
      <c r="E352" s="259">
        <v>42599</v>
      </c>
      <c r="F352" s="260">
        <v>42.6</v>
      </c>
      <c r="G352" s="261" t="s">
        <v>14</v>
      </c>
      <c r="H352" s="258" t="s">
        <v>16</v>
      </c>
      <c r="I352" s="261">
        <v>801</v>
      </c>
      <c r="J352" s="261" t="s">
        <v>129</v>
      </c>
      <c r="K352" s="261" t="s">
        <v>123</v>
      </c>
      <c r="L352" s="258" t="s">
        <v>140</v>
      </c>
      <c r="M352" s="258" t="s">
        <v>133</v>
      </c>
    </row>
    <row r="353" spans="1:14" x14ac:dyDescent="0.2">
      <c r="A353" s="258" t="s">
        <v>138</v>
      </c>
      <c r="B353" s="258" t="s">
        <v>139</v>
      </c>
      <c r="C353" s="258" t="s">
        <v>12</v>
      </c>
      <c r="D353" s="258" t="s">
        <v>141</v>
      </c>
      <c r="E353" s="259">
        <v>42599</v>
      </c>
      <c r="F353" s="262">
        <v>5450.05656</v>
      </c>
      <c r="G353" s="261" t="s">
        <v>15</v>
      </c>
      <c r="H353" s="258" t="s">
        <v>16</v>
      </c>
      <c r="I353" s="261">
        <v>801</v>
      </c>
      <c r="J353" s="261" t="s">
        <v>129</v>
      </c>
      <c r="K353" s="261" t="s">
        <v>123</v>
      </c>
      <c r="L353" s="258" t="s">
        <v>140</v>
      </c>
      <c r="M353" s="258" t="s">
        <v>133</v>
      </c>
    </row>
    <row r="354" spans="1:14" x14ac:dyDescent="0.2">
      <c r="A354" s="258" t="s">
        <v>138</v>
      </c>
      <c r="B354" s="258" t="s">
        <v>139</v>
      </c>
      <c r="C354" s="258" t="s">
        <v>12</v>
      </c>
      <c r="D354" s="258" t="s">
        <v>13</v>
      </c>
      <c r="E354" s="259">
        <v>42592</v>
      </c>
      <c r="F354" s="260">
        <v>71.680000000000007</v>
      </c>
      <c r="G354" s="261" t="s">
        <v>14</v>
      </c>
      <c r="H354" s="258" t="s">
        <v>128</v>
      </c>
      <c r="I354" s="261">
        <v>801</v>
      </c>
      <c r="J354" s="261" t="s">
        <v>129</v>
      </c>
      <c r="K354" s="261" t="s">
        <v>123</v>
      </c>
      <c r="L354" s="258" t="s">
        <v>140</v>
      </c>
      <c r="M354" s="258" t="s">
        <v>128</v>
      </c>
    </row>
    <row r="355" spans="1:14" x14ac:dyDescent="0.2">
      <c r="A355" s="258" t="s">
        <v>138</v>
      </c>
      <c r="B355" s="258" t="s">
        <v>139</v>
      </c>
      <c r="C355" s="258" t="s">
        <v>12</v>
      </c>
      <c r="D355" s="258" t="s">
        <v>13</v>
      </c>
      <c r="E355" s="259">
        <v>42592</v>
      </c>
      <c r="F355" s="262">
        <v>9505.1980800000001</v>
      </c>
      <c r="G355" s="261" t="s">
        <v>15</v>
      </c>
      <c r="H355" s="258" t="s">
        <v>128</v>
      </c>
      <c r="I355" s="261">
        <v>801</v>
      </c>
      <c r="J355" s="261" t="s">
        <v>129</v>
      </c>
      <c r="K355" s="261" t="s">
        <v>123</v>
      </c>
      <c r="L355" s="258" t="s">
        <v>140</v>
      </c>
      <c r="M355" s="258" t="s">
        <v>128</v>
      </c>
    </row>
    <row r="356" spans="1:14" x14ac:dyDescent="0.2">
      <c r="A356" s="258" t="s">
        <v>138</v>
      </c>
      <c r="B356" s="258" t="s">
        <v>139</v>
      </c>
      <c r="C356" s="258" t="s">
        <v>12</v>
      </c>
      <c r="D356" s="258" t="s">
        <v>141</v>
      </c>
      <c r="E356" s="259">
        <v>42592</v>
      </c>
      <c r="F356" s="260">
        <v>36</v>
      </c>
      <c r="G356" s="261" t="s">
        <v>14</v>
      </c>
      <c r="H356" s="258" t="s">
        <v>16</v>
      </c>
      <c r="I356" s="261">
        <v>801</v>
      </c>
      <c r="J356" s="261" t="s">
        <v>129</v>
      </c>
      <c r="K356" s="261" t="s">
        <v>123</v>
      </c>
      <c r="L356" s="258" t="s">
        <v>140</v>
      </c>
      <c r="M356" s="258" t="s">
        <v>133</v>
      </c>
    </row>
    <row r="357" spans="1:14" x14ac:dyDescent="0.2">
      <c r="A357" s="258" t="s">
        <v>138</v>
      </c>
      <c r="B357" s="258" t="s">
        <v>139</v>
      </c>
      <c r="C357" s="258" t="s">
        <v>12</v>
      </c>
      <c r="D357" s="258" t="s">
        <v>141</v>
      </c>
      <c r="E357" s="259">
        <v>42592</v>
      </c>
      <c r="F357" s="262">
        <v>4479.5807999999997</v>
      </c>
      <c r="G357" s="261" t="s">
        <v>15</v>
      </c>
      <c r="H357" s="258" t="s">
        <v>16</v>
      </c>
      <c r="I357" s="261">
        <v>801</v>
      </c>
      <c r="J357" s="261" t="s">
        <v>129</v>
      </c>
      <c r="K357" s="261" t="s">
        <v>123</v>
      </c>
      <c r="L357" s="258" t="s">
        <v>140</v>
      </c>
      <c r="M357" s="258" t="s">
        <v>133</v>
      </c>
    </row>
    <row r="358" spans="1:14" x14ac:dyDescent="0.2">
      <c r="A358" s="258" t="s">
        <v>138</v>
      </c>
      <c r="B358" s="258" t="s">
        <v>139</v>
      </c>
      <c r="C358" s="258" t="s">
        <v>12</v>
      </c>
      <c r="D358" s="258" t="s">
        <v>13</v>
      </c>
      <c r="E358" s="259">
        <v>42584</v>
      </c>
      <c r="F358" s="260">
        <v>64.88</v>
      </c>
      <c r="G358" s="261" t="s">
        <v>14</v>
      </c>
      <c r="H358" s="258" t="s">
        <v>128</v>
      </c>
      <c r="I358" s="261">
        <v>801</v>
      </c>
      <c r="J358" s="261" t="s">
        <v>129</v>
      </c>
      <c r="K358" s="261" t="s">
        <v>123</v>
      </c>
      <c r="L358" s="258" t="s">
        <v>140</v>
      </c>
      <c r="M358" s="258" t="s">
        <v>128</v>
      </c>
    </row>
    <row r="359" spans="1:14" x14ac:dyDescent="0.2">
      <c r="A359" s="258" t="s">
        <v>138</v>
      </c>
      <c r="B359" s="258" t="s">
        <v>139</v>
      </c>
      <c r="C359" s="258" t="s">
        <v>12</v>
      </c>
      <c r="D359" s="258" t="s">
        <v>13</v>
      </c>
      <c r="E359" s="259">
        <v>42584</v>
      </c>
      <c r="F359" s="262">
        <v>8408.681568</v>
      </c>
      <c r="G359" s="261" t="s">
        <v>15</v>
      </c>
      <c r="H359" s="258" t="s">
        <v>128</v>
      </c>
      <c r="I359" s="261">
        <v>801</v>
      </c>
      <c r="J359" s="261" t="s">
        <v>129</v>
      </c>
      <c r="K359" s="261" t="s">
        <v>123</v>
      </c>
      <c r="L359" s="258" t="s">
        <v>140</v>
      </c>
      <c r="M359" s="258" t="s">
        <v>128</v>
      </c>
    </row>
    <row r="360" spans="1:14" x14ac:dyDescent="0.2">
      <c r="A360" s="258" t="s">
        <v>138</v>
      </c>
      <c r="B360" s="258" t="s">
        <v>139</v>
      </c>
      <c r="C360" s="258" t="s">
        <v>12</v>
      </c>
      <c r="D360" s="258" t="s">
        <v>141</v>
      </c>
      <c r="E360" s="259">
        <v>42584</v>
      </c>
      <c r="F360" s="260">
        <v>31.8</v>
      </c>
      <c r="G360" s="261" t="s">
        <v>14</v>
      </c>
      <c r="H360" s="258" t="s">
        <v>16</v>
      </c>
      <c r="I360" s="261">
        <v>801</v>
      </c>
      <c r="J360" s="261" t="s">
        <v>129</v>
      </c>
      <c r="K360" s="261" t="s">
        <v>123</v>
      </c>
      <c r="L360" s="258" t="s">
        <v>140</v>
      </c>
      <c r="M360" s="258" t="s">
        <v>133</v>
      </c>
    </row>
    <row r="361" spans="1:14" x14ac:dyDescent="0.2">
      <c r="A361" s="258" t="s">
        <v>138</v>
      </c>
      <c r="B361" s="258" t="s">
        <v>139</v>
      </c>
      <c r="C361" s="258" t="s">
        <v>12</v>
      </c>
      <c r="D361" s="258" t="s">
        <v>141</v>
      </c>
      <c r="E361" s="259">
        <v>42584</v>
      </c>
      <c r="F361" s="262">
        <v>4071.0041999999999</v>
      </c>
      <c r="G361" s="261" t="s">
        <v>15</v>
      </c>
      <c r="H361" s="258" t="s">
        <v>16</v>
      </c>
      <c r="I361" s="261">
        <v>801</v>
      </c>
      <c r="J361" s="261" t="s">
        <v>129</v>
      </c>
      <c r="K361" s="261" t="s">
        <v>123</v>
      </c>
      <c r="L361" s="258" t="s">
        <v>140</v>
      </c>
      <c r="M361" s="258" t="s">
        <v>133</v>
      </c>
    </row>
    <row r="362" spans="1:14" x14ac:dyDescent="0.2">
      <c r="A362" s="258" t="s">
        <v>138</v>
      </c>
      <c r="B362" s="258" t="s">
        <v>139</v>
      </c>
      <c r="C362" s="258" t="s">
        <v>12</v>
      </c>
      <c r="D362" s="258" t="s">
        <v>13</v>
      </c>
      <c r="E362" s="259">
        <v>42577</v>
      </c>
      <c r="F362" s="260">
        <v>51.482187500000002</v>
      </c>
      <c r="G362" s="261" t="s">
        <v>14</v>
      </c>
      <c r="H362" s="258" t="s">
        <v>128</v>
      </c>
      <c r="I362" s="261">
        <v>801</v>
      </c>
      <c r="J362" s="261" t="s">
        <v>129</v>
      </c>
      <c r="K362" s="261" t="s">
        <v>123</v>
      </c>
      <c r="L362" s="258" t="s">
        <v>140</v>
      </c>
      <c r="M362" s="258" t="s">
        <v>128</v>
      </c>
    </row>
    <row r="363" spans="1:14" x14ac:dyDescent="0.2">
      <c r="A363" s="258" t="s">
        <v>138</v>
      </c>
      <c r="B363" s="258" t="s">
        <v>139</v>
      </c>
      <c r="C363" s="258" t="s">
        <v>12</v>
      </c>
      <c r="D363" s="258" t="s">
        <v>13</v>
      </c>
      <c r="E363" s="259">
        <v>42577</v>
      </c>
      <c r="F363" s="262">
        <v>8243.7397199999996</v>
      </c>
      <c r="G363" s="261" t="s">
        <v>15</v>
      </c>
      <c r="H363" s="258" t="s">
        <v>128</v>
      </c>
      <c r="I363" s="261">
        <v>801</v>
      </c>
      <c r="J363" s="261" t="s">
        <v>129</v>
      </c>
      <c r="K363" s="261" t="s">
        <v>123</v>
      </c>
      <c r="L363" s="258" t="s">
        <v>140</v>
      </c>
      <c r="M363" s="258" t="s">
        <v>128</v>
      </c>
    </row>
    <row r="364" spans="1:14" x14ac:dyDescent="0.2">
      <c r="A364" s="258" t="s">
        <v>138</v>
      </c>
      <c r="B364" s="258" t="s">
        <v>139</v>
      </c>
      <c r="C364" s="258" t="s">
        <v>12</v>
      </c>
      <c r="D364" s="258" t="s">
        <v>141</v>
      </c>
      <c r="E364" s="259">
        <v>42577</v>
      </c>
      <c r="F364" s="260">
        <v>27.7</v>
      </c>
      <c r="G364" s="261" t="s">
        <v>14</v>
      </c>
      <c r="H364" s="258" t="s">
        <v>16</v>
      </c>
      <c r="I364" s="261">
        <v>801</v>
      </c>
      <c r="J364" s="261" t="s">
        <v>129</v>
      </c>
      <c r="K364" s="261" t="s">
        <v>123</v>
      </c>
      <c r="L364" s="258" t="s">
        <v>140</v>
      </c>
      <c r="M364" s="258" t="s">
        <v>133</v>
      </c>
    </row>
    <row r="365" spans="1:14" x14ac:dyDescent="0.2">
      <c r="A365" s="258" t="s">
        <v>138</v>
      </c>
      <c r="B365" s="258" t="s">
        <v>139</v>
      </c>
      <c r="C365" s="258" t="s">
        <v>12</v>
      </c>
      <c r="D365" s="258" t="s">
        <v>141</v>
      </c>
      <c r="E365" s="259">
        <v>42577</v>
      </c>
      <c r="F365" s="262">
        <v>4350.0689400000001</v>
      </c>
      <c r="G365" s="261" t="s">
        <v>15</v>
      </c>
      <c r="H365" s="258" t="s">
        <v>16</v>
      </c>
      <c r="I365" s="261">
        <v>801</v>
      </c>
      <c r="J365" s="261" t="s">
        <v>129</v>
      </c>
      <c r="K365" s="261" t="s">
        <v>123</v>
      </c>
      <c r="L365" s="258" t="s">
        <v>140</v>
      </c>
      <c r="M365" s="258" t="s">
        <v>133</v>
      </c>
    </row>
    <row r="366" spans="1:14" x14ac:dyDescent="0.2">
      <c r="A366" s="258" t="s">
        <v>138</v>
      </c>
      <c r="B366" s="258" t="s">
        <v>139</v>
      </c>
      <c r="C366" s="258" t="s">
        <v>12</v>
      </c>
      <c r="D366" s="258" t="s">
        <v>13</v>
      </c>
      <c r="E366" s="259">
        <v>42570</v>
      </c>
      <c r="F366" s="260">
        <v>57.905858500000001</v>
      </c>
      <c r="G366" s="261" t="s">
        <v>14</v>
      </c>
      <c r="H366" s="258" t="s">
        <v>128</v>
      </c>
      <c r="I366" s="261">
        <v>801</v>
      </c>
      <c r="J366" s="261" t="s">
        <v>129</v>
      </c>
      <c r="K366" s="261" t="s">
        <v>123</v>
      </c>
      <c r="L366" s="258" t="s">
        <v>140</v>
      </c>
      <c r="M366" s="258" t="s">
        <v>128</v>
      </c>
    </row>
    <row r="367" spans="1:14" x14ac:dyDescent="0.2">
      <c r="A367" s="258" t="s">
        <v>138</v>
      </c>
      <c r="B367" s="258" t="s">
        <v>139</v>
      </c>
      <c r="C367" s="258" t="s">
        <v>12</v>
      </c>
      <c r="D367" s="258" t="s">
        <v>13</v>
      </c>
      <c r="E367" s="259">
        <v>42570</v>
      </c>
      <c r="F367" s="262">
        <v>9562.11024</v>
      </c>
      <c r="G367" s="261" t="s">
        <v>15</v>
      </c>
      <c r="H367" s="258" t="s">
        <v>128</v>
      </c>
      <c r="I367" s="261">
        <v>801</v>
      </c>
      <c r="J367" s="261" t="s">
        <v>129</v>
      </c>
      <c r="K367" s="261" t="s">
        <v>123</v>
      </c>
      <c r="L367" s="258" t="s">
        <v>140</v>
      </c>
      <c r="M367" s="258" t="s">
        <v>128</v>
      </c>
    </row>
    <row r="368" spans="1:14" x14ac:dyDescent="0.2">
      <c r="A368" s="258" t="s">
        <v>138</v>
      </c>
      <c r="B368" s="258" t="s">
        <v>139</v>
      </c>
      <c r="C368" s="258" t="s">
        <v>12</v>
      </c>
      <c r="D368" s="258" t="s">
        <v>141</v>
      </c>
      <c r="E368" s="259">
        <v>42570</v>
      </c>
      <c r="F368" s="260">
        <v>30.4</v>
      </c>
      <c r="G368" s="261" t="s">
        <v>14</v>
      </c>
      <c r="H368" s="258" t="s">
        <v>16</v>
      </c>
      <c r="I368" s="261">
        <v>11</v>
      </c>
      <c r="J368" s="261" t="s">
        <v>129</v>
      </c>
      <c r="K368" s="261" t="s">
        <v>123</v>
      </c>
      <c r="L368" s="258" t="s">
        <v>142</v>
      </c>
      <c r="M368" s="258" t="s">
        <v>133</v>
      </c>
      <c r="N368" s="258"/>
    </row>
    <row r="369" spans="1:14" x14ac:dyDescent="0.2">
      <c r="A369" s="258" t="s">
        <v>138</v>
      </c>
      <c r="B369" s="258" t="s">
        <v>139</v>
      </c>
      <c r="C369" s="258" t="s">
        <v>12</v>
      </c>
      <c r="D369" s="258" t="s">
        <v>141</v>
      </c>
      <c r="E369" s="259">
        <v>42570</v>
      </c>
      <c r="F369" s="262">
        <v>4981.9823999999999</v>
      </c>
      <c r="G369" s="261" t="s">
        <v>15</v>
      </c>
      <c r="H369" s="258" t="s">
        <v>16</v>
      </c>
      <c r="I369" s="261">
        <v>11</v>
      </c>
      <c r="J369" s="261" t="s">
        <v>129</v>
      </c>
      <c r="K369" s="261" t="s">
        <v>123</v>
      </c>
      <c r="L369" s="258" t="s">
        <v>142</v>
      </c>
      <c r="M369" s="258" t="s">
        <v>133</v>
      </c>
      <c r="N369" s="258"/>
    </row>
    <row r="370" spans="1:14" x14ac:dyDescent="0.2">
      <c r="A370" s="258" t="s">
        <v>138</v>
      </c>
      <c r="B370" s="258" t="s">
        <v>139</v>
      </c>
      <c r="C370" s="258" t="s">
        <v>12</v>
      </c>
      <c r="D370" s="258" t="s">
        <v>13</v>
      </c>
      <c r="E370" s="259">
        <v>42563</v>
      </c>
      <c r="F370" s="260">
        <v>62.263634400000001</v>
      </c>
      <c r="G370" s="261" t="s">
        <v>14</v>
      </c>
      <c r="H370" s="258" t="s">
        <v>128</v>
      </c>
      <c r="I370" s="261">
        <v>801</v>
      </c>
      <c r="J370" s="261" t="s">
        <v>129</v>
      </c>
      <c r="K370" s="261" t="s">
        <v>123</v>
      </c>
      <c r="L370" s="258" t="s">
        <v>140</v>
      </c>
      <c r="M370" s="258" t="s">
        <v>128</v>
      </c>
    </row>
    <row r="371" spans="1:14" x14ac:dyDescent="0.2">
      <c r="A371" s="258" t="s">
        <v>138</v>
      </c>
      <c r="B371" s="258" t="s">
        <v>139</v>
      </c>
      <c r="C371" s="258" t="s">
        <v>12</v>
      </c>
      <c r="D371" s="258" t="s">
        <v>13</v>
      </c>
      <c r="E371" s="259">
        <v>42563</v>
      </c>
      <c r="F371" s="262">
        <v>10115.549304</v>
      </c>
      <c r="G371" s="261" t="s">
        <v>15</v>
      </c>
      <c r="H371" s="258" t="s">
        <v>128</v>
      </c>
      <c r="I371" s="261">
        <v>801</v>
      </c>
      <c r="J371" s="261" t="s">
        <v>129</v>
      </c>
      <c r="K371" s="261" t="s">
        <v>123</v>
      </c>
      <c r="L371" s="258" t="s">
        <v>140</v>
      </c>
      <c r="M371" s="258" t="s">
        <v>128</v>
      </c>
    </row>
    <row r="372" spans="1:14" x14ac:dyDescent="0.2">
      <c r="A372" s="258" t="s">
        <v>138</v>
      </c>
      <c r="B372" s="258" t="s">
        <v>139</v>
      </c>
      <c r="C372" s="258" t="s">
        <v>12</v>
      </c>
      <c r="D372" s="258" t="s">
        <v>141</v>
      </c>
      <c r="E372" s="259">
        <v>42563</v>
      </c>
      <c r="F372" s="260">
        <v>38.130000000000003</v>
      </c>
      <c r="G372" s="261" t="s">
        <v>14</v>
      </c>
      <c r="H372" s="258" t="s">
        <v>16</v>
      </c>
      <c r="I372" s="261">
        <v>801</v>
      </c>
      <c r="J372" s="261" t="s">
        <v>129</v>
      </c>
      <c r="K372" s="261" t="s">
        <v>123</v>
      </c>
      <c r="L372" s="258" t="s">
        <v>140</v>
      </c>
      <c r="M372" s="258" t="s">
        <v>133</v>
      </c>
    </row>
    <row r="373" spans="1:14" x14ac:dyDescent="0.2">
      <c r="A373" s="258" t="s">
        <v>138</v>
      </c>
      <c r="B373" s="258" t="s">
        <v>139</v>
      </c>
      <c r="C373" s="258" t="s">
        <v>12</v>
      </c>
      <c r="D373" s="258" t="s">
        <v>141</v>
      </c>
      <c r="E373" s="259">
        <v>42563</v>
      </c>
      <c r="F373" s="262">
        <v>6089.7804299999998</v>
      </c>
      <c r="G373" s="261" t="s">
        <v>15</v>
      </c>
      <c r="H373" s="258" t="s">
        <v>16</v>
      </c>
      <c r="I373" s="261">
        <v>801</v>
      </c>
      <c r="J373" s="261" t="s">
        <v>129</v>
      </c>
      <c r="K373" s="261" t="s">
        <v>123</v>
      </c>
      <c r="L373" s="258" t="s">
        <v>140</v>
      </c>
      <c r="M373" s="258" t="s">
        <v>133</v>
      </c>
    </row>
    <row r="374" spans="1:14" x14ac:dyDescent="0.2">
      <c r="A374" s="258" t="s">
        <v>138</v>
      </c>
      <c r="B374" s="258" t="s">
        <v>139</v>
      </c>
      <c r="C374" s="258" t="s">
        <v>12</v>
      </c>
      <c r="D374" s="258" t="s">
        <v>13</v>
      </c>
      <c r="E374" s="259">
        <v>42556</v>
      </c>
      <c r="F374" s="260">
        <v>52.502398999999997</v>
      </c>
      <c r="G374" s="261" t="s">
        <v>14</v>
      </c>
      <c r="H374" s="258" t="s">
        <v>128</v>
      </c>
      <c r="I374" s="261">
        <v>801</v>
      </c>
      <c r="J374" s="261" t="s">
        <v>129</v>
      </c>
      <c r="K374" s="261" t="s">
        <v>123</v>
      </c>
      <c r="L374" s="258" t="s">
        <v>140</v>
      </c>
      <c r="M374" s="258" t="s">
        <v>128</v>
      </c>
    </row>
    <row r="375" spans="1:14" x14ac:dyDescent="0.2">
      <c r="A375" s="258" t="s">
        <v>138</v>
      </c>
      <c r="B375" s="258" t="s">
        <v>139</v>
      </c>
      <c r="C375" s="258" t="s">
        <v>12</v>
      </c>
      <c r="D375" s="258" t="s">
        <v>13</v>
      </c>
      <c r="E375" s="259">
        <v>42556</v>
      </c>
      <c r="F375" s="262">
        <v>7483.1984400000001</v>
      </c>
      <c r="G375" s="261" t="s">
        <v>15</v>
      </c>
      <c r="H375" s="258" t="s">
        <v>128</v>
      </c>
      <c r="I375" s="261">
        <v>801</v>
      </c>
      <c r="J375" s="261" t="s">
        <v>129</v>
      </c>
      <c r="K375" s="261" t="s">
        <v>123</v>
      </c>
      <c r="L375" s="258" t="s">
        <v>140</v>
      </c>
      <c r="M375" s="258" t="s">
        <v>128</v>
      </c>
    </row>
    <row r="376" spans="1:14" x14ac:dyDescent="0.2">
      <c r="A376" s="258" t="s">
        <v>138</v>
      </c>
      <c r="B376" s="258" t="s">
        <v>139</v>
      </c>
      <c r="C376" s="258" t="s">
        <v>12</v>
      </c>
      <c r="D376" s="258" t="s">
        <v>141</v>
      </c>
      <c r="E376" s="259">
        <v>42556</v>
      </c>
      <c r="F376" s="260">
        <v>34.4</v>
      </c>
      <c r="G376" s="261" t="s">
        <v>14</v>
      </c>
      <c r="H376" s="258" t="s">
        <v>16</v>
      </c>
      <c r="I376" s="261">
        <v>801</v>
      </c>
      <c r="J376" s="261" t="s">
        <v>129</v>
      </c>
      <c r="K376" s="261" t="s">
        <v>123</v>
      </c>
      <c r="L376" s="258" t="s">
        <v>140</v>
      </c>
      <c r="M376" s="258" t="s">
        <v>133</v>
      </c>
    </row>
    <row r="377" spans="1:14" x14ac:dyDescent="0.2">
      <c r="A377" s="258" t="s">
        <v>138</v>
      </c>
      <c r="B377" s="258" t="s">
        <v>139</v>
      </c>
      <c r="C377" s="258" t="s">
        <v>12</v>
      </c>
      <c r="D377" s="258" t="s">
        <v>141</v>
      </c>
      <c r="E377" s="259">
        <v>42556</v>
      </c>
      <c r="F377" s="262">
        <v>4785.4252800000004</v>
      </c>
      <c r="G377" s="261" t="s">
        <v>15</v>
      </c>
      <c r="H377" s="258" t="s">
        <v>16</v>
      </c>
      <c r="I377" s="261">
        <v>801</v>
      </c>
      <c r="J377" s="261" t="s">
        <v>129</v>
      </c>
      <c r="K377" s="261" t="s">
        <v>123</v>
      </c>
      <c r="L377" s="258" t="s">
        <v>140</v>
      </c>
      <c r="M377" s="258" t="s">
        <v>133</v>
      </c>
    </row>
    <row r="378" spans="1:14" x14ac:dyDescent="0.2">
      <c r="A378" s="258" t="s">
        <v>138</v>
      </c>
      <c r="B378" s="258" t="s">
        <v>139</v>
      </c>
      <c r="C378" s="258" t="s">
        <v>12</v>
      </c>
      <c r="D378" s="258" t="s">
        <v>13</v>
      </c>
      <c r="E378" s="259">
        <v>42549</v>
      </c>
      <c r="F378" s="260">
        <v>49.458945300000003</v>
      </c>
      <c r="G378" s="261" t="s">
        <v>14</v>
      </c>
      <c r="H378" s="258" t="s">
        <v>128</v>
      </c>
      <c r="I378" s="261">
        <v>801</v>
      </c>
      <c r="J378" s="261" t="s">
        <v>129</v>
      </c>
      <c r="K378" s="261" t="s">
        <v>123</v>
      </c>
      <c r="L378" s="258" t="s">
        <v>140</v>
      </c>
      <c r="M378" s="258" t="s">
        <v>128</v>
      </c>
    </row>
    <row r="379" spans="1:14" x14ac:dyDescent="0.2">
      <c r="A379" s="258" t="s">
        <v>138</v>
      </c>
      <c r="B379" s="258" t="s">
        <v>139</v>
      </c>
      <c r="C379" s="258" t="s">
        <v>12</v>
      </c>
      <c r="D379" s="258" t="s">
        <v>13</v>
      </c>
      <c r="E379" s="259">
        <v>42549</v>
      </c>
      <c r="F379" s="262">
        <v>8682.8640720000003</v>
      </c>
      <c r="G379" s="261" t="s">
        <v>15</v>
      </c>
      <c r="H379" s="258" t="s">
        <v>128</v>
      </c>
      <c r="I379" s="261">
        <v>801</v>
      </c>
      <c r="J379" s="261" t="s">
        <v>129</v>
      </c>
      <c r="K379" s="261" t="s">
        <v>123</v>
      </c>
      <c r="L379" s="258" t="s">
        <v>140</v>
      </c>
      <c r="M379" s="258" t="s">
        <v>128</v>
      </c>
    </row>
    <row r="380" spans="1:14" x14ac:dyDescent="0.2">
      <c r="A380" s="258" t="s">
        <v>138</v>
      </c>
      <c r="B380" s="258" t="s">
        <v>139</v>
      </c>
      <c r="C380" s="258" t="s">
        <v>12</v>
      </c>
      <c r="D380" s="258" t="s">
        <v>141</v>
      </c>
      <c r="E380" s="259">
        <v>42549</v>
      </c>
      <c r="F380" s="260">
        <v>20.41</v>
      </c>
      <c r="G380" s="261" t="s">
        <v>14</v>
      </c>
      <c r="H380" s="258" t="s">
        <v>16</v>
      </c>
      <c r="I380" s="261">
        <v>801</v>
      </c>
      <c r="J380" s="261" t="s">
        <v>129</v>
      </c>
      <c r="K380" s="261" t="s">
        <v>123</v>
      </c>
      <c r="L380" s="258" t="s">
        <v>140</v>
      </c>
      <c r="M380" s="258" t="s">
        <v>133</v>
      </c>
    </row>
    <row r="381" spans="1:14" x14ac:dyDescent="0.2">
      <c r="A381" s="258" t="s">
        <v>138</v>
      </c>
      <c r="B381" s="258" t="s">
        <v>139</v>
      </c>
      <c r="C381" s="258" t="s">
        <v>12</v>
      </c>
      <c r="D381" s="258" t="s">
        <v>141</v>
      </c>
      <c r="E381" s="259">
        <v>42549</v>
      </c>
      <c r="F381" s="262">
        <v>3411.1967759999998</v>
      </c>
      <c r="G381" s="261" t="s">
        <v>15</v>
      </c>
      <c r="H381" s="258" t="s">
        <v>16</v>
      </c>
      <c r="I381" s="261">
        <v>801</v>
      </c>
      <c r="J381" s="261" t="s">
        <v>129</v>
      </c>
      <c r="K381" s="261" t="s">
        <v>123</v>
      </c>
      <c r="L381" s="258" t="s">
        <v>140</v>
      </c>
      <c r="M381" s="258" t="s">
        <v>133</v>
      </c>
    </row>
    <row r="382" spans="1:14" x14ac:dyDescent="0.2">
      <c r="A382" s="258" t="s">
        <v>138</v>
      </c>
      <c r="B382" s="258" t="s">
        <v>139</v>
      </c>
      <c r="C382" s="258" t="s">
        <v>12</v>
      </c>
      <c r="D382" s="258" t="s">
        <v>13</v>
      </c>
      <c r="E382" s="259">
        <v>42542</v>
      </c>
      <c r="F382" s="260">
        <v>70.556695099999999</v>
      </c>
      <c r="G382" s="261" t="s">
        <v>14</v>
      </c>
      <c r="H382" s="258" t="s">
        <v>128</v>
      </c>
      <c r="I382" s="261">
        <v>801</v>
      </c>
      <c r="J382" s="261" t="s">
        <v>129</v>
      </c>
      <c r="K382" s="261" t="s">
        <v>123</v>
      </c>
      <c r="L382" s="258" t="s">
        <v>140</v>
      </c>
      <c r="M382" s="258" t="s">
        <v>128</v>
      </c>
    </row>
    <row r="383" spans="1:14" x14ac:dyDescent="0.2">
      <c r="A383" s="258" t="s">
        <v>138</v>
      </c>
      <c r="B383" s="258" t="s">
        <v>139</v>
      </c>
      <c r="C383" s="258" t="s">
        <v>12</v>
      </c>
      <c r="D383" s="258" t="s">
        <v>13</v>
      </c>
      <c r="E383" s="259">
        <v>42542</v>
      </c>
      <c r="F383" s="262">
        <v>10327.1718</v>
      </c>
      <c r="G383" s="261" t="s">
        <v>15</v>
      </c>
      <c r="H383" s="258" t="s">
        <v>128</v>
      </c>
      <c r="I383" s="261">
        <v>801</v>
      </c>
      <c r="J383" s="261" t="s">
        <v>129</v>
      </c>
      <c r="K383" s="261" t="s">
        <v>123</v>
      </c>
      <c r="L383" s="258" t="s">
        <v>140</v>
      </c>
      <c r="M383" s="258" t="s">
        <v>128</v>
      </c>
    </row>
    <row r="384" spans="1:14" x14ac:dyDescent="0.2">
      <c r="A384" s="258" t="s">
        <v>138</v>
      </c>
      <c r="B384" s="258" t="s">
        <v>139</v>
      </c>
      <c r="C384" s="258" t="s">
        <v>12</v>
      </c>
      <c r="D384" s="258" t="s">
        <v>141</v>
      </c>
      <c r="E384" s="259">
        <v>42542</v>
      </c>
      <c r="F384" s="260">
        <v>27.4</v>
      </c>
      <c r="G384" s="261" t="s">
        <v>14</v>
      </c>
      <c r="H384" s="258" t="s">
        <v>16</v>
      </c>
      <c r="I384" s="261">
        <v>801</v>
      </c>
      <c r="J384" s="261" t="s">
        <v>129</v>
      </c>
      <c r="K384" s="261" t="s">
        <v>123</v>
      </c>
      <c r="L384" s="258" t="s">
        <v>140</v>
      </c>
      <c r="M384" s="258" t="s">
        <v>133</v>
      </c>
    </row>
    <row r="385" spans="1:14" x14ac:dyDescent="0.2">
      <c r="A385" s="258" t="s">
        <v>138</v>
      </c>
      <c r="B385" s="258" t="s">
        <v>139</v>
      </c>
      <c r="C385" s="258" t="s">
        <v>12</v>
      </c>
      <c r="D385" s="258" t="s">
        <v>141</v>
      </c>
      <c r="E385" s="259">
        <v>42542</v>
      </c>
      <c r="F385" s="262">
        <v>3695.1037200000001</v>
      </c>
      <c r="G385" s="261" t="s">
        <v>15</v>
      </c>
      <c r="H385" s="258" t="s">
        <v>16</v>
      </c>
      <c r="I385" s="261">
        <v>801</v>
      </c>
      <c r="J385" s="261" t="s">
        <v>129</v>
      </c>
      <c r="K385" s="261" t="s">
        <v>123</v>
      </c>
      <c r="L385" s="258" t="s">
        <v>140</v>
      </c>
      <c r="M385" s="258" t="s">
        <v>133</v>
      </c>
    </row>
    <row r="386" spans="1:14" x14ac:dyDescent="0.2">
      <c r="A386" s="258" t="s">
        <v>138</v>
      </c>
      <c r="B386" s="258" t="s">
        <v>139</v>
      </c>
      <c r="C386" s="258" t="s">
        <v>12</v>
      </c>
      <c r="D386" s="258" t="s">
        <v>13</v>
      </c>
      <c r="E386" s="259">
        <v>42536</v>
      </c>
      <c r="F386" s="260">
        <v>72.431632300000004</v>
      </c>
      <c r="G386" s="261" t="s">
        <v>14</v>
      </c>
      <c r="H386" s="258" t="s">
        <v>128</v>
      </c>
      <c r="I386" s="261">
        <v>801</v>
      </c>
      <c r="J386" s="261" t="s">
        <v>129</v>
      </c>
      <c r="K386" s="261" t="s">
        <v>123</v>
      </c>
      <c r="L386" s="258" t="s">
        <v>140</v>
      </c>
      <c r="M386" s="258" t="s">
        <v>128</v>
      </c>
    </row>
    <row r="387" spans="1:14" x14ac:dyDescent="0.2">
      <c r="A387" s="258" t="s">
        <v>138</v>
      </c>
      <c r="B387" s="258" t="s">
        <v>139</v>
      </c>
      <c r="C387" s="258" t="s">
        <v>12</v>
      </c>
      <c r="D387" s="258" t="s">
        <v>13</v>
      </c>
      <c r="E387" s="259">
        <v>42536</v>
      </c>
      <c r="F387" s="262">
        <v>10746.5798916</v>
      </c>
      <c r="G387" s="261" t="s">
        <v>15</v>
      </c>
      <c r="H387" s="258" t="s">
        <v>128</v>
      </c>
      <c r="I387" s="261">
        <v>801</v>
      </c>
      <c r="J387" s="261" t="s">
        <v>129</v>
      </c>
      <c r="K387" s="261" t="s">
        <v>123</v>
      </c>
      <c r="L387" s="258" t="s">
        <v>140</v>
      </c>
      <c r="M387" s="258" t="s">
        <v>128</v>
      </c>
    </row>
    <row r="388" spans="1:14" x14ac:dyDescent="0.2">
      <c r="A388" s="258" t="s">
        <v>138</v>
      </c>
      <c r="B388" s="258" t="s">
        <v>139</v>
      </c>
      <c r="C388" s="258" t="s">
        <v>12</v>
      </c>
      <c r="D388" s="258" t="s">
        <v>141</v>
      </c>
      <c r="E388" s="259">
        <v>42536</v>
      </c>
      <c r="F388" s="260">
        <v>40.4</v>
      </c>
      <c r="G388" s="261" t="s">
        <v>14</v>
      </c>
      <c r="H388" s="258" t="s">
        <v>16</v>
      </c>
      <c r="I388" s="261">
        <v>11</v>
      </c>
      <c r="J388" s="261" t="s">
        <v>129</v>
      </c>
      <c r="K388" s="261" t="s">
        <v>123</v>
      </c>
      <c r="L388" s="258" t="s">
        <v>142</v>
      </c>
      <c r="M388" s="258" t="s">
        <v>133</v>
      </c>
      <c r="N388" s="258"/>
    </row>
    <row r="389" spans="1:14" x14ac:dyDescent="0.2">
      <c r="A389" s="258" t="s">
        <v>138</v>
      </c>
      <c r="B389" s="258" t="s">
        <v>139</v>
      </c>
      <c r="C389" s="258" t="s">
        <v>12</v>
      </c>
      <c r="D389" s="258" t="s">
        <v>141</v>
      </c>
      <c r="E389" s="259">
        <v>42536</v>
      </c>
      <c r="F389" s="262">
        <v>6048.0011999999997</v>
      </c>
      <c r="G389" s="261" t="s">
        <v>15</v>
      </c>
      <c r="H389" s="258" t="s">
        <v>16</v>
      </c>
      <c r="I389" s="261">
        <v>11</v>
      </c>
      <c r="J389" s="261" t="s">
        <v>129</v>
      </c>
      <c r="K389" s="261" t="s">
        <v>123</v>
      </c>
      <c r="L389" s="258" t="s">
        <v>142</v>
      </c>
      <c r="M389" s="258" t="s">
        <v>133</v>
      </c>
      <c r="N389" s="258"/>
    </row>
    <row r="390" spans="1:14" x14ac:dyDescent="0.2">
      <c r="A390" s="258" t="s">
        <v>138</v>
      </c>
      <c r="B390" s="258" t="s">
        <v>139</v>
      </c>
      <c r="C390" s="258" t="s">
        <v>12</v>
      </c>
      <c r="D390" s="258" t="s">
        <v>13</v>
      </c>
      <c r="E390" s="259">
        <v>42528</v>
      </c>
      <c r="F390" s="260">
        <v>71.5179124</v>
      </c>
      <c r="G390" s="261" t="s">
        <v>14</v>
      </c>
      <c r="H390" s="258" t="s">
        <v>128</v>
      </c>
      <c r="I390" s="261">
        <v>801</v>
      </c>
      <c r="J390" s="261" t="s">
        <v>129</v>
      </c>
      <c r="K390" s="261" t="s">
        <v>123</v>
      </c>
      <c r="L390" s="258" t="s">
        <v>140</v>
      </c>
      <c r="M390" s="258" t="s">
        <v>128</v>
      </c>
    </row>
    <row r="391" spans="1:14" x14ac:dyDescent="0.2">
      <c r="A391" s="258" t="s">
        <v>138</v>
      </c>
      <c r="B391" s="258" t="s">
        <v>139</v>
      </c>
      <c r="C391" s="258" t="s">
        <v>12</v>
      </c>
      <c r="D391" s="258" t="s">
        <v>13</v>
      </c>
      <c r="E391" s="259">
        <v>42528</v>
      </c>
      <c r="F391" s="262">
        <v>9942.978024</v>
      </c>
      <c r="G391" s="261" t="s">
        <v>15</v>
      </c>
      <c r="H391" s="258" t="s">
        <v>128</v>
      </c>
      <c r="I391" s="261">
        <v>801</v>
      </c>
      <c r="J391" s="261" t="s">
        <v>129</v>
      </c>
      <c r="K391" s="261" t="s">
        <v>123</v>
      </c>
      <c r="L391" s="258" t="s">
        <v>140</v>
      </c>
      <c r="M391" s="258" t="s">
        <v>128</v>
      </c>
    </row>
    <row r="392" spans="1:14" x14ac:dyDescent="0.2">
      <c r="A392" s="258" t="s">
        <v>138</v>
      </c>
      <c r="B392" s="258" t="s">
        <v>139</v>
      </c>
      <c r="C392" s="258" t="s">
        <v>12</v>
      </c>
      <c r="D392" s="258" t="s">
        <v>141</v>
      </c>
      <c r="E392" s="259">
        <v>42528</v>
      </c>
      <c r="F392" s="260">
        <v>31</v>
      </c>
      <c r="G392" s="261" t="s">
        <v>14</v>
      </c>
      <c r="H392" s="258" t="s">
        <v>16</v>
      </c>
      <c r="I392" s="261">
        <v>801</v>
      </c>
      <c r="J392" s="261" t="s">
        <v>129</v>
      </c>
      <c r="K392" s="261" t="s">
        <v>123</v>
      </c>
      <c r="L392" s="258" t="s">
        <v>140</v>
      </c>
      <c r="M392" s="258" t="s">
        <v>133</v>
      </c>
    </row>
    <row r="393" spans="1:14" x14ac:dyDescent="0.2">
      <c r="A393" s="258" t="s">
        <v>138</v>
      </c>
      <c r="B393" s="258" t="s">
        <v>139</v>
      </c>
      <c r="C393" s="258" t="s">
        <v>12</v>
      </c>
      <c r="D393" s="258" t="s">
        <v>141</v>
      </c>
      <c r="E393" s="259">
        <v>42528</v>
      </c>
      <c r="F393" s="262">
        <v>4302.1055999999999</v>
      </c>
      <c r="G393" s="261" t="s">
        <v>15</v>
      </c>
      <c r="H393" s="258" t="s">
        <v>16</v>
      </c>
      <c r="I393" s="261">
        <v>801</v>
      </c>
      <c r="J393" s="261" t="s">
        <v>129</v>
      </c>
      <c r="K393" s="261" t="s">
        <v>123</v>
      </c>
      <c r="L393" s="258" t="s">
        <v>140</v>
      </c>
      <c r="M393" s="258" t="s">
        <v>133</v>
      </c>
    </row>
    <row r="394" spans="1:14" x14ac:dyDescent="0.2">
      <c r="A394" s="258" t="s">
        <v>138</v>
      </c>
      <c r="B394" s="258" t="s">
        <v>139</v>
      </c>
      <c r="C394" s="258" t="s">
        <v>12</v>
      </c>
      <c r="D394" s="258" t="s">
        <v>13</v>
      </c>
      <c r="E394" s="259">
        <v>42521</v>
      </c>
      <c r="F394" s="260">
        <v>49.143752499999998</v>
      </c>
      <c r="G394" s="261" t="s">
        <v>14</v>
      </c>
      <c r="H394" s="258" t="s">
        <v>128</v>
      </c>
      <c r="I394" s="261">
        <v>801</v>
      </c>
      <c r="J394" s="261" t="s">
        <v>129</v>
      </c>
      <c r="K394" s="261" t="s">
        <v>123</v>
      </c>
      <c r="L394" s="258" t="s">
        <v>140</v>
      </c>
      <c r="M394" s="258" t="s">
        <v>128</v>
      </c>
    </row>
    <row r="395" spans="1:14" x14ac:dyDescent="0.2">
      <c r="A395" s="258" t="s">
        <v>138</v>
      </c>
      <c r="B395" s="258" t="s">
        <v>139</v>
      </c>
      <c r="C395" s="258" t="s">
        <v>12</v>
      </c>
      <c r="D395" s="258" t="s">
        <v>13</v>
      </c>
      <c r="E395" s="259">
        <v>42521</v>
      </c>
      <c r="F395" s="262">
        <v>7951.262592</v>
      </c>
      <c r="G395" s="261" t="s">
        <v>15</v>
      </c>
      <c r="H395" s="258" t="s">
        <v>128</v>
      </c>
      <c r="I395" s="261">
        <v>801</v>
      </c>
      <c r="J395" s="261" t="s">
        <v>129</v>
      </c>
      <c r="K395" s="261" t="s">
        <v>123</v>
      </c>
      <c r="L395" s="258" t="s">
        <v>140</v>
      </c>
      <c r="M395" s="258" t="s">
        <v>128</v>
      </c>
    </row>
    <row r="396" spans="1:14" x14ac:dyDescent="0.2">
      <c r="A396" s="258" t="s">
        <v>138</v>
      </c>
      <c r="B396" s="258" t="s">
        <v>139</v>
      </c>
      <c r="C396" s="258" t="s">
        <v>12</v>
      </c>
      <c r="D396" s="258" t="s">
        <v>141</v>
      </c>
      <c r="E396" s="259">
        <v>42521</v>
      </c>
      <c r="F396" s="260">
        <v>22.5</v>
      </c>
      <c r="G396" s="261" t="s">
        <v>14</v>
      </c>
      <c r="H396" s="258" t="s">
        <v>16</v>
      </c>
      <c r="I396" s="261">
        <v>801</v>
      </c>
      <c r="J396" s="261" t="s">
        <v>129</v>
      </c>
      <c r="K396" s="261" t="s">
        <v>123</v>
      </c>
      <c r="L396" s="258" t="s">
        <v>140</v>
      </c>
      <c r="M396" s="258" t="s">
        <v>133</v>
      </c>
    </row>
    <row r="397" spans="1:14" x14ac:dyDescent="0.2">
      <c r="A397" s="258" t="s">
        <v>138</v>
      </c>
      <c r="B397" s="258" t="s">
        <v>139</v>
      </c>
      <c r="C397" s="258" t="s">
        <v>12</v>
      </c>
      <c r="D397" s="258" t="s">
        <v>141</v>
      </c>
      <c r="E397" s="259">
        <v>42521</v>
      </c>
      <c r="F397" s="262">
        <v>3756.7530000000002</v>
      </c>
      <c r="G397" s="261" t="s">
        <v>15</v>
      </c>
      <c r="H397" s="258" t="s">
        <v>16</v>
      </c>
      <c r="I397" s="261">
        <v>801</v>
      </c>
      <c r="J397" s="261" t="s">
        <v>129</v>
      </c>
      <c r="K397" s="261" t="s">
        <v>123</v>
      </c>
      <c r="L397" s="258" t="s">
        <v>140</v>
      </c>
      <c r="M397" s="258" t="s">
        <v>133</v>
      </c>
    </row>
    <row r="398" spans="1:14" x14ac:dyDescent="0.2">
      <c r="A398" s="258" t="s">
        <v>138</v>
      </c>
      <c r="B398" s="258" t="s">
        <v>139</v>
      </c>
      <c r="C398" s="258" t="s">
        <v>12</v>
      </c>
      <c r="D398" s="258" t="s">
        <v>13</v>
      </c>
      <c r="E398" s="259">
        <v>42514</v>
      </c>
      <c r="F398" s="260">
        <v>78.109059299999998</v>
      </c>
      <c r="G398" s="261" t="s">
        <v>14</v>
      </c>
      <c r="H398" s="258" t="s">
        <v>128</v>
      </c>
      <c r="I398" s="261">
        <v>801</v>
      </c>
      <c r="J398" s="261" t="s">
        <v>129</v>
      </c>
      <c r="K398" s="261" t="s">
        <v>123</v>
      </c>
      <c r="L398" s="258" t="s">
        <v>140</v>
      </c>
      <c r="M398" s="258" t="s">
        <v>128</v>
      </c>
    </row>
    <row r="399" spans="1:14" x14ac:dyDescent="0.2">
      <c r="A399" s="258" t="s">
        <v>138</v>
      </c>
      <c r="B399" s="258" t="s">
        <v>139</v>
      </c>
      <c r="C399" s="258" t="s">
        <v>12</v>
      </c>
      <c r="D399" s="258" t="s">
        <v>13</v>
      </c>
      <c r="E399" s="259">
        <v>42514</v>
      </c>
      <c r="F399" s="262">
        <v>9002.7564480000001</v>
      </c>
      <c r="G399" s="261" t="s">
        <v>15</v>
      </c>
      <c r="H399" s="258" t="s">
        <v>128</v>
      </c>
      <c r="I399" s="261">
        <v>801</v>
      </c>
      <c r="J399" s="261" t="s">
        <v>129</v>
      </c>
      <c r="K399" s="261" t="s">
        <v>123</v>
      </c>
      <c r="L399" s="258" t="s">
        <v>140</v>
      </c>
      <c r="M399" s="258" t="s">
        <v>128</v>
      </c>
    </row>
    <row r="400" spans="1:14" x14ac:dyDescent="0.2">
      <c r="A400" s="258" t="s">
        <v>138</v>
      </c>
      <c r="B400" s="258" t="s">
        <v>139</v>
      </c>
      <c r="C400" s="258" t="s">
        <v>12</v>
      </c>
      <c r="D400" s="258" t="s">
        <v>141</v>
      </c>
      <c r="E400" s="259">
        <v>42514</v>
      </c>
      <c r="F400" s="260">
        <v>37.6</v>
      </c>
      <c r="G400" s="261" t="s">
        <v>14</v>
      </c>
      <c r="H400" s="258" t="s">
        <v>16</v>
      </c>
      <c r="I400" s="261">
        <v>801</v>
      </c>
      <c r="J400" s="261" t="s">
        <v>129</v>
      </c>
      <c r="K400" s="261" t="s">
        <v>123</v>
      </c>
      <c r="L400" s="258" t="s">
        <v>140</v>
      </c>
      <c r="M400" s="258" t="s">
        <v>133</v>
      </c>
    </row>
    <row r="401" spans="1:13" x14ac:dyDescent="0.2">
      <c r="A401" s="258" t="s">
        <v>138</v>
      </c>
      <c r="B401" s="258" t="s">
        <v>139</v>
      </c>
      <c r="C401" s="258" t="s">
        <v>12</v>
      </c>
      <c r="D401" s="258" t="s">
        <v>141</v>
      </c>
      <c r="E401" s="259">
        <v>42514</v>
      </c>
      <c r="F401" s="262">
        <v>4111.0862399999996</v>
      </c>
      <c r="G401" s="261" t="s">
        <v>15</v>
      </c>
      <c r="H401" s="258" t="s">
        <v>16</v>
      </c>
      <c r="I401" s="261">
        <v>801</v>
      </c>
      <c r="J401" s="261" t="s">
        <v>129</v>
      </c>
      <c r="K401" s="261" t="s">
        <v>123</v>
      </c>
      <c r="L401" s="258" t="s">
        <v>140</v>
      </c>
      <c r="M401" s="258" t="s">
        <v>133</v>
      </c>
    </row>
    <row r="402" spans="1:13" x14ac:dyDescent="0.2">
      <c r="A402" s="258" t="s">
        <v>138</v>
      </c>
      <c r="B402" s="258" t="s">
        <v>139</v>
      </c>
      <c r="C402" s="258" t="s">
        <v>12</v>
      </c>
      <c r="D402" s="258" t="s">
        <v>13</v>
      </c>
      <c r="E402" s="259">
        <v>42507</v>
      </c>
      <c r="F402" s="260">
        <v>72.678051499999995</v>
      </c>
      <c r="G402" s="261" t="s">
        <v>14</v>
      </c>
      <c r="H402" s="258" t="s">
        <v>128</v>
      </c>
      <c r="I402" s="261">
        <v>801</v>
      </c>
      <c r="J402" s="261" t="s">
        <v>129</v>
      </c>
      <c r="K402" s="261" t="s">
        <v>123</v>
      </c>
      <c r="L402" s="258" t="s">
        <v>140</v>
      </c>
      <c r="M402" s="258" t="s">
        <v>128</v>
      </c>
    </row>
    <row r="403" spans="1:13" x14ac:dyDescent="0.2">
      <c r="A403" s="258" t="s">
        <v>138</v>
      </c>
      <c r="B403" s="258" t="s">
        <v>139</v>
      </c>
      <c r="C403" s="258" t="s">
        <v>12</v>
      </c>
      <c r="D403" s="258" t="s">
        <v>13</v>
      </c>
      <c r="E403" s="259">
        <v>42507</v>
      </c>
      <c r="F403" s="262">
        <v>8461.6439040000005</v>
      </c>
      <c r="G403" s="261" t="s">
        <v>15</v>
      </c>
      <c r="H403" s="258" t="s">
        <v>128</v>
      </c>
      <c r="I403" s="261">
        <v>801</v>
      </c>
      <c r="J403" s="261" t="s">
        <v>129</v>
      </c>
      <c r="K403" s="261" t="s">
        <v>123</v>
      </c>
      <c r="L403" s="258" t="s">
        <v>140</v>
      </c>
      <c r="M403" s="258" t="s">
        <v>128</v>
      </c>
    </row>
    <row r="404" spans="1:13" x14ac:dyDescent="0.2">
      <c r="A404" s="258" t="s">
        <v>138</v>
      </c>
      <c r="B404" s="258" t="s">
        <v>139</v>
      </c>
      <c r="C404" s="258" t="s">
        <v>12</v>
      </c>
      <c r="D404" s="258" t="s">
        <v>141</v>
      </c>
      <c r="E404" s="259">
        <v>42507</v>
      </c>
      <c r="F404" s="260">
        <v>23.2</v>
      </c>
      <c r="G404" s="261" t="s">
        <v>14</v>
      </c>
      <c r="H404" s="258" t="s">
        <v>16</v>
      </c>
      <c r="I404" s="261">
        <v>801</v>
      </c>
      <c r="J404" s="261" t="s">
        <v>129</v>
      </c>
      <c r="K404" s="261" t="s">
        <v>123</v>
      </c>
      <c r="L404" s="258" t="s">
        <v>140</v>
      </c>
      <c r="M404" s="258" t="s">
        <v>133</v>
      </c>
    </row>
    <row r="405" spans="1:13" x14ac:dyDescent="0.2">
      <c r="A405" s="258" t="s">
        <v>138</v>
      </c>
      <c r="B405" s="258" t="s">
        <v>139</v>
      </c>
      <c r="C405" s="258" t="s">
        <v>12</v>
      </c>
      <c r="D405" s="258" t="s">
        <v>141</v>
      </c>
      <c r="E405" s="259">
        <v>42507</v>
      </c>
      <c r="F405" s="262">
        <v>2675.9390400000002</v>
      </c>
      <c r="G405" s="261" t="s">
        <v>15</v>
      </c>
      <c r="H405" s="258" t="s">
        <v>16</v>
      </c>
      <c r="I405" s="261">
        <v>801</v>
      </c>
      <c r="J405" s="261" t="s">
        <v>129</v>
      </c>
      <c r="K405" s="261" t="s">
        <v>123</v>
      </c>
      <c r="L405" s="258" t="s">
        <v>140</v>
      </c>
      <c r="M405" s="258" t="s">
        <v>133</v>
      </c>
    </row>
    <row r="406" spans="1:13" x14ac:dyDescent="0.2">
      <c r="A406" s="258" t="s">
        <v>138</v>
      </c>
      <c r="B406" s="258" t="s">
        <v>139</v>
      </c>
      <c r="C406" s="258" t="s">
        <v>12</v>
      </c>
      <c r="D406" s="258" t="s">
        <v>13</v>
      </c>
      <c r="E406" s="259">
        <v>42500</v>
      </c>
      <c r="F406" s="260">
        <v>70.609400899999997</v>
      </c>
      <c r="G406" s="261" t="s">
        <v>14</v>
      </c>
      <c r="H406" s="258" t="s">
        <v>128</v>
      </c>
      <c r="I406" s="261">
        <v>801</v>
      </c>
      <c r="J406" s="261" t="s">
        <v>129</v>
      </c>
      <c r="K406" s="261" t="s">
        <v>123</v>
      </c>
      <c r="L406" s="258" t="s">
        <v>140</v>
      </c>
      <c r="M406" s="258" t="s">
        <v>128</v>
      </c>
    </row>
    <row r="407" spans="1:13" x14ac:dyDescent="0.2">
      <c r="A407" s="258" t="s">
        <v>138</v>
      </c>
      <c r="B407" s="258" t="s">
        <v>139</v>
      </c>
      <c r="C407" s="258" t="s">
        <v>12</v>
      </c>
      <c r="D407" s="258" t="s">
        <v>13</v>
      </c>
      <c r="E407" s="259">
        <v>42500</v>
      </c>
      <c r="F407" s="262">
        <v>8945.1237120000005</v>
      </c>
      <c r="G407" s="261" t="s">
        <v>15</v>
      </c>
      <c r="H407" s="258" t="s">
        <v>128</v>
      </c>
      <c r="I407" s="261">
        <v>801</v>
      </c>
      <c r="J407" s="261" t="s">
        <v>129</v>
      </c>
      <c r="K407" s="261" t="s">
        <v>123</v>
      </c>
      <c r="L407" s="258" t="s">
        <v>140</v>
      </c>
      <c r="M407" s="258" t="s">
        <v>128</v>
      </c>
    </row>
    <row r="408" spans="1:13" x14ac:dyDescent="0.2">
      <c r="A408" s="258" t="s">
        <v>138</v>
      </c>
      <c r="B408" s="258" t="s">
        <v>139</v>
      </c>
      <c r="C408" s="258" t="s">
        <v>12</v>
      </c>
      <c r="D408" s="258" t="s">
        <v>141</v>
      </c>
      <c r="E408" s="259">
        <v>42500</v>
      </c>
      <c r="F408" s="260">
        <v>11.9</v>
      </c>
      <c r="G408" s="261" t="s">
        <v>14</v>
      </c>
      <c r="H408" s="258" t="s">
        <v>16</v>
      </c>
      <c r="I408" s="261">
        <v>801</v>
      </c>
      <c r="J408" s="261" t="s">
        <v>129</v>
      </c>
      <c r="K408" s="261" t="s">
        <v>123</v>
      </c>
      <c r="L408" s="258" t="s">
        <v>140</v>
      </c>
      <c r="M408" s="258" t="s">
        <v>133</v>
      </c>
    </row>
    <row r="409" spans="1:13" x14ac:dyDescent="0.2">
      <c r="A409" s="258" t="s">
        <v>138</v>
      </c>
      <c r="B409" s="258" t="s">
        <v>139</v>
      </c>
      <c r="C409" s="258" t="s">
        <v>12</v>
      </c>
      <c r="D409" s="258" t="s">
        <v>141</v>
      </c>
      <c r="E409" s="259">
        <v>42500</v>
      </c>
      <c r="F409" s="262">
        <v>1522.43364</v>
      </c>
      <c r="G409" s="261" t="s">
        <v>15</v>
      </c>
      <c r="H409" s="258" t="s">
        <v>16</v>
      </c>
      <c r="I409" s="261">
        <v>801</v>
      </c>
      <c r="J409" s="261" t="s">
        <v>129</v>
      </c>
      <c r="K409" s="261" t="s">
        <v>123</v>
      </c>
      <c r="L409" s="258" t="s">
        <v>140</v>
      </c>
      <c r="M409" s="258" t="s">
        <v>133</v>
      </c>
    </row>
    <row r="410" spans="1:13" x14ac:dyDescent="0.2">
      <c r="A410" s="258" t="s">
        <v>138</v>
      </c>
      <c r="B410" s="258" t="s">
        <v>139</v>
      </c>
      <c r="C410" s="258" t="s">
        <v>12</v>
      </c>
      <c r="D410" s="258" t="s">
        <v>13</v>
      </c>
      <c r="E410" s="259">
        <v>42493</v>
      </c>
      <c r="F410" s="260">
        <v>66.226363599999999</v>
      </c>
      <c r="G410" s="261" t="s">
        <v>14</v>
      </c>
      <c r="H410" s="258" t="s">
        <v>128</v>
      </c>
      <c r="I410" s="261">
        <v>801</v>
      </c>
      <c r="J410" s="261" t="s">
        <v>129</v>
      </c>
      <c r="K410" s="261" t="s">
        <v>123</v>
      </c>
      <c r="L410" s="258" t="s">
        <v>140</v>
      </c>
      <c r="M410" s="258" t="s">
        <v>128</v>
      </c>
    </row>
    <row r="411" spans="1:13" x14ac:dyDescent="0.2">
      <c r="A411" s="258" t="s">
        <v>138</v>
      </c>
      <c r="B411" s="258" t="s">
        <v>139</v>
      </c>
      <c r="C411" s="258" t="s">
        <v>12</v>
      </c>
      <c r="D411" s="258" t="s">
        <v>13</v>
      </c>
      <c r="E411" s="259">
        <v>42493</v>
      </c>
      <c r="F411" s="262">
        <v>9720.9705599999998</v>
      </c>
      <c r="G411" s="261" t="s">
        <v>15</v>
      </c>
      <c r="H411" s="258" t="s">
        <v>128</v>
      </c>
      <c r="I411" s="261">
        <v>801</v>
      </c>
      <c r="J411" s="261" t="s">
        <v>129</v>
      </c>
      <c r="K411" s="261" t="s">
        <v>123</v>
      </c>
      <c r="L411" s="258" t="s">
        <v>140</v>
      </c>
      <c r="M411" s="258" t="s">
        <v>128</v>
      </c>
    </row>
    <row r="412" spans="1:13" x14ac:dyDescent="0.2">
      <c r="A412" s="258" t="s">
        <v>138</v>
      </c>
      <c r="B412" s="258" t="s">
        <v>139</v>
      </c>
      <c r="C412" s="258" t="s">
        <v>12</v>
      </c>
      <c r="D412" s="258" t="s">
        <v>141</v>
      </c>
      <c r="E412" s="259">
        <v>42493</v>
      </c>
      <c r="F412" s="260">
        <v>24</v>
      </c>
      <c r="G412" s="261" t="s">
        <v>14</v>
      </c>
      <c r="H412" s="258" t="s">
        <v>16</v>
      </c>
      <c r="I412" s="261">
        <v>801</v>
      </c>
      <c r="J412" s="261" t="s">
        <v>129</v>
      </c>
      <c r="K412" s="261" t="s">
        <v>123</v>
      </c>
      <c r="L412" s="258" t="s">
        <v>140</v>
      </c>
      <c r="M412" s="258" t="s">
        <v>133</v>
      </c>
    </row>
    <row r="413" spans="1:13" x14ac:dyDescent="0.2">
      <c r="A413" s="258" t="s">
        <v>138</v>
      </c>
      <c r="B413" s="258" t="s">
        <v>139</v>
      </c>
      <c r="C413" s="258" t="s">
        <v>12</v>
      </c>
      <c r="D413" s="258" t="s">
        <v>141</v>
      </c>
      <c r="E413" s="259">
        <v>42493</v>
      </c>
      <c r="F413" s="262">
        <v>3490.7903999999999</v>
      </c>
      <c r="G413" s="261" t="s">
        <v>15</v>
      </c>
      <c r="H413" s="258" t="s">
        <v>16</v>
      </c>
      <c r="I413" s="261">
        <v>801</v>
      </c>
      <c r="J413" s="261" t="s">
        <v>129</v>
      </c>
      <c r="K413" s="261" t="s">
        <v>123</v>
      </c>
      <c r="L413" s="258" t="s">
        <v>140</v>
      </c>
      <c r="M413" s="258" t="s">
        <v>133</v>
      </c>
    </row>
    <row r="414" spans="1:13" x14ac:dyDescent="0.2">
      <c r="A414" s="258" t="s">
        <v>138</v>
      </c>
      <c r="B414" s="258" t="s">
        <v>139</v>
      </c>
      <c r="C414" s="258" t="s">
        <v>12</v>
      </c>
      <c r="D414" s="258" t="s">
        <v>13</v>
      </c>
      <c r="E414" s="259">
        <v>42486</v>
      </c>
      <c r="F414" s="260">
        <v>65.802937499999999</v>
      </c>
      <c r="G414" s="261" t="s">
        <v>14</v>
      </c>
      <c r="H414" s="258" t="s">
        <v>128</v>
      </c>
      <c r="I414" s="261">
        <v>801</v>
      </c>
      <c r="J414" s="261" t="s">
        <v>129</v>
      </c>
      <c r="K414" s="261" t="s">
        <v>123</v>
      </c>
      <c r="L414" s="258" t="s">
        <v>140</v>
      </c>
      <c r="M414" s="258" t="s">
        <v>128</v>
      </c>
    </row>
    <row r="415" spans="1:13" x14ac:dyDescent="0.2">
      <c r="A415" s="258" t="s">
        <v>138</v>
      </c>
      <c r="B415" s="258" t="s">
        <v>139</v>
      </c>
      <c r="C415" s="258" t="s">
        <v>12</v>
      </c>
      <c r="D415" s="258" t="s">
        <v>13</v>
      </c>
      <c r="E415" s="259">
        <v>42486</v>
      </c>
      <c r="F415" s="262">
        <v>7902.6695820000004</v>
      </c>
      <c r="G415" s="261" t="s">
        <v>15</v>
      </c>
      <c r="H415" s="258" t="s">
        <v>128</v>
      </c>
      <c r="I415" s="261">
        <v>801</v>
      </c>
      <c r="J415" s="261" t="s">
        <v>129</v>
      </c>
      <c r="K415" s="261" t="s">
        <v>123</v>
      </c>
      <c r="L415" s="258" t="s">
        <v>140</v>
      </c>
      <c r="M415" s="258" t="s">
        <v>128</v>
      </c>
    </row>
    <row r="416" spans="1:13" x14ac:dyDescent="0.2">
      <c r="A416" s="258" t="s">
        <v>138</v>
      </c>
      <c r="B416" s="258" t="s">
        <v>139</v>
      </c>
      <c r="C416" s="258" t="s">
        <v>12</v>
      </c>
      <c r="D416" s="258" t="s">
        <v>141</v>
      </c>
      <c r="E416" s="259">
        <v>42486</v>
      </c>
      <c r="F416" s="260">
        <v>30.1</v>
      </c>
      <c r="G416" s="261" t="s">
        <v>14</v>
      </c>
      <c r="H416" s="258" t="s">
        <v>16</v>
      </c>
      <c r="I416" s="261">
        <v>801</v>
      </c>
      <c r="J416" s="261" t="s">
        <v>129</v>
      </c>
      <c r="K416" s="261" t="s">
        <v>123</v>
      </c>
      <c r="L416" s="258" t="s">
        <v>140</v>
      </c>
      <c r="M416" s="258" t="s">
        <v>133</v>
      </c>
    </row>
    <row r="417" spans="1:13" x14ac:dyDescent="0.2">
      <c r="A417" s="258" t="s">
        <v>138</v>
      </c>
      <c r="B417" s="258" t="s">
        <v>139</v>
      </c>
      <c r="C417" s="258" t="s">
        <v>12</v>
      </c>
      <c r="D417" s="258" t="s">
        <v>141</v>
      </c>
      <c r="E417" s="259">
        <v>42486</v>
      </c>
      <c r="F417" s="262">
        <v>3147.9663599999999</v>
      </c>
      <c r="G417" s="261" t="s">
        <v>15</v>
      </c>
      <c r="H417" s="258" t="s">
        <v>16</v>
      </c>
      <c r="I417" s="261">
        <v>801</v>
      </c>
      <c r="J417" s="261" t="s">
        <v>129</v>
      </c>
      <c r="K417" s="261" t="s">
        <v>123</v>
      </c>
      <c r="L417" s="258" t="s">
        <v>140</v>
      </c>
      <c r="M417" s="258" t="s">
        <v>133</v>
      </c>
    </row>
    <row r="418" spans="1:13" x14ac:dyDescent="0.2">
      <c r="A418" s="258" t="s">
        <v>138</v>
      </c>
      <c r="B418" s="258" t="s">
        <v>139</v>
      </c>
      <c r="C418" s="258" t="s">
        <v>12</v>
      </c>
      <c r="D418" s="258" t="s">
        <v>13</v>
      </c>
      <c r="E418" s="259">
        <v>42479</v>
      </c>
      <c r="F418" s="260">
        <v>78.080929900000001</v>
      </c>
      <c r="G418" s="261" t="s">
        <v>14</v>
      </c>
      <c r="H418" s="258" t="s">
        <v>128</v>
      </c>
      <c r="I418" s="261">
        <v>801</v>
      </c>
      <c r="J418" s="261" t="s">
        <v>129</v>
      </c>
      <c r="K418" s="261" t="s">
        <v>123</v>
      </c>
      <c r="L418" s="258" t="s">
        <v>140</v>
      </c>
      <c r="M418" s="258" t="s">
        <v>128</v>
      </c>
    </row>
    <row r="419" spans="1:13" x14ac:dyDescent="0.2">
      <c r="A419" s="258" t="s">
        <v>138</v>
      </c>
      <c r="B419" s="258" t="s">
        <v>139</v>
      </c>
      <c r="C419" s="258" t="s">
        <v>12</v>
      </c>
      <c r="D419" s="258" t="s">
        <v>13</v>
      </c>
      <c r="E419" s="259">
        <v>42479</v>
      </c>
      <c r="F419" s="262">
        <v>10503.774636</v>
      </c>
      <c r="G419" s="261" t="s">
        <v>15</v>
      </c>
      <c r="H419" s="258" t="s">
        <v>128</v>
      </c>
      <c r="I419" s="261">
        <v>801</v>
      </c>
      <c r="J419" s="261" t="s">
        <v>129</v>
      </c>
      <c r="K419" s="261" t="s">
        <v>123</v>
      </c>
      <c r="L419" s="258" t="s">
        <v>140</v>
      </c>
      <c r="M419" s="258" t="s">
        <v>128</v>
      </c>
    </row>
    <row r="420" spans="1:13" x14ac:dyDescent="0.2">
      <c r="A420" s="258" t="s">
        <v>138</v>
      </c>
      <c r="B420" s="258" t="s">
        <v>139</v>
      </c>
      <c r="C420" s="258" t="s">
        <v>12</v>
      </c>
      <c r="D420" s="258" t="s">
        <v>141</v>
      </c>
      <c r="E420" s="259">
        <v>42479</v>
      </c>
      <c r="F420" s="260">
        <v>42</v>
      </c>
      <c r="G420" s="261" t="s">
        <v>14</v>
      </c>
      <c r="H420" s="258" t="s">
        <v>16</v>
      </c>
      <c r="I420" s="261">
        <v>801</v>
      </c>
      <c r="J420" s="261" t="s">
        <v>129</v>
      </c>
      <c r="K420" s="261" t="s">
        <v>123</v>
      </c>
      <c r="L420" s="258" t="s">
        <v>140</v>
      </c>
      <c r="M420" s="258" t="s">
        <v>133</v>
      </c>
    </row>
    <row r="421" spans="1:13" x14ac:dyDescent="0.2">
      <c r="A421" s="258" t="s">
        <v>138</v>
      </c>
      <c r="B421" s="258" t="s">
        <v>139</v>
      </c>
      <c r="C421" s="258" t="s">
        <v>12</v>
      </c>
      <c r="D421" s="258" t="s">
        <v>141</v>
      </c>
      <c r="E421" s="259">
        <v>42479</v>
      </c>
      <c r="F421" s="262">
        <v>3951.1583999999998</v>
      </c>
      <c r="G421" s="261" t="s">
        <v>15</v>
      </c>
      <c r="H421" s="258" t="s">
        <v>16</v>
      </c>
      <c r="I421" s="261">
        <v>801</v>
      </c>
      <c r="J421" s="261" t="s">
        <v>129</v>
      </c>
      <c r="K421" s="261" t="s">
        <v>123</v>
      </c>
      <c r="L421" s="258" t="s">
        <v>140</v>
      </c>
      <c r="M421" s="258" t="s">
        <v>133</v>
      </c>
    </row>
    <row r="422" spans="1:13" x14ac:dyDescent="0.2">
      <c r="A422" s="258" t="s">
        <v>138</v>
      </c>
      <c r="B422" s="258" t="s">
        <v>139</v>
      </c>
      <c r="C422" s="258" t="s">
        <v>12</v>
      </c>
      <c r="D422" s="258" t="s">
        <v>13</v>
      </c>
      <c r="E422" s="259">
        <v>42472</v>
      </c>
      <c r="F422" s="260">
        <v>65.399522899999994</v>
      </c>
      <c r="G422" s="261" t="s">
        <v>14</v>
      </c>
      <c r="H422" s="258" t="s">
        <v>128</v>
      </c>
      <c r="I422" s="261">
        <v>801</v>
      </c>
      <c r="J422" s="261" t="s">
        <v>129</v>
      </c>
      <c r="K422" s="261" t="s">
        <v>123</v>
      </c>
      <c r="L422" s="258" t="s">
        <v>140</v>
      </c>
      <c r="M422" s="258" t="s">
        <v>128</v>
      </c>
    </row>
    <row r="423" spans="1:13" x14ac:dyDescent="0.2">
      <c r="A423" s="258" t="s">
        <v>138</v>
      </c>
      <c r="B423" s="258" t="s">
        <v>139</v>
      </c>
      <c r="C423" s="258" t="s">
        <v>12</v>
      </c>
      <c r="D423" s="258" t="s">
        <v>13</v>
      </c>
      <c r="E423" s="259">
        <v>42472</v>
      </c>
      <c r="F423" s="262">
        <v>8803.2728220000008</v>
      </c>
      <c r="G423" s="261" t="s">
        <v>15</v>
      </c>
      <c r="H423" s="258" t="s">
        <v>128</v>
      </c>
      <c r="I423" s="261">
        <v>801</v>
      </c>
      <c r="J423" s="261" t="s">
        <v>129</v>
      </c>
      <c r="K423" s="261" t="s">
        <v>123</v>
      </c>
      <c r="L423" s="258" t="s">
        <v>140</v>
      </c>
      <c r="M423" s="258" t="s">
        <v>128</v>
      </c>
    </row>
    <row r="424" spans="1:13" x14ac:dyDescent="0.2">
      <c r="A424" s="258" t="s">
        <v>138</v>
      </c>
      <c r="B424" s="258" t="s">
        <v>139</v>
      </c>
      <c r="C424" s="258" t="s">
        <v>12</v>
      </c>
      <c r="D424" s="258" t="s">
        <v>141</v>
      </c>
      <c r="E424" s="259">
        <v>42472</v>
      </c>
      <c r="F424" s="260">
        <v>21.4</v>
      </c>
      <c r="G424" s="261" t="s">
        <v>14</v>
      </c>
      <c r="H424" s="258" t="s">
        <v>16</v>
      </c>
      <c r="I424" s="261">
        <v>801</v>
      </c>
      <c r="J424" s="261" t="s">
        <v>129</v>
      </c>
      <c r="K424" s="261" t="s">
        <v>123</v>
      </c>
      <c r="L424" s="258" t="s">
        <v>140</v>
      </c>
      <c r="M424" s="258" t="s">
        <v>133</v>
      </c>
    </row>
    <row r="425" spans="1:13" x14ac:dyDescent="0.2">
      <c r="A425" s="258" t="s">
        <v>138</v>
      </c>
      <c r="B425" s="258" t="s">
        <v>139</v>
      </c>
      <c r="C425" s="258" t="s">
        <v>12</v>
      </c>
      <c r="D425" s="258" t="s">
        <v>141</v>
      </c>
      <c r="E425" s="259">
        <v>42472</v>
      </c>
      <c r="F425" s="262">
        <v>2464.7535600000001</v>
      </c>
      <c r="G425" s="261" t="s">
        <v>15</v>
      </c>
      <c r="H425" s="258" t="s">
        <v>16</v>
      </c>
      <c r="I425" s="261">
        <v>801</v>
      </c>
      <c r="J425" s="261" t="s">
        <v>129</v>
      </c>
      <c r="K425" s="261" t="s">
        <v>123</v>
      </c>
      <c r="L425" s="258" t="s">
        <v>140</v>
      </c>
      <c r="M425" s="258" t="s">
        <v>133</v>
      </c>
    </row>
    <row r="426" spans="1:13" x14ac:dyDescent="0.2">
      <c r="A426" s="258" t="s">
        <v>138</v>
      </c>
      <c r="B426" s="258" t="s">
        <v>139</v>
      </c>
      <c r="C426" s="258" t="s">
        <v>12</v>
      </c>
      <c r="D426" s="258" t="s">
        <v>13</v>
      </c>
      <c r="E426" s="259">
        <v>42466</v>
      </c>
      <c r="F426" s="260">
        <v>57.7407003</v>
      </c>
      <c r="G426" s="261" t="s">
        <v>14</v>
      </c>
      <c r="H426" s="258" t="s">
        <v>128</v>
      </c>
      <c r="I426" s="261">
        <v>801</v>
      </c>
      <c r="J426" s="261" t="s">
        <v>129</v>
      </c>
      <c r="K426" s="261" t="s">
        <v>123</v>
      </c>
      <c r="L426" s="258" t="s">
        <v>140</v>
      </c>
      <c r="M426" s="258" t="s">
        <v>128</v>
      </c>
    </row>
    <row r="427" spans="1:13" x14ac:dyDescent="0.2">
      <c r="A427" s="258" t="s">
        <v>138</v>
      </c>
      <c r="B427" s="258" t="s">
        <v>139</v>
      </c>
      <c r="C427" s="258" t="s">
        <v>12</v>
      </c>
      <c r="D427" s="258" t="s">
        <v>13</v>
      </c>
      <c r="E427" s="259">
        <v>42466</v>
      </c>
      <c r="F427" s="262">
        <v>9626.3332439999995</v>
      </c>
      <c r="G427" s="261" t="s">
        <v>15</v>
      </c>
      <c r="H427" s="258" t="s">
        <v>128</v>
      </c>
      <c r="I427" s="261">
        <v>801</v>
      </c>
      <c r="J427" s="261" t="s">
        <v>129</v>
      </c>
      <c r="K427" s="261" t="s">
        <v>123</v>
      </c>
      <c r="L427" s="258" t="s">
        <v>140</v>
      </c>
      <c r="M427" s="258" t="s">
        <v>128</v>
      </c>
    </row>
    <row r="428" spans="1:13" x14ac:dyDescent="0.2">
      <c r="A428" s="258" t="s">
        <v>138</v>
      </c>
      <c r="B428" s="258" t="s">
        <v>139</v>
      </c>
      <c r="C428" s="258" t="s">
        <v>12</v>
      </c>
      <c r="D428" s="258" t="s">
        <v>141</v>
      </c>
      <c r="E428" s="259">
        <v>42466</v>
      </c>
      <c r="F428" s="260">
        <v>29.6</v>
      </c>
      <c r="G428" s="261" t="s">
        <v>14</v>
      </c>
      <c r="H428" s="258" t="s">
        <v>16</v>
      </c>
      <c r="I428" s="261">
        <v>801</v>
      </c>
      <c r="J428" s="261" t="s">
        <v>129</v>
      </c>
      <c r="K428" s="261" t="s">
        <v>123</v>
      </c>
      <c r="L428" s="258" t="s">
        <v>140</v>
      </c>
      <c r="M428" s="258" t="s">
        <v>133</v>
      </c>
    </row>
    <row r="429" spans="1:13" x14ac:dyDescent="0.2">
      <c r="A429" s="258" t="s">
        <v>138</v>
      </c>
      <c r="B429" s="258" t="s">
        <v>139</v>
      </c>
      <c r="C429" s="258" t="s">
        <v>12</v>
      </c>
      <c r="D429" s="258" t="s">
        <v>141</v>
      </c>
      <c r="E429" s="259">
        <v>42466</v>
      </c>
      <c r="F429" s="262">
        <v>4176.9388799999997</v>
      </c>
      <c r="G429" s="261" t="s">
        <v>15</v>
      </c>
      <c r="H429" s="258" t="s">
        <v>16</v>
      </c>
      <c r="I429" s="261">
        <v>801</v>
      </c>
      <c r="J429" s="261" t="s">
        <v>129</v>
      </c>
      <c r="K429" s="261" t="s">
        <v>123</v>
      </c>
      <c r="L429" s="258" t="s">
        <v>140</v>
      </c>
      <c r="M429" s="258" t="s">
        <v>133</v>
      </c>
    </row>
    <row r="430" spans="1:13" x14ac:dyDescent="0.2">
      <c r="A430" s="258" t="s">
        <v>138</v>
      </c>
      <c r="B430" s="258" t="s">
        <v>139</v>
      </c>
      <c r="C430" s="258" t="s">
        <v>17</v>
      </c>
      <c r="D430" s="258" t="s">
        <v>13</v>
      </c>
      <c r="E430" s="259">
        <v>43214</v>
      </c>
      <c r="F430" s="260">
        <v>13.8651131</v>
      </c>
      <c r="G430" s="261" t="s">
        <v>14</v>
      </c>
      <c r="H430" s="258" t="s">
        <v>128</v>
      </c>
      <c r="I430" s="261">
        <v>801</v>
      </c>
      <c r="J430" s="261" t="s">
        <v>129</v>
      </c>
      <c r="K430" s="261" t="s">
        <v>123</v>
      </c>
      <c r="L430" s="258" t="s">
        <v>140</v>
      </c>
      <c r="M430" s="258" t="s">
        <v>128</v>
      </c>
    </row>
    <row r="431" spans="1:13" x14ac:dyDescent="0.2">
      <c r="A431" s="258" t="s">
        <v>138</v>
      </c>
      <c r="B431" s="258" t="s">
        <v>139</v>
      </c>
      <c r="C431" s="258" t="s">
        <v>17</v>
      </c>
      <c r="D431" s="258" t="s">
        <v>13</v>
      </c>
      <c r="E431" s="259">
        <v>43214</v>
      </c>
      <c r="F431" s="262">
        <v>1736.83836</v>
      </c>
      <c r="G431" s="261" t="s">
        <v>15</v>
      </c>
      <c r="H431" s="258" t="s">
        <v>128</v>
      </c>
      <c r="I431" s="261">
        <v>801</v>
      </c>
      <c r="J431" s="261" t="s">
        <v>129</v>
      </c>
      <c r="K431" s="261" t="s">
        <v>123</v>
      </c>
      <c r="L431" s="258" t="s">
        <v>140</v>
      </c>
      <c r="M431" s="258" t="s">
        <v>128</v>
      </c>
    </row>
    <row r="432" spans="1:13" x14ac:dyDescent="0.2">
      <c r="A432" s="258" t="s">
        <v>138</v>
      </c>
      <c r="B432" s="258" t="s">
        <v>139</v>
      </c>
      <c r="C432" s="258" t="s">
        <v>17</v>
      </c>
      <c r="D432" s="258" t="s">
        <v>13</v>
      </c>
      <c r="E432" s="259">
        <v>43214</v>
      </c>
      <c r="F432" s="260">
        <v>10.3</v>
      </c>
      <c r="G432" s="261" t="s">
        <v>14</v>
      </c>
      <c r="H432" s="258" t="s">
        <v>16</v>
      </c>
      <c r="I432" s="261">
        <v>11</v>
      </c>
      <c r="J432" s="261" t="s">
        <v>129</v>
      </c>
      <c r="K432" s="261" t="s">
        <v>123</v>
      </c>
      <c r="L432" s="258" t="s">
        <v>142</v>
      </c>
      <c r="M432" s="258" t="s">
        <v>133</v>
      </c>
    </row>
    <row r="433" spans="1:13" x14ac:dyDescent="0.2">
      <c r="A433" s="258" t="s">
        <v>138</v>
      </c>
      <c r="B433" s="258" t="s">
        <v>139</v>
      </c>
      <c r="C433" s="258" t="s">
        <v>17</v>
      </c>
      <c r="D433" s="258" t="s">
        <v>13</v>
      </c>
      <c r="E433" s="259">
        <v>43214</v>
      </c>
      <c r="F433" s="262">
        <v>1229.2576200000001</v>
      </c>
      <c r="G433" s="261" t="s">
        <v>15</v>
      </c>
      <c r="H433" s="258" t="s">
        <v>16</v>
      </c>
      <c r="I433" s="261">
        <v>11</v>
      </c>
      <c r="J433" s="261" t="s">
        <v>129</v>
      </c>
      <c r="K433" s="261" t="s">
        <v>123</v>
      </c>
      <c r="L433" s="258" t="s">
        <v>142</v>
      </c>
      <c r="M433" s="258" t="s">
        <v>133</v>
      </c>
    </row>
    <row r="434" spans="1:13" x14ac:dyDescent="0.2">
      <c r="A434" s="258" t="s">
        <v>138</v>
      </c>
      <c r="B434" s="258" t="s">
        <v>139</v>
      </c>
      <c r="C434" s="258" t="s">
        <v>17</v>
      </c>
      <c r="D434" s="258" t="s">
        <v>13</v>
      </c>
      <c r="E434" s="259">
        <v>43208</v>
      </c>
      <c r="F434" s="260">
        <v>11.8127469</v>
      </c>
      <c r="G434" s="261" t="s">
        <v>14</v>
      </c>
      <c r="H434" s="258" t="s">
        <v>128</v>
      </c>
      <c r="I434" s="261">
        <v>801</v>
      </c>
      <c r="J434" s="261" t="s">
        <v>129</v>
      </c>
      <c r="K434" s="261" t="s">
        <v>123</v>
      </c>
      <c r="L434" s="258" t="s">
        <v>140</v>
      </c>
      <c r="M434" s="258" t="s">
        <v>128</v>
      </c>
    </row>
    <row r="435" spans="1:13" x14ac:dyDescent="0.2">
      <c r="A435" s="258" t="s">
        <v>138</v>
      </c>
      <c r="B435" s="258" t="s">
        <v>139</v>
      </c>
      <c r="C435" s="258" t="s">
        <v>17</v>
      </c>
      <c r="D435" s="258" t="s">
        <v>13</v>
      </c>
      <c r="E435" s="259">
        <v>43208</v>
      </c>
      <c r="F435" s="262">
        <v>1635.4039439999999</v>
      </c>
      <c r="G435" s="261" t="s">
        <v>15</v>
      </c>
      <c r="H435" s="258" t="s">
        <v>128</v>
      </c>
      <c r="I435" s="261">
        <v>801</v>
      </c>
      <c r="J435" s="261" t="s">
        <v>129</v>
      </c>
      <c r="K435" s="261" t="s">
        <v>123</v>
      </c>
      <c r="L435" s="258" t="s">
        <v>140</v>
      </c>
      <c r="M435" s="258" t="s">
        <v>128</v>
      </c>
    </row>
    <row r="436" spans="1:13" x14ac:dyDescent="0.2">
      <c r="A436" s="258" t="s">
        <v>138</v>
      </c>
      <c r="B436" s="258" t="s">
        <v>139</v>
      </c>
      <c r="C436" s="258" t="s">
        <v>17</v>
      </c>
      <c r="D436" s="258" t="s">
        <v>13</v>
      </c>
      <c r="E436" s="259">
        <v>43208</v>
      </c>
      <c r="F436" s="260">
        <v>7.76</v>
      </c>
      <c r="G436" s="261" t="s">
        <v>14</v>
      </c>
      <c r="H436" s="258" t="s">
        <v>16</v>
      </c>
      <c r="I436" s="261">
        <v>11</v>
      </c>
      <c r="J436" s="261" t="s">
        <v>129</v>
      </c>
      <c r="K436" s="261" t="s">
        <v>123</v>
      </c>
      <c r="L436" s="258" t="s">
        <v>142</v>
      </c>
      <c r="M436" s="258" t="s">
        <v>133</v>
      </c>
    </row>
    <row r="437" spans="1:13" x14ac:dyDescent="0.2">
      <c r="A437" s="258" t="s">
        <v>138</v>
      </c>
      <c r="B437" s="258" t="s">
        <v>139</v>
      </c>
      <c r="C437" s="258" t="s">
        <v>17</v>
      </c>
      <c r="D437" s="258" t="s">
        <v>13</v>
      </c>
      <c r="E437" s="259">
        <v>43208</v>
      </c>
      <c r="F437" s="262">
        <v>1016.07888</v>
      </c>
      <c r="G437" s="261" t="s">
        <v>15</v>
      </c>
      <c r="H437" s="258" t="s">
        <v>16</v>
      </c>
      <c r="I437" s="261">
        <v>11</v>
      </c>
      <c r="J437" s="261" t="s">
        <v>129</v>
      </c>
      <c r="K437" s="261" t="s">
        <v>123</v>
      </c>
      <c r="L437" s="258" t="s">
        <v>142</v>
      </c>
      <c r="M437" s="258" t="s">
        <v>133</v>
      </c>
    </row>
    <row r="438" spans="1:13" x14ac:dyDescent="0.2">
      <c r="A438" s="258" t="s">
        <v>138</v>
      </c>
      <c r="B438" s="258" t="s">
        <v>139</v>
      </c>
      <c r="C438" s="258" t="s">
        <v>17</v>
      </c>
      <c r="D438" s="258" t="s">
        <v>13</v>
      </c>
      <c r="E438" s="259">
        <v>43200</v>
      </c>
      <c r="F438" s="260">
        <v>10.0256767</v>
      </c>
      <c r="G438" s="261" t="s">
        <v>14</v>
      </c>
      <c r="H438" s="258" t="s">
        <v>128</v>
      </c>
      <c r="I438" s="261">
        <v>801</v>
      </c>
      <c r="J438" s="261" t="s">
        <v>129</v>
      </c>
      <c r="K438" s="261" t="s">
        <v>123</v>
      </c>
      <c r="L438" s="258" t="s">
        <v>140</v>
      </c>
      <c r="M438" s="258" t="s">
        <v>128</v>
      </c>
    </row>
    <row r="439" spans="1:13" x14ac:dyDescent="0.2">
      <c r="A439" s="258" t="s">
        <v>138</v>
      </c>
      <c r="B439" s="258" t="s">
        <v>139</v>
      </c>
      <c r="C439" s="258" t="s">
        <v>17</v>
      </c>
      <c r="D439" s="258" t="s">
        <v>13</v>
      </c>
      <c r="E439" s="259">
        <v>43200</v>
      </c>
      <c r="F439" s="262">
        <v>1081.1308799999999</v>
      </c>
      <c r="G439" s="261" t="s">
        <v>15</v>
      </c>
      <c r="H439" s="258" t="s">
        <v>128</v>
      </c>
      <c r="I439" s="261">
        <v>801</v>
      </c>
      <c r="J439" s="261" t="s">
        <v>129</v>
      </c>
      <c r="K439" s="261" t="s">
        <v>123</v>
      </c>
      <c r="L439" s="258" t="s">
        <v>140</v>
      </c>
      <c r="M439" s="258" t="s">
        <v>128</v>
      </c>
    </row>
    <row r="440" spans="1:13" x14ac:dyDescent="0.2">
      <c r="A440" s="258" t="s">
        <v>138</v>
      </c>
      <c r="B440" s="258" t="s">
        <v>139</v>
      </c>
      <c r="C440" s="258" t="s">
        <v>17</v>
      </c>
      <c r="D440" s="258" t="s">
        <v>13</v>
      </c>
      <c r="E440" s="259">
        <v>43200</v>
      </c>
      <c r="F440" s="260">
        <v>9.1</v>
      </c>
      <c r="G440" s="261" t="s">
        <v>14</v>
      </c>
      <c r="H440" s="258" t="s">
        <v>16</v>
      </c>
      <c r="I440" s="261">
        <v>801</v>
      </c>
      <c r="J440" s="261" t="s">
        <v>129</v>
      </c>
      <c r="K440" s="261" t="s">
        <v>123</v>
      </c>
      <c r="L440" s="258" t="s">
        <v>140</v>
      </c>
      <c r="M440" s="258" t="s">
        <v>133</v>
      </c>
    </row>
    <row r="441" spans="1:13" x14ac:dyDescent="0.2">
      <c r="A441" s="258" t="s">
        <v>138</v>
      </c>
      <c r="B441" s="258" t="s">
        <v>139</v>
      </c>
      <c r="C441" s="258" t="s">
        <v>17</v>
      </c>
      <c r="D441" s="258" t="s">
        <v>13</v>
      </c>
      <c r="E441" s="259">
        <v>43200</v>
      </c>
      <c r="F441" s="262">
        <v>907.69223999999997</v>
      </c>
      <c r="G441" s="261" t="s">
        <v>15</v>
      </c>
      <c r="H441" s="258" t="s">
        <v>16</v>
      </c>
      <c r="I441" s="261">
        <v>801</v>
      </c>
      <c r="J441" s="261" t="s">
        <v>129</v>
      </c>
      <c r="K441" s="261" t="s">
        <v>123</v>
      </c>
      <c r="L441" s="258" t="s">
        <v>140</v>
      </c>
      <c r="M441" s="258" t="s">
        <v>133</v>
      </c>
    </row>
    <row r="442" spans="1:13" x14ac:dyDescent="0.2">
      <c r="A442" s="258" t="s">
        <v>138</v>
      </c>
      <c r="B442" s="258" t="s">
        <v>139</v>
      </c>
      <c r="C442" s="258" t="s">
        <v>17</v>
      </c>
      <c r="D442" s="258" t="s">
        <v>13</v>
      </c>
      <c r="E442" s="259">
        <v>43193</v>
      </c>
      <c r="F442" s="260">
        <v>17.975278299999999</v>
      </c>
      <c r="G442" s="261" t="s">
        <v>14</v>
      </c>
      <c r="H442" s="258" t="s">
        <v>128</v>
      </c>
      <c r="I442" s="261">
        <v>801</v>
      </c>
      <c r="J442" s="261" t="s">
        <v>129</v>
      </c>
      <c r="K442" s="261" t="s">
        <v>123</v>
      </c>
      <c r="L442" s="258" t="s">
        <v>140</v>
      </c>
      <c r="M442" s="258" t="s">
        <v>128</v>
      </c>
    </row>
    <row r="443" spans="1:13" x14ac:dyDescent="0.2">
      <c r="A443" s="258" t="s">
        <v>138</v>
      </c>
      <c r="B443" s="258" t="s">
        <v>139</v>
      </c>
      <c r="C443" s="258" t="s">
        <v>17</v>
      </c>
      <c r="D443" s="258" t="s">
        <v>13</v>
      </c>
      <c r="E443" s="259">
        <v>43193</v>
      </c>
      <c r="F443" s="262">
        <v>2019.3391799999999</v>
      </c>
      <c r="G443" s="261" t="s">
        <v>15</v>
      </c>
      <c r="H443" s="258" t="s">
        <v>128</v>
      </c>
      <c r="I443" s="261">
        <v>801</v>
      </c>
      <c r="J443" s="261" t="s">
        <v>129</v>
      </c>
      <c r="K443" s="261" t="s">
        <v>123</v>
      </c>
      <c r="L443" s="258" t="s">
        <v>140</v>
      </c>
      <c r="M443" s="258" t="s">
        <v>128</v>
      </c>
    </row>
    <row r="444" spans="1:13" x14ac:dyDescent="0.2">
      <c r="A444" s="258" t="s">
        <v>138</v>
      </c>
      <c r="B444" s="258" t="s">
        <v>139</v>
      </c>
      <c r="C444" s="258" t="s">
        <v>17</v>
      </c>
      <c r="D444" s="258" t="s">
        <v>13</v>
      </c>
      <c r="E444" s="259">
        <v>43193</v>
      </c>
      <c r="F444" s="260">
        <v>8.1</v>
      </c>
      <c r="G444" s="261" t="s">
        <v>14</v>
      </c>
      <c r="H444" s="258" t="s">
        <v>16</v>
      </c>
      <c r="I444" s="261">
        <v>801</v>
      </c>
      <c r="J444" s="261" t="s">
        <v>129</v>
      </c>
      <c r="K444" s="261" t="s">
        <v>123</v>
      </c>
      <c r="L444" s="258" t="s">
        <v>140</v>
      </c>
      <c r="M444" s="258" t="s">
        <v>133</v>
      </c>
    </row>
    <row r="445" spans="1:13" x14ac:dyDescent="0.2">
      <c r="A445" s="258" t="s">
        <v>138</v>
      </c>
      <c r="B445" s="258" t="s">
        <v>139</v>
      </c>
      <c r="C445" s="258" t="s">
        <v>17</v>
      </c>
      <c r="D445" s="258" t="s">
        <v>13</v>
      </c>
      <c r="E445" s="259">
        <v>43193</v>
      </c>
      <c r="F445" s="262">
        <v>839.69622000000004</v>
      </c>
      <c r="G445" s="261" t="s">
        <v>15</v>
      </c>
      <c r="H445" s="258" t="s">
        <v>16</v>
      </c>
      <c r="I445" s="261">
        <v>801</v>
      </c>
      <c r="J445" s="261" t="s">
        <v>129</v>
      </c>
      <c r="K445" s="261" t="s">
        <v>123</v>
      </c>
      <c r="L445" s="258" t="s">
        <v>140</v>
      </c>
      <c r="M445" s="258" t="s">
        <v>133</v>
      </c>
    </row>
    <row r="446" spans="1:13" x14ac:dyDescent="0.2">
      <c r="A446" s="258" t="s">
        <v>138</v>
      </c>
      <c r="B446" s="258" t="s">
        <v>139</v>
      </c>
      <c r="C446" s="258" t="s">
        <v>17</v>
      </c>
      <c r="D446" s="258" t="s">
        <v>13</v>
      </c>
      <c r="E446" s="259">
        <v>43186</v>
      </c>
      <c r="F446" s="260">
        <v>15.006040199999999</v>
      </c>
      <c r="G446" s="261" t="s">
        <v>14</v>
      </c>
      <c r="H446" s="258" t="s">
        <v>128</v>
      </c>
      <c r="I446" s="261">
        <v>801</v>
      </c>
      <c r="J446" s="261" t="s">
        <v>129</v>
      </c>
      <c r="K446" s="261" t="s">
        <v>123</v>
      </c>
      <c r="L446" s="258" t="s">
        <v>140</v>
      </c>
      <c r="M446" s="258" t="s">
        <v>128</v>
      </c>
    </row>
    <row r="447" spans="1:13" x14ac:dyDescent="0.2">
      <c r="A447" s="258" t="s">
        <v>138</v>
      </c>
      <c r="B447" s="258" t="s">
        <v>139</v>
      </c>
      <c r="C447" s="258" t="s">
        <v>17</v>
      </c>
      <c r="D447" s="258" t="s">
        <v>13</v>
      </c>
      <c r="E447" s="259">
        <v>43186</v>
      </c>
      <c r="F447" s="262">
        <v>1678.2665400000001</v>
      </c>
      <c r="G447" s="261" t="s">
        <v>15</v>
      </c>
      <c r="H447" s="258" t="s">
        <v>128</v>
      </c>
      <c r="I447" s="261">
        <v>801</v>
      </c>
      <c r="J447" s="261" t="s">
        <v>129</v>
      </c>
      <c r="K447" s="261" t="s">
        <v>123</v>
      </c>
      <c r="L447" s="258" t="s">
        <v>140</v>
      </c>
      <c r="M447" s="258" t="s">
        <v>128</v>
      </c>
    </row>
    <row r="448" spans="1:13" x14ac:dyDescent="0.2">
      <c r="A448" s="258" t="s">
        <v>138</v>
      </c>
      <c r="B448" s="258" t="s">
        <v>139</v>
      </c>
      <c r="C448" s="258" t="s">
        <v>17</v>
      </c>
      <c r="D448" s="258" t="s">
        <v>13</v>
      </c>
      <c r="E448" s="259">
        <v>43186</v>
      </c>
      <c r="F448" s="260">
        <v>9.44</v>
      </c>
      <c r="G448" s="261" t="s">
        <v>14</v>
      </c>
      <c r="H448" s="258" t="s">
        <v>16</v>
      </c>
      <c r="I448" s="261">
        <v>801</v>
      </c>
      <c r="J448" s="261" t="s">
        <v>129</v>
      </c>
      <c r="K448" s="261" t="s">
        <v>123</v>
      </c>
      <c r="L448" s="258" t="s">
        <v>140</v>
      </c>
      <c r="M448" s="258" t="s">
        <v>133</v>
      </c>
    </row>
    <row r="449" spans="1:13" x14ac:dyDescent="0.2">
      <c r="A449" s="258" t="s">
        <v>138</v>
      </c>
      <c r="B449" s="258" t="s">
        <v>139</v>
      </c>
      <c r="C449" s="258" t="s">
        <v>17</v>
      </c>
      <c r="D449" s="258" t="s">
        <v>13</v>
      </c>
      <c r="E449" s="259">
        <v>43186</v>
      </c>
      <c r="F449" s="262">
        <v>977.03433600000005</v>
      </c>
      <c r="G449" s="261" t="s">
        <v>15</v>
      </c>
      <c r="H449" s="258" t="s">
        <v>16</v>
      </c>
      <c r="I449" s="261">
        <v>801</v>
      </c>
      <c r="J449" s="261" t="s">
        <v>129</v>
      </c>
      <c r="K449" s="261" t="s">
        <v>123</v>
      </c>
      <c r="L449" s="258" t="s">
        <v>140</v>
      </c>
      <c r="M449" s="258" t="s">
        <v>133</v>
      </c>
    </row>
    <row r="450" spans="1:13" x14ac:dyDescent="0.2">
      <c r="A450" s="258" t="s">
        <v>138</v>
      </c>
      <c r="B450" s="258" t="s">
        <v>139</v>
      </c>
      <c r="C450" s="258" t="s">
        <v>17</v>
      </c>
      <c r="D450" s="258" t="s">
        <v>13</v>
      </c>
      <c r="E450" s="259">
        <v>43180</v>
      </c>
      <c r="F450" s="260">
        <v>17.178714500000002</v>
      </c>
      <c r="G450" s="261" t="s">
        <v>14</v>
      </c>
      <c r="H450" s="258" t="s">
        <v>128</v>
      </c>
      <c r="I450" s="261">
        <v>801</v>
      </c>
      <c r="J450" s="261" t="s">
        <v>129</v>
      </c>
      <c r="K450" s="261" t="s">
        <v>123</v>
      </c>
      <c r="L450" s="258" t="s">
        <v>140</v>
      </c>
      <c r="M450" s="258" t="s">
        <v>128</v>
      </c>
    </row>
    <row r="451" spans="1:13" x14ac:dyDescent="0.2">
      <c r="A451" s="258" t="s">
        <v>138</v>
      </c>
      <c r="B451" s="258" t="s">
        <v>139</v>
      </c>
      <c r="C451" s="258" t="s">
        <v>17</v>
      </c>
      <c r="D451" s="258" t="s">
        <v>13</v>
      </c>
      <c r="E451" s="259">
        <v>43180</v>
      </c>
      <c r="F451" s="262">
        <v>1716.3803399999999</v>
      </c>
      <c r="G451" s="261" t="s">
        <v>15</v>
      </c>
      <c r="H451" s="258" t="s">
        <v>128</v>
      </c>
      <c r="I451" s="261">
        <v>801</v>
      </c>
      <c r="J451" s="261" t="s">
        <v>129</v>
      </c>
      <c r="K451" s="261" t="s">
        <v>123</v>
      </c>
      <c r="L451" s="258" t="s">
        <v>140</v>
      </c>
      <c r="M451" s="258" t="s">
        <v>128</v>
      </c>
    </row>
    <row r="452" spans="1:13" x14ac:dyDescent="0.2">
      <c r="A452" s="258" t="s">
        <v>138</v>
      </c>
      <c r="B452" s="258" t="s">
        <v>139</v>
      </c>
      <c r="C452" s="258" t="s">
        <v>17</v>
      </c>
      <c r="D452" s="258" t="s">
        <v>13</v>
      </c>
      <c r="E452" s="259">
        <v>43180</v>
      </c>
      <c r="F452" s="260">
        <v>10.8</v>
      </c>
      <c r="G452" s="261" t="s">
        <v>14</v>
      </c>
      <c r="H452" s="258" t="s">
        <v>16</v>
      </c>
      <c r="I452" s="261">
        <v>801</v>
      </c>
      <c r="J452" s="261" t="s">
        <v>129</v>
      </c>
      <c r="K452" s="261" t="s">
        <v>123</v>
      </c>
      <c r="L452" s="258" t="s">
        <v>140</v>
      </c>
      <c r="M452" s="258" t="s">
        <v>133</v>
      </c>
    </row>
    <row r="453" spans="1:13" x14ac:dyDescent="0.2">
      <c r="A453" s="258" t="s">
        <v>138</v>
      </c>
      <c r="B453" s="258" t="s">
        <v>139</v>
      </c>
      <c r="C453" s="258" t="s">
        <v>17</v>
      </c>
      <c r="D453" s="258" t="s">
        <v>13</v>
      </c>
      <c r="E453" s="259">
        <v>43180</v>
      </c>
      <c r="F453" s="262">
        <v>994.39487999999994</v>
      </c>
      <c r="G453" s="261" t="s">
        <v>15</v>
      </c>
      <c r="H453" s="258" t="s">
        <v>16</v>
      </c>
      <c r="I453" s="261">
        <v>801</v>
      </c>
      <c r="J453" s="261" t="s">
        <v>129</v>
      </c>
      <c r="K453" s="261" t="s">
        <v>123</v>
      </c>
      <c r="L453" s="258" t="s">
        <v>140</v>
      </c>
      <c r="M453" s="258" t="s">
        <v>133</v>
      </c>
    </row>
    <row r="454" spans="1:13" x14ac:dyDescent="0.2">
      <c r="A454" s="258" t="s">
        <v>138</v>
      </c>
      <c r="B454" s="258" t="s">
        <v>139</v>
      </c>
      <c r="C454" s="258" t="s">
        <v>17</v>
      </c>
      <c r="D454" s="258" t="s">
        <v>13</v>
      </c>
      <c r="E454" s="259">
        <v>43173</v>
      </c>
      <c r="F454" s="260">
        <v>15.3664571</v>
      </c>
      <c r="G454" s="261" t="s">
        <v>14</v>
      </c>
      <c r="H454" s="258" t="s">
        <v>128</v>
      </c>
      <c r="I454" s="261">
        <v>801</v>
      </c>
      <c r="J454" s="261" t="s">
        <v>129</v>
      </c>
      <c r="K454" s="261" t="s">
        <v>123</v>
      </c>
      <c r="L454" s="258" t="s">
        <v>140</v>
      </c>
      <c r="M454" s="258" t="s">
        <v>128</v>
      </c>
    </row>
    <row r="455" spans="1:13" x14ac:dyDescent="0.2">
      <c r="A455" s="258" t="s">
        <v>138</v>
      </c>
      <c r="B455" s="258" t="s">
        <v>139</v>
      </c>
      <c r="C455" s="258" t="s">
        <v>17</v>
      </c>
      <c r="D455" s="258" t="s">
        <v>13</v>
      </c>
      <c r="E455" s="259">
        <v>43173</v>
      </c>
      <c r="F455" s="262">
        <v>1631.4291000000001</v>
      </c>
      <c r="G455" s="261" t="s">
        <v>15</v>
      </c>
      <c r="H455" s="258" t="s">
        <v>128</v>
      </c>
      <c r="I455" s="261">
        <v>801</v>
      </c>
      <c r="J455" s="261" t="s">
        <v>129</v>
      </c>
      <c r="K455" s="261" t="s">
        <v>123</v>
      </c>
      <c r="L455" s="258" t="s">
        <v>140</v>
      </c>
      <c r="M455" s="258" t="s">
        <v>128</v>
      </c>
    </row>
    <row r="456" spans="1:13" x14ac:dyDescent="0.2">
      <c r="A456" s="258" t="s">
        <v>138</v>
      </c>
      <c r="B456" s="258" t="s">
        <v>139</v>
      </c>
      <c r="C456" s="258" t="s">
        <v>17</v>
      </c>
      <c r="D456" s="258" t="s">
        <v>13</v>
      </c>
      <c r="E456" s="259">
        <v>43173</v>
      </c>
      <c r="F456" s="260">
        <v>9.43</v>
      </c>
      <c r="G456" s="261" t="s">
        <v>14</v>
      </c>
      <c r="H456" s="258" t="s">
        <v>16</v>
      </c>
      <c r="I456" s="261">
        <v>801</v>
      </c>
      <c r="J456" s="261" t="s">
        <v>129</v>
      </c>
      <c r="K456" s="261" t="s">
        <v>123</v>
      </c>
      <c r="L456" s="258" t="s">
        <v>140</v>
      </c>
      <c r="M456" s="258" t="s">
        <v>133</v>
      </c>
    </row>
    <row r="457" spans="1:13" x14ac:dyDescent="0.2">
      <c r="A457" s="258" t="s">
        <v>138</v>
      </c>
      <c r="B457" s="258" t="s">
        <v>139</v>
      </c>
      <c r="C457" s="258" t="s">
        <v>17</v>
      </c>
      <c r="D457" s="258" t="s">
        <v>13</v>
      </c>
      <c r="E457" s="259">
        <v>43173</v>
      </c>
      <c r="F457" s="262">
        <v>926.45223599999997</v>
      </c>
      <c r="G457" s="261" t="s">
        <v>15</v>
      </c>
      <c r="H457" s="258" t="s">
        <v>16</v>
      </c>
      <c r="I457" s="261">
        <v>801</v>
      </c>
      <c r="J457" s="261" t="s">
        <v>129</v>
      </c>
      <c r="K457" s="261" t="s">
        <v>123</v>
      </c>
      <c r="L457" s="258" t="s">
        <v>140</v>
      </c>
      <c r="M457" s="258" t="s">
        <v>133</v>
      </c>
    </row>
    <row r="458" spans="1:13" x14ac:dyDescent="0.2">
      <c r="A458" s="258" t="s">
        <v>138</v>
      </c>
      <c r="B458" s="258" t="s">
        <v>139</v>
      </c>
      <c r="C458" s="258" t="s">
        <v>17</v>
      </c>
      <c r="D458" s="258" t="s">
        <v>13</v>
      </c>
      <c r="E458" s="259">
        <v>43165</v>
      </c>
      <c r="F458" s="260">
        <v>17.481348300000001</v>
      </c>
      <c r="G458" s="261" t="s">
        <v>14</v>
      </c>
      <c r="H458" s="258" t="s">
        <v>128</v>
      </c>
      <c r="I458" s="261">
        <v>801</v>
      </c>
      <c r="J458" s="261" t="s">
        <v>129</v>
      </c>
      <c r="K458" s="261" t="s">
        <v>123</v>
      </c>
      <c r="L458" s="258" t="s">
        <v>140</v>
      </c>
      <c r="M458" s="258" t="s">
        <v>128</v>
      </c>
    </row>
    <row r="459" spans="1:13" x14ac:dyDescent="0.2">
      <c r="A459" s="258" t="s">
        <v>138</v>
      </c>
      <c r="B459" s="258" t="s">
        <v>139</v>
      </c>
      <c r="C459" s="258" t="s">
        <v>17</v>
      </c>
      <c r="D459" s="258" t="s">
        <v>13</v>
      </c>
      <c r="E459" s="259">
        <v>43165</v>
      </c>
      <c r="F459" s="262">
        <v>1946.3558399999999</v>
      </c>
      <c r="G459" s="261" t="s">
        <v>15</v>
      </c>
      <c r="H459" s="258" t="s">
        <v>128</v>
      </c>
      <c r="I459" s="261">
        <v>801</v>
      </c>
      <c r="J459" s="261" t="s">
        <v>129</v>
      </c>
      <c r="K459" s="261" t="s">
        <v>123</v>
      </c>
      <c r="L459" s="258" t="s">
        <v>140</v>
      </c>
      <c r="M459" s="258" t="s">
        <v>128</v>
      </c>
    </row>
    <row r="460" spans="1:13" x14ac:dyDescent="0.2">
      <c r="A460" s="258" t="s">
        <v>138</v>
      </c>
      <c r="B460" s="258" t="s">
        <v>139</v>
      </c>
      <c r="C460" s="258" t="s">
        <v>17</v>
      </c>
      <c r="D460" s="258" t="s">
        <v>13</v>
      </c>
      <c r="E460" s="259">
        <v>43165</v>
      </c>
      <c r="F460" s="260">
        <v>8.4499999999999993</v>
      </c>
      <c r="G460" s="261" t="s">
        <v>14</v>
      </c>
      <c r="H460" s="258" t="s">
        <v>16</v>
      </c>
      <c r="I460" s="261">
        <v>801</v>
      </c>
      <c r="J460" s="261" t="s">
        <v>129</v>
      </c>
      <c r="K460" s="261" t="s">
        <v>123</v>
      </c>
      <c r="L460" s="258" t="s">
        <v>140</v>
      </c>
      <c r="M460" s="258" t="s">
        <v>133</v>
      </c>
    </row>
    <row r="461" spans="1:13" x14ac:dyDescent="0.2">
      <c r="A461" s="258" t="s">
        <v>138</v>
      </c>
      <c r="B461" s="258" t="s">
        <v>139</v>
      </c>
      <c r="C461" s="258" t="s">
        <v>17</v>
      </c>
      <c r="D461" s="258" t="s">
        <v>13</v>
      </c>
      <c r="E461" s="259">
        <v>43165</v>
      </c>
      <c r="F461" s="262">
        <v>888.66453000000001</v>
      </c>
      <c r="G461" s="261" t="s">
        <v>15</v>
      </c>
      <c r="H461" s="258" t="s">
        <v>16</v>
      </c>
      <c r="I461" s="261">
        <v>801</v>
      </c>
      <c r="J461" s="261" t="s">
        <v>129</v>
      </c>
      <c r="K461" s="261" t="s">
        <v>123</v>
      </c>
      <c r="L461" s="258" t="s">
        <v>140</v>
      </c>
      <c r="M461" s="258" t="s">
        <v>133</v>
      </c>
    </row>
    <row r="462" spans="1:13" x14ac:dyDescent="0.2">
      <c r="A462" s="258" t="s">
        <v>138</v>
      </c>
      <c r="B462" s="258" t="s">
        <v>139</v>
      </c>
      <c r="C462" s="258" t="s">
        <v>17</v>
      </c>
      <c r="D462" s="258" t="s">
        <v>13</v>
      </c>
      <c r="E462" s="259">
        <v>43158</v>
      </c>
      <c r="F462" s="260">
        <v>12.6448334</v>
      </c>
      <c r="G462" s="261" t="s">
        <v>14</v>
      </c>
      <c r="H462" s="258" t="s">
        <v>128</v>
      </c>
      <c r="I462" s="261">
        <v>801</v>
      </c>
      <c r="J462" s="261" t="s">
        <v>129</v>
      </c>
      <c r="K462" s="261" t="s">
        <v>123</v>
      </c>
      <c r="L462" s="258" t="s">
        <v>140</v>
      </c>
      <c r="M462" s="258" t="s">
        <v>128</v>
      </c>
    </row>
    <row r="463" spans="1:13" x14ac:dyDescent="0.2">
      <c r="A463" s="258" t="s">
        <v>138</v>
      </c>
      <c r="B463" s="258" t="s">
        <v>139</v>
      </c>
      <c r="C463" s="258" t="s">
        <v>17</v>
      </c>
      <c r="D463" s="258" t="s">
        <v>13</v>
      </c>
      <c r="E463" s="259">
        <v>43158</v>
      </c>
      <c r="F463" s="262">
        <v>1488.0111240000001</v>
      </c>
      <c r="G463" s="261" t="s">
        <v>15</v>
      </c>
      <c r="H463" s="258" t="s">
        <v>128</v>
      </c>
      <c r="I463" s="261">
        <v>801</v>
      </c>
      <c r="J463" s="261" t="s">
        <v>129</v>
      </c>
      <c r="K463" s="261" t="s">
        <v>123</v>
      </c>
      <c r="L463" s="258" t="s">
        <v>140</v>
      </c>
      <c r="M463" s="258" t="s">
        <v>128</v>
      </c>
    </row>
    <row r="464" spans="1:13" x14ac:dyDescent="0.2">
      <c r="A464" s="258" t="s">
        <v>138</v>
      </c>
      <c r="B464" s="258" t="s">
        <v>139</v>
      </c>
      <c r="C464" s="258" t="s">
        <v>17</v>
      </c>
      <c r="D464" s="258" t="s">
        <v>13</v>
      </c>
      <c r="E464" s="259">
        <v>43158</v>
      </c>
      <c r="F464" s="260">
        <v>6.15</v>
      </c>
      <c r="G464" s="261" t="s">
        <v>14</v>
      </c>
      <c r="H464" s="258" t="s">
        <v>16</v>
      </c>
      <c r="I464" s="261">
        <v>801</v>
      </c>
      <c r="J464" s="261" t="s">
        <v>129</v>
      </c>
      <c r="K464" s="261" t="s">
        <v>123</v>
      </c>
      <c r="L464" s="258" t="s">
        <v>140</v>
      </c>
      <c r="M464" s="258" t="s">
        <v>133</v>
      </c>
    </row>
    <row r="465" spans="1:13" x14ac:dyDescent="0.2">
      <c r="A465" s="258" t="s">
        <v>138</v>
      </c>
      <c r="B465" s="258" t="s">
        <v>139</v>
      </c>
      <c r="C465" s="258" t="s">
        <v>17</v>
      </c>
      <c r="D465" s="258" t="s">
        <v>13</v>
      </c>
      <c r="E465" s="259">
        <v>43158</v>
      </c>
      <c r="F465" s="262">
        <v>654.47316000000001</v>
      </c>
      <c r="G465" s="261" t="s">
        <v>15</v>
      </c>
      <c r="H465" s="258" t="s">
        <v>16</v>
      </c>
      <c r="I465" s="261">
        <v>801</v>
      </c>
      <c r="J465" s="261" t="s">
        <v>129</v>
      </c>
      <c r="K465" s="261" t="s">
        <v>123</v>
      </c>
      <c r="L465" s="258" t="s">
        <v>140</v>
      </c>
      <c r="M465" s="258" t="s">
        <v>133</v>
      </c>
    </row>
    <row r="466" spans="1:13" x14ac:dyDescent="0.2">
      <c r="A466" s="258" t="s">
        <v>138</v>
      </c>
      <c r="B466" s="258" t="s">
        <v>139</v>
      </c>
      <c r="C466" s="258" t="s">
        <v>17</v>
      </c>
      <c r="D466" s="258" t="s">
        <v>13</v>
      </c>
      <c r="E466" s="259">
        <v>43151</v>
      </c>
      <c r="F466" s="260">
        <v>17.322085099999999</v>
      </c>
      <c r="G466" s="261" t="s">
        <v>14</v>
      </c>
      <c r="H466" s="258" t="s">
        <v>128</v>
      </c>
      <c r="I466" s="261">
        <v>801</v>
      </c>
      <c r="J466" s="261" t="s">
        <v>129</v>
      </c>
      <c r="K466" s="261" t="s">
        <v>123</v>
      </c>
      <c r="L466" s="258" t="s">
        <v>140</v>
      </c>
      <c r="M466" s="258" t="s">
        <v>128</v>
      </c>
    </row>
    <row r="467" spans="1:13" x14ac:dyDescent="0.2">
      <c r="A467" s="258" t="s">
        <v>138</v>
      </c>
      <c r="B467" s="258" t="s">
        <v>139</v>
      </c>
      <c r="C467" s="258" t="s">
        <v>17</v>
      </c>
      <c r="D467" s="258" t="s">
        <v>13</v>
      </c>
      <c r="E467" s="259">
        <v>43151</v>
      </c>
      <c r="F467" s="262">
        <v>2031.9675245999999</v>
      </c>
      <c r="G467" s="261" t="s">
        <v>15</v>
      </c>
      <c r="H467" s="258" t="s">
        <v>128</v>
      </c>
      <c r="I467" s="261">
        <v>801</v>
      </c>
      <c r="J467" s="261" t="s">
        <v>129</v>
      </c>
      <c r="K467" s="261" t="s">
        <v>123</v>
      </c>
      <c r="L467" s="258" t="s">
        <v>140</v>
      </c>
      <c r="M467" s="258" t="s">
        <v>128</v>
      </c>
    </row>
    <row r="468" spans="1:13" x14ac:dyDescent="0.2">
      <c r="A468" s="258" t="s">
        <v>138</v>
      </c>
      <c r="B468" s="258" t="s">
        <v>139</v>
      </c>
      <c r="C468" s="258" t="s">
        <v>17</v>
      </c>
      <c r="D468" s="258" t="s">
        <v>13</v>
      </c>
      <c r="E468" s="259">
        <v>43151</v>
      </c>
      <c r="F468" s="260">
        <v>7.76</v>
      </c>
      <c r="G468" s="261" t="s">
        <v>14</v>
      </c>
      <c r="H468" s="258" t="s">
        <v>16</v>
      </c>
      <c r="I468" s="261">
        <v>801</v>
      </c>
      <c r="J468" s="261" t="s">
        <v>129</v>
      </c>
      <c r="K468" s="261" t="s">
        <v>123</v>
      </c>
      <c r="L468" s="258" t="s">
        <v>140</v>
      </c>
      <c r="M468" s="258" t="s">
        <v>133</v>
      </c>
    </row>
    <row r="469" spans="1:13" x14ac:dyDescent="0.2">
      <c r="A469" s="258" t="s">
        <v>138</v>
      </c>
      <c r="B469" s="258" t="s">
        <v>139</v>
      </c>
      <c r="C469" s="258" t="s">
        <v>17</v>
      </c>
      <c r="D469" s="258" t="s">
        <v>13</v>
      </c>
      <c r="E469" s="259">
        <v>43151</v>
      </c>
      <c r="F469" s="262">
        <v>874.99276799999996</v>
      </c>
      <c r="G469" s="261" t="s">
        <v>15</v>
      </c>
      <c r="H469" s="258" t="s">
        <v>16</v>
      </c>
      <c r="I469" s="261">
        <v>801</v>
      </c>
      <c r="J469" s="261" t="s">
        <v>129</v>
      </c>
      <c r="K469" s="261" t="s">
        <v>123</v>
      </c>
      <c r="L469" s="258" t="s">
        <v>140</v>
      </c>
      <c r="M469" s="258" t="s">
        <v>133</v>
      </c>
    </row>
    <row r="470" spans="1:13" x14ac:dyDescent="0.2">
      <c r="A470" s="258" t="s">
        <v>138</v>
      </c>
      <c r="B470" s="258" t="s">
        <v>139</v>
      </c>
      <c r="C470" s="258" t="s">
        <v>17</v>
      </c>
      <c r="D470" s="258" t="s">
        <v>13</v>
      </c>
      <c r="E470" s="259">
        <v>43144</v>
      </c>
      <c r="F470" s="260">
        <v>12.179395</v>
      </c>
      <c r="G470" s="261" t="s">
        <v>14</v>
      </c>
      <c r="H470" s="258" t="s">
        <v>128</v>
      </c>
      <c r="I470" s="261">
        <v>801</v>
      </c>
      <c r="J470" s="261" t="s">
        <v>129</v>
      </c>
      <c r="K470" s="261" t="s">
        <v>123</v>
      </c>
      <c r="L470" s="258" t="s">
        <v>140</v>
      </c>
      <c r="M470" s="258" t="s">
        <v>128</v>
      </c>
    </row>
    <row r="471" spans="1:13" x14ac:dyDescent="0.2">
      <c r="A471" s="258" t="s">
        <v>138</v>
      </c>
      <c r="B471" s="258" t="s">
        <v>139</v>
      </c>
      <c r="C471" s="258" t="s">
        <v>17</v>
      </c>
      <c r="D471" s="258" t="s">
        <v>13</v>
      </c>
      <c r="E471" s="259">
        <v>43144</v>
      </c>
      <c r="F471" s="262">
        <v>1074.67572</v>
      </c>
      <c r="G471" s="261" t="s">
        <v>15</v>
      </c>
      <c r="H471" s="258" t="s">
        <v>128</v>
      </c>
      <c r="I471" s="261">
        <v>801</v>
      </c>
      <c r="J471" s="261" t="s">
        <v>129</v>
      </c>
      <c r="K471" s="261" t="s">
        <v>123</v>
      </c>
      <c r="L471" s="258" t="s">
        <v>140</v>
      </c>
      <c r="M471" s="258" t="s">
        <v>128</v>
      </c>
    </row>
    <row r="472" spans="1:13" x14ac:dyDescent="0.2">
      <c r="A472" s="258" t="s">
        <v>138</v>
      </c>
      <c r="B472" s="258" t="s">
        <v>139</v>
      </c>
      <c r="C472" s="258" t="s">
        <v>17</v>
      </c>
      <c r="D472" s="258" t="s">
        <v>13</v>
      </c>
      <c r="E472" s="259">
        <v>43144</v>
      </c>
      <c r="F472" s="260">
        <v>6.31</v>
      </c>
      <c r="G472" s="261" t="s">
        <v>14</v>
      </c>
      <c r="H472" s="258" t="s">
        <v>16</v>
      </c>
      <c r="I472" s="261">
        <v>801</v>
      </c>
      <c r="J472" s="261" t="s">
        <v>129</v>
      </c>
      <c r="K472" s="261" t="s">
        <v>123</v>
      </c>
      <c r="L472" s="258" t="s">
        <v>140</v>
      </c>
      <c r="M472" s="258" t="s">
        <v>133</v>
      </c>
    </row>
    <row r="473" spans="1:13" x14ac:dyDescent="0.2">
      <c r="A473" s="258" t="s">
        <v>138</v>
      </c>
      <c r="B473" s="258" t="s">
        <v>139</v>
      </c>
      <c r="C473" s="258" t="s">
        <v>17</v>
      </c>
      <c r="D473" s="258" t="s">
        <v>13</v>
      </c>
      <c r="E473" s="259">
        <v>43144</v>
      </c>
      <c r="F473" s="262">
        <v>540.46285799999998</v>
      </c>
      <c r="G473" s="261" t="s">
        <v>15</v>
      </c>
      <c r="H473" s="258" t="s">
        <v>16</v>
      </c>
      <c r="I473" s="261">
        <v>801</v>
      </c>
      <c r="J473" s="261" t="s">
        <v>129</v>
      </c>
      <c r="K473" s="261" t="s">
        <v>123</v>
      </c>
      <c r="L473" s="258" t="s">
        <v>140</v>
      </c>
      <c r="M473" s="258" t="s">
        <v>133</v>
      </c>
    </row>
    <row r="474" spans="1:13" x14ac:dyDescent="0.2">
      <c r="A474" s="258" t="s">
        <v>138</v>
      </c>
      <c r="B474" s="258" t="s">
        <v>139</v>
      </c>
      <c r="C474" s="258" t="s">
        <v>17</v>
      </c>
      <c r="D474" s="258" t="s">
        <v>13</v>
      </c>
      <c r="E474" s="259">
        <v>43137</v>
      </c>
      <c r="F474" s="260">
        <v>13.4139579</v>
      </c>
      <c r="G474" s="261" t="s">
        <v>14</v>
      </c>
      <c r="H474" s="258" t="s">
        <v>128</v>
      </c>
      <c r="I474" s="261">
        <v>801</v>
      </c>
      <c r="J474" s="261" t="s">
        <v>129</v>
      </c>
      <c r="K474" s="261" t="s">
        <v>123</v>
      </c>
      <c r="L474" s="258" t="s">
        <v>140</v>
      </c>
      <c r="M474" s="258" t="s">
        <v>128</v>
      </c>
    </row>
    <row r="475" spans="1:13" x14ac:dyDescent="0.2">
      <c r="A475" s="258" t="s">
        <v>138</v>
      </c>
      <c r="B475" s="258" t="s">
        <v>139</v>
      </c>
      <c r="C475" s="258" t="s">
        <v>17</v>
      </c>
      <c r="D475" s="258" t="s">
        <v>13</v>
      </c>
      <c r="E475" s="259">
        <v>43137</v>
      </c>
      <c r="F475" s="262">
        <v>1170.1854000000001</v>
      </c>
      <c r="G475" s="261" t="s">
        <v>15</v>
      </c>
      <c r="H475" s="258" t="s">
        <v>128</v>
      </c>
      <c r="I475" s="261">
        <v>801</v>
      </c>
      <c r="J475" s="261" t="s">
        <v>129</v>
      </c>
      <c r="K475" s="261" t="s">
        <v>123</v>
      </c>
      <c r="L475" s="258" t="s">
        <v>140</v>
      </c>
      <c r="M475" s="258" t="s">
        <v>128</v>
      </c>
    </row>
    <row r="476" spans="1:13" x14ac:dyDescent="0.2">
      <c r="A476" s="258" t="s">
        <v>138</v>
      </c>
      <c r="B476" s="258" t="s">
        <v>139</v>
      </c>
      <c r="C476" s="258" t="s">
        <v>17</v>
      </c>
      <c r="D476" s="258" t="s">
        <v>13</v>
      </c>
      <c r="E476" s="259">
        <v>43137</v>
      </c>
      <c r="F476" s="260">
        <v>9.64</v>
      </c>
      <c r="G476" s="261" t="s">
        <v>14</v>
      </c>
      <c r="H476" s="258" t="s">
        <v>16</v>
      </c>
      <c r="I476" s="261">
        <v>801</v>
      </c>
      <c r="J476" s="261" t="s">
        <v>129</v>
      </c>
      <c r="K476" s="261" t="s">
        <v>123</v>
      </c>
      <c r="L476" s="258" t="s">
        <v>140</v>
      </c>
      <c r="M476" s="258" t="s">
        <v>133</v>
      </c>
    </row>
    <row r="477" spans="1:13" x14ac:dyDescent="0.2">
      <c r="A477" s="258" t="s">
        <v>138</v>
      </c>
      <c r="B477" s="258" t="s">
        <v>139</v>
      </c>
      <c r="C477" s="258" t="s">
        <v>17</v>
      </c>
      <c r="D477" s="258" t="s">
        <v>13</v>
      </c>
      <c r="E477" s="259">
        <v>43137</v>
      </c>
      <c r="F477" s="262">
        <v>787.09250399999996</v>
      </c>
      <c r="G477" s="261" t="s">
        <v>15</v>
      </c>
      <c r="H477" s="258" t="s">
        <v>16</v>
      </c>
      <c r="I477" s="261">
        <v>801</v>
      </c>
      <c r="J477" s="261" t="s">
        <v>129</v>
      </c>
      <c r="K477" s="261" t="s">
        <v>123</v>
      </c>
      <c r="L477" s="258" t="s">
        <v>140</v>
      </c>
      <c r="M477" s="258" t="s">
        <v>133</v>
      </c>
    </row>
    <row r="478" spans="1:13" x14ac:dyDescent="0.2">
      <c r="A478" s="258" t="s">
        <v>138</v>
      </c>
      <c r="B478" s="258" t="s">
        <v>139</v>
      </c>
      <c r="C478" s="258" t="s">
        <v>17</v>
      </c>
      <c r="D478" s="258" t="s">
        <v>13</v>
      </c>
      <c r="E478" s="259">
        <v>43130</v>
      </c>
      <c r="F478" s="260">
        <v>17.3955555</v>
      </c>
      <c r="G478" s="261" t="s">
        <v>14</v>
      </c>
      <c r="H478" s="258" t="s">
        <v>128</v>
      </c>
      <c r="I478" s="261">
        <v>801</v>
      </c>
      <c r="J478" s="261" t="s">
        <v>129</v>
      </c>
      <c r="K478" s="261" t="s">
        <v>123</v>
      </c>
      <c r="L478" s="258" t="s">
        <v>140</v>
      </c>
      <c r="M478" s="258" t="s">
        <v>128</v>
      </c>
    </row>
    <row r="479" spans="1:13" x14ac:dyDescent="0.2">
      <c r="A479" s="258" t="s">
        <v>138</v>
      </c>
      <c r="B479" s="258" t="s">
        <v>139</v>
      </c>
      <c r="C479" s="258" t="s">
        <v>17</v>
      </c>
      <c r="D479" s="258" t="s">
        <v>13</v>
      </c>
      <c r="E479" s="259">
        <v>43130</v>
      </c>
      <c r="F479" s="262">
        <v>1762.70904</v>
      </c>
      <c r="G479" s="261" t="s">
        <v>15</v>
      </c>
      <c r="H479" s="258" t="s">
        <v>128</v>
      </c>
      <c r="I479" s="261">
        <v>801</v>
      </c>
      <c r="J479" s="261" t="s">
        <v>129</v>
      </c>
      <c r="K479" s="261" t="s">
        <v>123</v>
      </c>
      <c r="L479" s="258" t="s">
        <v>140</v>
      </c>
      <c r="M479" s="258" t="s">
        <v>128</v>
      </c>
    </row>
    <row r="480" spans="1:13" x14ac:dyDescent="0.2">
      <c r="A480" s="258" t="s">
        <v>138</v>
      </c>
      <c r="B480" s="258" t="s">
        <v>139</v>
      </c>
      <c r="C480" s="258" t="s">
        <v>17</v>
      </c>
      <c r="D480" s="258" t="s">
        <v>13</v>
      </c>
      <c r="E480" s="259">
        <v>43130</v>
      </c>
      <c r="F480" s="260">
        <v>9.1199999999999992</v>
      </c>
      <c r="G480" s="261" t="s">
        <v>14</v>
      </c>
      <c r="H480" s="258" t="s">
        <v>16</v>
      </c>
      <c r="I480" s="261">
        <v>801</v>
      </c>
      <c r="J480" s="261" t="s">
        <v>129</v>
      </c>
      <c r="K480" s="261" t="s">
        <v>123</v>
      </c>
      <c r="L480" s="258" t="s">
        <v>140</v>
      </c>
      <c r="M480" s="258" t="s">
        <v>133</v>
      </c>
    </row>
    <row r="481" spans="1:13" x14ac:dyDescent="0.2">
      <c r="A481" s="258" t="s">
        <v>138</v>
      </c>
      <c r="B481" s="258" t="s">
        <v>139</v>
      </c>
      <c r="C481" s="258" t="s">
        <v>17</v>
      </c>
      <c r="D481" s="258" t="s">
        <v>13</v>
      </c>
      <c r="E481" s="259">
        <v>43130</v>
      </c>
      <c r="F481" s="262">
        <v>867.85372800000005</v>
      </c>
      <c r="G481" s="261" t="s">
        <v>15</v>
      </c>
      <c r="H481" s="258" t="s">
        <v>16</v>
      </c>
      <c r="I481" s="261">
        <v>801</v>
      </c>
      <c r="J481" s="261" t="s">
        <v>129</v>
      </c>
      <c r="K481" s="261" t="s">
        <v>123</v>
      </c>
      <c r="L481" s="258" t="s">
        <v>140</v>
      </c>
      <c r="M481" s="258" t="s">
        <v>133</v>
      </c>
    </row>
    <row r="482" spans="1:13" x14ac:dyDescent="0.2">
      <c r="A482" s="258" t="s">
        <v>138</v>
      </c>
      <c r="B482" s="258" t="s">
        <v>139</v>
      </c>
      <c r="C482" s="258" t="s">
        <v>17</v>
      </c>
      <c r="D482" s="258" t="s">
        <v>13</v>
      </c>
      <c r="E482" s="259">
        <v>43123</v>
      </c>
      <c r="F482" s="260">
        <v>12.8377231</v>
      </c>
      <c r="G482" s="261" t="s">
        <v>14</v>
      </c>
      <c r="H482" s="258" t="s">
        <v>128</v>
      </c>
      <c r="I482" s="261">
        <v>801</v>
      </c>
      <c r="J482" s="261" t="s">
        <v>129</v>
      </c>
      <c r="K482" s="261" t="s">
        <v>123</v>
      </c>
      <c r="L482" s="258" t="s">
        <v>140</v>
      </c>
      <c r="M482" s="258" t="s">
        <v>128</v>
      </c>
    </row>
    <row r="483" spans="1:13" x14ac:dyDescent="0.2">
      <c r="A483" s="258" t="s">
        <v>138</v>
      </c>
      <c r="B483" s="258" t="s">
        <v>139</v>
      </c>
      <c r="C483" s="258" t="s">
        <v>17</v>
      </c>
      <c r="D483" s="258" t="s">
        <v>13</v>
      </c>
      <c r="E483" s="259">
        <v>43123</v>
      </c>
      <c r="F483" s="262">
        <v>1415.4205979999999</v>
      </c>
      <c r="G483" s="261" t="s">
        <v>15</v>
      </c>
      <c r="H483" s="258" t="s">
        <v>128</v>
      </c>
      <c r="I483" s="261">
        <v>801</v>
      </c>
      <c r="J483" s="261" t="s">
        <v>129</v>
      </c>
      <c r="K483" s="261" t="s">
        <v>123</v>
      </c>
      <c r="L483" s="258" t="s">
        <v>140</v>
      </c>
      <c r="M483" s="258" t="s">
        <v>128</v>
      </c>
    </row>
    <row r="484" spans="1:13" x14ac:dyDescent="0.2">
      <c r="A484" s="258" t="s">
        <v>138</v>
      </c>
      <c r="B484" s="258" t="s">
        <v>139</v>
      </c>
      <c r="C484" s="258" t="s">
        <v>17</v>
      </c>
      <c r="D484" s="258" t="s">
        <v>13</v>
      </c>
      <c r="E484" s="259">
        <v>43123</v>
      </c>
      <c r="F484" s="260">
        <v>7.86</v>
      </c>
      <c r="G484" s="261" t="s">
        <v>14</v>
      </c>
      <c r="H484" s="258" t="s">
        <v>16</v>
      </c>
      <c r="I484" s="261">
        <v>801</v>
      </c>
      <c r="J484" s="261" t="s">
        <v>129</v>
      </c>
      <c r="K484" s="261" t="s">
        <v>123</v>
      </c>
      <c r="L484" s="258" t="s">
        <v>140</v>
      </c>
      <c r="M484" s="258" t="s">
        <v>133</v>
      </c>
    </row>
    <row r="485" spans="1:13" x14ac:dyDescent="0.2">
      <c r="A485" s="258" t="s">
        <v>138</v>
      </c>
      <c r="B485" s="258" t="s">
        <v>139</v>
      </c>
      <c r="C485" s="258" t="s">
        <v>17</v>
      </c>
      <c r="D485" s="258" t="s">
        <v>13</v>
      </c>
      <c r="E485" s="259">
        <v>43123</v>
      </c>
      <c r="F485" s="262">
        <v>838.41519600000004</v>
      </c>
      <c r="G485" s="261" t="s">
        <v>15</v>
      </c>
      <c r="H485" s="258" t="s">
        <v>16</v>
      </c>
      <c r="I485" s="261">
        <v>801</v>
      </c>
      <c r="J485" s="261" t="s">
        <v>129</v>
      </c>
      <c r="K485" s="261" t="s">
        <v>123</v>
      </c>
      <c r="L485" s="258" t="s">
        <v>140</v>
      </c>
      <c r="M485" s="258" t="s">
        <v>133</v>
      </c>
    </row>
    <row r="486" spans="1:13" x14ac:dyDescent="0.2">
      <c r="A486" s="258" t="s">
        <v>138</v>
      </c>
      <c r="B486" s="258" t="s">
        <v>139</v>
      </c>
      <c r="C486" s="258" t="s">
        <v>17</v>
      </c>
      <c r="D486" s="258" t="s">
        <v>13</v>
      </c>
      <c r="E486" s="259">
        <v>43116</v>
      </c>
      <c r="F486" s="260">
        <v>13.940355800000001</v>
      </c>
      <c r="G486" s="261" t="s">
        <v>14</v>
      </c>
      <c r="H486" s="258" t="s">
        <v>128</v>
      </c>
      <c r="I486" s="261">
        <v>801</v>
      </c>
      <c r="J486" s="261" t="s">
        <v>129</v>
      </c>
      <c r="K486" s="261" t="s">
        <v>123</v>
      </c>
      <c r="L486" s="258" t="s">
        <v>140</v>
      </c>
      <c r="M486" s="258" t="s">
        <v>128</v>
      </c>
    </row>
    <row r="487" spans="1:13" x14ac:dyDescent="0.2">
      <c r="A487" s="258" t="s">
        <v>138</v>
      </c>
      <c r="B487" s="258" t="s">
        <v>139</v>
      </c>
      <c r="C487" s="258" t="s">
        <v>17</v>
      </c>
      <c r="D487" s="258" t="s">
        <v>13</v>
      </c>
      <c r="E487" s="259">
        <v>43116</v>
      </c>
      <c r="F487" s="262">
        <v>1241.6842200000001</v>
      </c>
      <c r="G487" s="261" t="s">
        <v>15</v>
      </c>
      <c r="H487" s="258" t="s">
        <v>128</v>
      </c>
      <c r="I487" s="261">
        <v>801</v>
      </c>
      <c r="J487" s="261" t="s">
        <v>129</v>
      </c>
      <c r="K487" s="261" t="s">
        <v>123</v>
      </c>
      <c r="L487" s="258" t="s">
        <v>140</v>
      </c>
      <c r="M487" s="258" t="s">
        <v>128</v>
      </c>
    </row>
    <row r="488" spans="1:13" x14ac:dyDescent="0.2">
      <c r="A488" s="258" t="s">
        <v>138</v>
      </c>
      <c r="B488" s="258" t="s">
        <v>139</v>
      </c>
      <c r="C488" s="258" t="s">
        <v>17</v>
      </c>
      <c r="D488" s="258" t="s">
        <v>13</v>
      </c>
      <c r="E488" s="259">
        <v>43116</v>
      </c>
      <c r="F488" s="260">
        <v>9.48</v>
      </c>
      <c r="G488" s="261" t="s">
        <v>14</v>
      </c>
      <c r="H488" s="258" t="s">
        <v>16</v>
      </c>
      <c r="I488" s="261">
        <v>801</v>
      </c>
      <c r="J488" s="261" t="s">
        <v>129</v>
      </c>
      <c r="K488" s="261" t="s">
        <v>123</v>
      </c>
      <c r="L488" s="258" t="s">
        <v>140</v>
      </c>
      <c r="M488" s="258" t="s">
        <v>133</v>
      </c>
    </row>
    <row r="489" spans="1:13" x14ac:dyDescent="0.2">
      <c r="A489" s="258" t="s">
        <v>138</v>
      </c>
      <c r="B489" s="258" t="s">
        <v>139</v>
      </c>
      <c r="C489" s="258" t="s">
        <v>17</v>
      </c>
      <c r="D489" s="258" t="s">
        <v>13</v>
      </c>
      <c r="E489" s="259">
        <v>43116</v>
      </c>
      <c r="F489" s="262">
        <v>772.44746399999997</v>
      </c>
      <c r="G489" s="261" t="s">
        <v>15</v>
      </c>
      <c r="H489" s="258" t="s">
        <v>16</v>
      </c>
      <c r="I489" s="261">
        <v>801</v>
      </c>
      <c r="J489" s="261" t="s">
        <v>129</v>
      </c>
      <c r="K489" s="261" t="s">
        <v>123</v>
      </c>
      <c r="L489" s="258" t="s">
        <v>140</v>
      </c>
      <c r="M489" s="258" t="s">
        <v>133</v>
      </c>
    </row>
    <row r="490" spans="1:13" x14ac:dyDescent="0.2">
      <c r="A490" s="258" t="s">
        <v>138</v>
      </c>
      <c r="B490" s="258" t="s">
        <v>139</v>
      </c>
      <c r="C490" s="258" t="s">
        <v>17</v>
      </c>
      <c r="D490" s="258" t="s">
        <v>13</v>
      </c>
      <c r="E490" s="259">
        <v>43109</v>
      </c>
      <c r="F490" s="260">
        <v>18.297255199999999</v>
      </c>
      <c r="G490" s="261" t="s">
        <v>14</v>
      </c>
      <c r="H490" s="258" t="s">
        <v>128</v>
      </c>
      <c r="I490" s="261">
        <v>801</v>
      </c>
      <c r="J490" s="261" t="s">
        <v>129</v>
      </c>
      <c r="K490" s="261" t="s">
        <v>123</v>
      </c>
      <c r="L490" s="258" t="s">
        <v>140</v>
      </c>
      <c r="M490" s="258" t="s">
        <v>128</v>
      </c>
    </row>
    <row r="491" spans="1:13" x14ac:dyDescent="0.2">
      <c r="A491" s="258" t="s">
        <v>138</v>
      </c>
      <c r="B491" s="258" t="s">
        <v>139</v>
      </c>
      <c r="C491" s="258" t="s">
        <v>17</v>
      </c>
      <c r="D491" s="258" t="s">
        <v>13</v>
      </c>
      <c r="E491" s="259">
        <v>43109</v>
      </c>
      <c r="F491" s="262">
        <v>1667.9082599999999</v>
      </c>
      <c r="G491" s="261" t="s">
        <v>15</v>
      </c>
      <c r="H491" s="258" t="s">
        <v>128</v>
      </c>
      <c r="I491" s="261">
        <v>801</v>
      </c>
      <c r="J491" s="261" t="s">
        <v>129</v>
      </c>
      <c r="K491" s="261" t="s">
        <v>123</v>
      </c>
      <c r="L491" s="258" t="s">
        <v>140</v>
      </c>
      <c r="M491" s="258" t="s">
        <v>128</v>
      </c>
    </row>
    <row r="492" spans="1:13" x14ac:dyDescent="0.2">
      <c r="A492" s="258" t="s">
        <v>138</v>
      </c>
      <c r="B492" s="258" t="s">
        <v>139</v>
      </c>
      <c r="C492" s="258" t="s">
        <v>17</v>
      </c>
      <c r="D492" s="258" t="s">
        <v>13</v>
      </c>
      <c r="E492" s="259">
        <v>43109</v>
      </c>
      <c r="F492" s="260">
        <v>30.4</v>
      </c>
      <c r="G492" s="261" t="s">
        <v>14</v>
      </c>
      <c r="H492" s="258" t="s">
        <v>16</v>
      </c>
      <c r="I492" s="261">
        <v>801</v>
      </c>
      <c r="J492" s="261" t="s">
        <v>129</v>
      </c>
      <c r="K492" s="261" t="s">
        <v>123</v>
      </c>
      <c r="L492" s="258" t="s">
        <v>140</v>
      </c>
      <c r="M492" s="258" t="s">
        <v>133</v>
      </c>
    </row>
    <row r="493" spans="1:13" x14ac:dyDescent="0.2">
      <c r="A493" s="258" t="s">
        <v>138</v>
      </c>
      <c r="B493" s="258" t="s">
        <v>139</v>
      </c>
      <c r="C493" s="258" t="s">
        <v>17</v>
      </c>
      <c r="D493" s="258" t="s">
        <v>13</v>
      </c>
      <c r="E493" s="259">
        <v>43109</v>
      </c>
      <c r="F493" s="264">
        <v>2689.509888</v>
      </c>
      <c r="G493" s="261" t="s">
        <v>15</v>
      </c>
      <c r="H493" s="258" t="s">
        <v>16</v>
      </c>
      <c r="I493" s="261">
        <v>801</v>
      </c>
      <c r="J493" s="261" t="s">
        <v>129</v>
      </c>
      <c r="K493" s="261" t="s">
        <v>123</v>
      </c>
      <c r="L493" s="258" t="s">
        <v>140</v>
      </c>
      <c r="M493" s="258" t="s">
        <v>133</v>
      </c>
    </row>
    <row r="494" spans="1:13" x14ac:dyDescent="0.2">
      <c r="A494" s="258" t="s">
        <v>138</v>
      </c>
      <c r="B494" s="258" t="s">
        <v>139</v>
      </c>
      <c r="C494" s="258" t="s">
        <v>17</v>
      </c>
      <c r="D494" s="258" t="s">
        <v>13</v>
      </c>
      <c r="E494" s="259">
        <v>43102</v>
      </c>
      <c r="F494" s="260">
        <v>25.619226900000001</v>
      </c>
      <c r="G494" s="261" t="s">
        <v>14</v>
      </c>
      <c r="H494" s="258" t="s">
        <v>128</v>
      </c>
      <c r="I494" s="261">
        <v>801</v>
      </c>
      <c r="J494" s="261" t="s">
        <v>129</v>
      </c>
      <c r="K494" s="261" t="s">
        <v>123</v>
      </c>
      <c r="L494" s="258" t="s">
        <v>140</v>
      </c>
      <c r="M494" s="258" t="s">
        <v>128</v>
      </c>
    </row>
    <row r="495" spans="1:13" x14ac:dyDescent="0.2">
      <c r="A495" s="258" t="s">
        <v>138</v>
      </c>
      <c r="B495" s="258" t="s">
        <v>139</v>
      </c>
      <c r="C495" s="258" t="s">
        <v>17</v>
      </c>
      <c r="D495" s="258" t="s">
        <v>13</v>
      </c>
      <c r="E495" s="259">
        <v>43102</v>
      </c>
      <c r="F495" s="262">
        <v>2155.8733200000001</v>
      </c>
      <c r="G495" s="261" t="s">
        <v>15</v>
      </c>
      <c r="H495" s="258" t="s">
        <v>128</v>
      </c>
      <c r="I495" s="261">
        <v>801</v>
      </c>
      <c r="J495" s="261" t="s">
        <v>129</v>
      </c>
      <c r="K495" s="261" t="s">
        <v>123</v>
      </c>
      <c r="L495" s="258" t="s">
        <v>140</v>
      </c>
      <c r="M495" s="258" t="s">
        <v>128</v>
      </c>
    </row>
    <row r="496" spans="1:13" x14ac:dyDescent="0.2">
      <c r="A496" s="258" t="s">
        <v>138</v>
      </c>
      <c r="B496" s="258" t="s">
        <v>139</v>
      </c>
      <c r="C496" s="258" t="s">
        <v>17</v>
      </c>
      <c r="D496" s="258" t="s">
        <v>13</v>
      </c>
      <c r="E496" s="259">
        <v>43102</v>
      </c>
      <c r="F496" s="260">
        <v>9.61</v>
      </c>
      <c r="G496" s="261" t="s">
        <v>14</v>
      </c>
      <c r="H496" s="258" t="s">
        <v>16</v>
      </c>
      <c r="I496" s="261">
        <v>801</v>
      </c>
      <c r="J496" s="261" t="s">
        <v>129</v>
      </c>
      <c r="K496" s="261" t="s">
        <v>123</v>
      </c>
      <c r="L496" s="258" t="s">
        <v>140</v>
      </c>
      <c r="M496" s="258" t="s">
        <v>133</v>
      </c>
    </row>
    <row r="497" spans="1:13" x14ac:dyDescent="0.2">
      <c r="A497" s="258" t="s">
        <v>138</v>
      </c>
      <c r="B497" s="258" t="s">
        <v>139</v>
      </c>
      <c r="C497" s="258" t="s">
        <v>17</v>
      </c>
      <c r="D497" s="258" t="s">
        <v>13</v>
      </c>
      <c r="E497" s="259">
        <v>43102</v>
      </c>
      <c r="F497" s="262">
        <v>786.245994</v>
      </c>
      <c r="G497" s="261" t="s">
        <v>15</v>
      </c>
      <c r="H497" s="258" t="s">
        <v>16</v>
      </c>
      <c r="I497" s="261">
        <v>801</v>
      </c>
      <c r="J497" s="261" t="s">
        <v>129</v>
      </c>
      <c r="K497" s="261" t="s">
        <v>123</v>
      </c>
      <c r="L497" s="258" t="s">
        <v>140</v>
      </c>
      <c r="M497" s="258" t="s">
        <v>133</v>
      </c>
    </row>
    <row r="498" spans="1:13" x14ac:dyDescent="0.2">
      <c r="A498" s="258" t="s">
        <v>138</v>
      </c>
      <c r="B498" s="258" t="s">
        <v>139</v>
      </c>
      <c r="C498" s="258" t="s">
        <v>17</v>
      </c>
      <c r="D498" s="258" t="s">
        <v>13</v>
      </c>
      <c r="E498" s="259">
        <v>43095</v>
      </c>
      <c r="F498" s="260">
        <v>10.073752600000001</v>
      </c>
      <c r="G498" s="261" t="s">
        <v>14</v>
      </c>
      <c r="H498" s="258" t="s">
        <v>128</v>
      </c>
      <c r="I498" s="261">
        <v>801</v>
      </c>
      <c r="J498" s="261" t="s">
        <v>129</v>
      </c>
      <c r="K498" s="261" t="s">
        <v>123</v>
      </c>
      <c r="L498" s="258" t="s">
        <v>140</v>
      </c>
      <c r="M498" s="258" t="s">
        <v>128</v>
      </c>
    </row>
    <row r="499" spans="1:13" x14ac:dyDescent="0.2">
      <c r="A499" s="258" t="s">
        <v>138</v>
      </c>
      <c r="B499" s="258" t="s">
        <v>139</v>
      </c>
      <c r="C499" s="258" t="s">
        <v>17</v>
      </c>
      <c r="D499" s="258" t="s">
        <v>13</v>
      </c>
      <c r="E499" s="259">
        <v>43095</v>
      </c>
      <c r="F499" s="262">
        <v>671.86873200000002</v>
      </c>
      <c r="G499" s="261" t="s">
        <v>15</v>
      </c>
      <c r="H499" s="258" t="s">
        <v>128</v>
      </c>
      <c r="I499" s="261">
        <v>801</v>
      </c>
      <c r="J499" s="261" t="s">
        <v>129</v>
      </c>
      <c r="K499" s="261" t="s">
        <v>123</v>
      </c>
      <c r="L499" s="258" t="s">
        <v>140</v>
      </c>
      <c r="M499" s="258" t="s">
        <v>128</v>
      </c>
    </row>
    <row r="500" spans="1:13" x14ac:dyDescent="0.2">
      <c r="A500" s="258" t="s">
        <v>138</v>
      </c>
      <c r="B500" s="258" t="s">
        <v>139</v>
      </c>
      <c r="C500" s="258" t="s">
        <v>17</v>
      </c>
      <c r="D500" s="258" t="s">
        <v>13</v>
      </c>
      <c r="E500" s="259">
        <v>43095</v>
      </c>
      <c r="F500" s="260">
        <v>7.5</v>
      </c>
      <c r="G500" s="261" t="s">
        <v>14</v>
      </c>
      <c r="H500" s="258" t="s">
        <v>16</v>
      </c>
      <c r="I500" s="261">
        <v>801</v>
      </c>
      <c r="J500" s="261" t="s">
        <v>129</v>
      </c>
      <c r="K500" s="261" t="s">
        <v>123</v>
      </c>
      <c r="L500" s="258" t="s">
        <v>140</v>
      </c>
      <c r="M500" s="258" t="s">
        <v>133</v>
      </c>
    </row>
    <row r="501" spans="1:13" x14ac:dyDescent="0.2">
      <c r="A501" s="258" t="s">
        <v>138</v>
      </c>
      <c r="B501" s="258" t="s">
        <v>139</v>
      </c>
      <c r="C501" s="258" t="s">
        <v>17</v>
      </c>
      <c r="D501" s="258" t="s">
        <v>13</v>
      </c>
      <c r="E501" s="259">
        <v>43095</v>
      </c>
      <c r="F501" s="262">
        <v>464.74650000000003</v>
      </c>
      <c r="G501" s="261" t="s">
        <v>15</v>
      </c>
      <c r="H501" s="258" t="s">
        <v>16</v>
      </c>
      <c r="I501" s="261">
        <v>801</v>
      </c>
      <c r="J501" s="261" t="s">
        <v>129</v>
      </c>
      <c r="K501" s="261" t="s">
        <v>123</v>
      </c>
      <c r="L501" s="258" t="s">
        <v>140</v>
      </c>
      <c r="M501" s="258" t="s">
        <v>133</v>
      </c>
    </row>
    <row r="502" spans="1:13" x14ac:dyDescent="0.2">
      <c r="A502" s="258" t="s">
        <v>138</v>
      </c>
      <c r="B502" s="258" t="s">
        <v>139</v>
      </c>
      <c r="C502" s="258" t="s">
        <v>17</v>
      </c>
      <c r="D502" s="258" t="s">
        <v>13</v>
      </c>
      <c r="E502" s="259">
        <v>43087</v>
      </c>
      <c r="F502" s="260">
        <v>16.1498527</v>
      </c>
      <c r="G502" s="261" t="s">
        <v>14</v>
      </c>
      <c r="H502" s="258" t="s">
        <v>128</v>
      </c>
      <c r="I502" s="261">
        <v>801</v>
      </c>
      <c r="J502" s="261" t="s">
        <v>129</v>
      </c>
      <c r="K502" s="261" t="s">
        <v>123</v>
      </c>
      <c r="L502" s="258" t="s">
        <v>140</v>
      </c>
      <c r="M502" s="258" t="s">
        <v>128</v>
      </c>
    </row>
    <row r="503" spans="1:13" x14ac:dyDescent="0.2">
      <c r="A503" s="258" t="s">
        <v>138</v>
      </c>
      <c r="B503" s="258" t="s">
        <v>139</v>
      </c>
      <c r="C503" s="258" t="s">
        <v>17</v>
      </c>
      <c r="D503" s="258" t="s">
        <v>13</v>
      </c>
      <c r="E503" s="259">
        <v>43087</v>
      </c>
      <c r="F503" s="262">
        <v>1372.4887799999999</v>
      </c>
      <c r="G503" s="261" t="s">
        <v>15</v>
      </c>
      <c r="H503" s="258" t="s">
        <v>128</v>
      </c>
      <c r="I503" s="261">
        <v>801</v>
      </c>
      <c r="J503" s="261" t="s">
        <v>129</v>
      </c>
      <c r="K503" s="261" t="s">
        <v>123</v>
      </c>
      <c r="L503" s="258" t="s">
        <v>140</v>
      </c>
      <c r="M503" s="258" t="s">
        <v>128</v>
      </c>
    </row>
    <row r="504" spans="1:13" x14ac:dyDescent="0.2">
      <c r="A504" s="258" t="s">
        <v>138</v>
      </c>
      <c r="B504" s="258" t="s">
        <v>139</v>
      </c>
      <c r="C504" s="258" t="s">
        <v>17</v>
      </c>
      <c r="D504" s="258" t="s">
        <v>13</v>
      </c>
      <c r="E504" s="259">
        <v>43087</v>
      </c>
      <c r="F504" s="260">
        <v>20.3</v>
      </c>
      <c r="G504" s="261" t="s">
        <v>14</v>
      </c>
      <c r="H504" s="258" t="s">
        <v>16</v>
      </c>
      <c r="I504" s="261">
        <v>801</v>
      </c>
      <c r="J504" s="261" t="s">
        <v>129</v>
      </c>
      <c r="K504" s="261" t="s">
        <v>123</v>
      </c>
      <c r="L504" s="258" t="s">
        <v>140</v>
      </c>
      <c r="M504" s="258" t="s">
        <v>133</v>
      </c>
    </row>
    <row r="505" spans="1:13" x14ac:dyDescent="0.2">
      <c r="A505" s="258" t="s">
        <v>138</v>
      </c>
      <c r="B505" s="258" t="s">
        <v>139</v>
      </c>
      <c r="C505" s="258" t="s">
        <v>17</v>
      </c>
      <c r="D505" s="258" t="s">
        <v>13</v>
      </c>
      <c r="E505" s="259">
        <v>43087</v>
      </c>
      <c r="F505" s="262">
        <v>1647.30846</v>
      </c>
      <c r="G505" s="261" t="s">
        <v>15</v>
      </c>
      <c r="H505" s="258" t="s">
        <v>16</v>
      </c>
      <c r="I505" s="261">
        <v>801</v>
      </c>
      <c r="J505" s="261" t="s">
        <v>129</v>
      </c>
      <c r="K505" s="261" t="s">
        <v>123</v>
      </c>
      <c r="L505" s="258" t="s">
        <v>140</v>
      </c>
      <c r="M505" s="258" t="s">
        <v>133</v>
      </c>
    </row>
    <row r="506" spans="1:13" x14ac:dyDescent="0.2">
      <c r="A506" s="258" t="s">
        <v>138</v>
      </c>
      <c r="B506" s="258" t="s">
        <v>139</v>
      </c>
      <c r="C506" s="258" t="s">
        <v>17</v>
      </c>
      <c r="D506" s="258" t="s">
        <v>13</v>
      </c>
      <c r="E506" s="259">
        <v>43081</v>
      </c>
      <c r="F506" s="260">
        <v>15.2462385</v>
      </c>
      <c r="G506" s="261" t="s">
        <v>14</v>
      </c>
      <c r="H506" s="258" t="s">
        <v>128</v>
      </c>
      <c r="I506" s="261">
        <v>801</v>
      </c>
      <c r="J506" s="261" t="s">
        <v>129</v>
      </c>
      <c r="K506" s="261" t="s">
        <v>123</v>
      </c>
      <c r="L506" s="258" t="s">
        <v>140</v>
      </c>
      <c r="M506" s="258" t="s">
        <v>128</v>
      </c>
    </row>
    <row r="507" spans="1:13" x14ac:dyDescent="0.2">
      <c r="A507" s="258" t="s">
        <v>138</v>
      </c>
      <c r="B507" s="258" t="s">
        <v>139</v>
      </c>
      <c r="C507" s="258" t="s">
        <v>17</v>
      </c>
      <c r="D507" s="258" t="s">
        <v>13</v>
      </c>
      <c r="E507" s="259">
        <v>43081</v>
      </c>
      <c r="F507" s="262">
        <v>1385.9745600000001</v>
      </c>
      <c r="G507" s="261" t="s">
        <v>15</v>
      </c>
      <c r="H507" s="258" t="s">
        <v>128</v>
      </c>
      <c r="I507" s="261">
        <v>801</v>
      </c>
      <c r="J507" s="261" t="s">
        <v>129</v>
      </c>
      <c r="K507" s="261" t="s">
        <v>123</v>
      </c>
      <c r="L507" s="258" t="s">
        <v>140</v>
      </c>
      <c r="M507" s="258" t="s">
        <v>128</v>
      </c>
    </row>
    <row r="508" spans="1:13" x14ac:dyDescent="0.2">
      <c r="A508" s="258" t="s">
        <v>138</v>
      </c>
      <c r="B508" s="258" t="s">
        <v>139</v>
      </c>
      <c r="C508" s="258" t="s">
        <v>17</v>
      </c>
      <c r="D508" s="258" t="s">
        <v>13</v>
      </c>
      <c r="E508" s="259">
        <v>43081</v>
      </c>
      <c r="F508" s="260">
        <v>9.82</v>
      </c>
      <c r="G508" s="261" t="s">
        <v>14</v>
      </c>
      <c r="H508" s="258" t="s">
        <v>16</v>
      </c>
      <c r="I508" s="261">
        <v>801</v>
      </c>
      <c r="J508" s="261" t="s">
        <v>129</v>
      </c>
      <c r="K508" s="261" t="s">
        <v>123</v>
      </c>
      <c r="L508" s="258" t="s">
        <v>140</v>
      </c>
      <c r="M508" s="258" t="s">
        <v>133</v>
      </c>
    </row>
    <row r="509" spans="1:13" x14ac:dyDescent="0.2">
      <c r="A509" s="258" t="s">
        <v>138</v>
      </c>
      <c r="B509" s="258" t="s">
        <v>139</v>
      </c>
      <c r="C509" s="258" t="s">
        <v>17</v>
      </c>
      <c r="D509" s="258" t="s">
        <v>13</v>
      </c>
      <c r="E509" s="259">
        <v>43081</v>
      </c>
      <c r="F509" s="262">
        <v>863.21335199999999</v>
      </c>
      <c r="G509" s="261" t="s">
        <v>15</v>
      </c>
      <c r="H509" s="258" t="s">
        <v>16</v>
      </c>
      <c r="I509" s="261">
        <v>801</v>
      </c>
      <c r="J509" s="261" t="s">
        <v>129</v>
      </c>
      <c r="K509" s="261" t="s">
        <v>123</v>
      </c>
      <c r="L509" s="258" t="s">
        <v>140</v>
      </c>
      <c r="M509" s="258" t="s">
        <v>133</v>
      </c>
    </row>
    <row r="510" spans="1:13" x14ac:dyDescent="0.2">
      <c r="A510" s="258" t="s">
        <v>138</v>
      </c>
      <c r="B510" s="258" t="s">
        <v>139</v>
      </c>
      <c r="C510" s="258" t="s">
        <v>17</v>
      </c>
      <c r="D510" s="258" t="s">
        <v>13</v>
      </c>
      <c r="E510" s="259">
        <v>43074</v>
      </c>
      <c r="F510" s="260">
        <v>27.3229753</v>
      </c>
      <c r="G510" s="261" t="s">
        <v>14</v>
      </c>
      <c r="H510" s="258" t="s">
        <v>128</v>
      </c>
      <c r="I510" s="261">
        <v>801</v>
      </c>
      <c r="J510" s="261" t="s">
        <v>129</v>
      </c>
      <c r="K510" s="261" t="s">
        <v>123</v>
      </c>
      <c r="L510" s="258" t="s">
        <v>140</v>
      </c>
      <c r="M510" s="258" t="s">
        <v>128</v>
      </c>
    </row>
    <row r="511" spans="1:13" x14ac:dyDescent="0.2">
      <c r="A511" s="258" t="s">
        <v>138</v>
      </c>
      <c r="B511" s="258" t="s">
        <v>139</v>
      </c>
      <c r="C511" s="258" t="s">
        <v>17</v>
      </c>
      <c r="D511" s="258" t="s">
        <v>13</v>
      </c>
      <c r="E511" s="259">
        <v>43074</v>
      </c>
      <c r="F511" s="262">
        <v>2588.64426</v>
      </c>
      <c r="G511" s="261" t="s">
        <v>15</v>
      </c>
      <c r="H511" s="258" t="s">
        <v>128</v>
      </c>
      <c r="I511" s="261">
        <v>801</v>
      </c>
      <c r="J511" s="261" t="s">
        <v>129</v>
      </c>
      <c r="K511" s="261" t="s">
        <v>123</v>
      </c>
      <c r="L511" s="258" t="s">
        <v>140</v>
      </c>
      <c r="M511" s="258" t="s">
        <v>128</v>
      </c>
    </row>
    <row r="512" spans="1:13" x14ac:dyDescent="0.2">
      <c r="A512" s="258" t="s">
        <v>138</v>
      </c>
      <c r="B512" s="258" t="s">
        <v>139</v>
      </c>
      <c r="C512" s="258" t="s">
        <v>17</v>
      </c>
      <c r="D512" s="258" t="s">
        <v>13</v>
      </c>
      <c r="E512" s="259">
        <v>43074</v>
      </c>
      <c r="F512" s="260">
        <v>10.3</v>
      </c>
      <c r="G512" s="261" t="s">
        <v>14</v>
      </c>
      <c r="H512" s="258" t="s">
        <v>16</v>
      </c>
      <c r="I512" s="261">
        <v>801</v>
      </c>
      <c r="J512" s="261" t="s">
        <v>129</v>
      </c>
      <c r="K512" s="261" t="s">
        <v>123</v>
      </c>
      <c r="L512" s="258" t="s">
        <v>140</v>
      </c>
      <c r="M512" s="258" t="s">
        <v>133</v>
      </c>
    </row>
    <row r="513" spans="1:13" x14ac:dyDescent="0.2">
      <c r="A513" s="258" t="s">
        <v>138</v>
      </c>
      <c r="B513" s="258" t="s">
        <v>139</v>
      </c>
      <c r="C513" s="258" t="s">
        <v>17</v>
      </c>
      <c r="D513" s="258" t="s">
        <v>13</v>
      </c>
      <c r="E513" s="259">
        <v>43074</v>
      </c>
      <c r="F513" s="262">
        <v>914.85630000000003</v>
      </c>
      <c r="G513" s="261" t="s">
        <v>15</v>
      </c>
      <c r="H513" s="258" t="s">
        <v>16</v>
      </c>
      <c r="I513" s="261">
        <v>801</v>
      </c>
      <c r="J513" s="261" t="s">
        <v>129</v>
      </c>
      <c r="K513" s="261" t="s">
        <v>123</v>
      </c>
      <c r="L513" s="258" t="s">
        <v>140</v>
      </c>
      <c r="M513" s="258" t="s">
        <v>133</v>
      </c>
    </row>
    <row r="514" spans="1:13" x14ac:dyDescent="0.2">
      <c r="A514" s="258" t="s">
        <v>138</v>
      </c>
      <c r="B514" s="258" t="s">
        <v>139</v>
      </c>
      <c r="C514" s="258" t="s">
        <v>17</v>
      </c>
      <c r="D514" s="258" t="s">
        <v>13</v>
      </c>
      <c r="E514" s="259">
        <v>43067</v>
      </c>
      <c r="F514" s="260">
        <v>18.314323600000002</v>
      </c>
      <c r="G514" s="261" t="s">
        <v>14</v>
      </c>
      <c r="H514" s="258" t="s">
        <v>128</v>
      </c>
      <c r="I514" s="261">
        <v>801</v>
      </c>
      <c r="J514" s="261" t="s">
        <v>129</v>
      </c>
      <c r="K514" s="261" t="s">
        <v>123</v>
      </c>
      <c r="L514" s="258" t="s">
        <v>140</v>
      </c>
      <c r="M514" s="258" t="s">
        <v>128</v>
      </c>
    </row>
    <row r="515" spans="1:13" x14ac:dyDescent="0.2">
      <c r="A515" s="258" t="s">
        <v>138</v>
      </c>
      <c r="B515" s="258" t="s">
        <v>139</v>
      </c>
      <c r="C515" s="258" t="s">
        <v>17</v>
      </c>
      <c r="D515" s="258" t="s">
        <v>13</v>
      </c>
      <c r="E515" s="259">
        <v>43067</v>
      </c>
      <c r="F515" s="262">
        <v>1727.5059000000001</v>
      </c>
      <c r="G515" s="261" t="s">
        <v>15</v>
      </c>
      <c r="H515" s="258" t="s">
        <v>128</v>
      </c>
      <c r="I515" s="261">
        <v>801</v>
      </c>
      <c r="J515" s="261" t="s">
        <v>129</v>
      </c>
      <c r="K515" s="261" t="s">
        <v>123</v>
      </c>
      <c r="L515" s="258" t="s">
        <v>140</v>
      </c>
      <c r="M515" s="258" t="s">
        <v>128</v>
      </c>
    </row>
    <row r="516" spans="1:13" x14ac:dyDescent="0.2">
      <c r="A516" s="258" t="s">
        <v>138</v>
      </c>
      <c r="B516" s="258" t="s">
        <v>139</v>
      </c>
      <c r="C516" s="258" t="s">
        <v>17</v>
      </c>
      <c r="D516" s="258" t="s">
        <v>13</v>
      </c>
      <c r="E516" s="259">
        <v>43067</v>
      </c>
      <c r="F516" s="260">
        <v>9.7899999999999991</v>
      </c>
      <c r="G516" s="261" t="s">
        <v>14</v>
      </c>
      <c r="H516" s="258" t="s">
        <v>16</v>
      </c>
      <c r="I516" s="261">
        <v>801</v>
      </c>
      <c r="J516" s="261" t="s">
        <v>129</v>
      </c>
      <c r="K516" s="261" t="s">
        <v>123</v>
      </c>
      <c r="L516" s="258" t="s">
        <v>140</v>
      </c>
      <c r="M516" s="258" t="s">
        <v>133</v>
      </c>
    </row>
    <row r="517" spans="1:13" x14ac:dyDescent="0.2">
      <c r="A517" s="258" t="s">
        <v>138</v>
      </c>
      <c r="B517" s="258" t="s">
        <v>139</v>
      </c>
      <c r="C517" s="258" t="s">
        <v>17</v>
      </c>
      <c r="D517" s="258" t="s">
        <v>13</v>
      </c>
      <c r="E517" s="259">
        <v>43067</v>
      </c>
      <c r="F517" s="262">
        <v>867.92461800000001</v>
      </c>
      <c r="G517" s="261" t="s">
        <v>15</v>
      </c>
      <c r="H517" s="258" t="s">
        <v>16</v>
      </c>
      <c r="I517" s="261">
        <v>801</v>
      </c>
      <c r="J517" s="261" t="s">
        <v>129</v>
      </c>
      <c r="K517" s="261" t="s">
        <v>123</v>
      </c>
      <c r="L517" s="258" t="s">
        <v>140</v>
      </c>
      <c r="M517" s="258" t="s">
        <v>133</v>
      </c>
    </row>
    <row r="518" spans="1:13" x14ac:dyDescent="0.2">
      <c r="A518" s="258" t="s">
        <v>138</v>
      </c>
      <c r="B518" s="258" t="s">
        <v>139</v>
      </c>
      <c r="C518" s="258" t="s">
        <v>17</v>
      </c>
      <c r="D518" s="258" t="s">
        <v>13</v>
      </c>
      <c r="E518" s="259">
        <v>43060</v>
      </c>
      <c r="F518" s="260">
        <v>13.9112446</v>
      </c>
      <c r="G518" s="261" t="s">
        <v>14</v>
      </c>
      <c r="H518" s="258" t="s">
        <v>128</v>
      </c>
      <c r="I518" s="261">
        <v>801</v>
      </c>
      <c r="J518" s="261" t="s">
        <v>129</v>
      </c>
      <c r="K518" s="261" t="s">
        <v>123</v>
      </c>
      <c r="L518" s="258" t="s">
        <v>140</v>
      </c>
      <c r="M518" s="258" t="s">
        <v>128</v>
      </c>
    </row>
    <row r="519" spans="1:13" x14ac:dyDescent="0.2">
      <c r="A519" s="258" t="s">
        <v>138</v>
      </c>
      <c r="B519" s="258" t="s">
        <v>139</v>
      </c>
      <c r="C519" s="258" t="s">
        <v>17</v>
      </c>
      <c r="D519" s="258" t="s">
        <v>13</v>
      </c>
      <c r="E519" s="259">
        <v>43060</v>
      </c>
      <c r="F519" s="262">
        <v>1351.6304399999999</v>
      </c>
      <c r="G519" s="261" t="s">
        <v>15</v>
      </c>
      <c r="H519" s="258" t="s">
        <v>128</v>
      </c>
      <c r="I519" s="261">
        <v>801</v>
      </c>
      <c r="J519" s="261" t="s">
        <v>129</v>
      </c>
      <c r="K519" s="261" t="s">
        <v>123</v>
      </c>
      <c r="L519" s="258" t="s">
        <v>140</v>
      </c>
      <c r="M519" s="258" t="s">
        <v>128</v>
      </c>
    </row>
    <row r="520" spans="1:13" x14ac:dyDescent="0.2">
      <c r="A520" s="258" t="s">
        <v>138</v>
      </c>
      <c r="B520" s="258" t="s">
        <v>139</v>
      </c>
      <c r="C520" s="258" t="s">
        <v>17</v>
      </c>
      <c r="D520" s="258" t="s">
        <v>13</v>
      </c>
      <c r="E520" s="259">
        <v>43060</v>
      </c>
      <c r="F520" s="260">
        <v>11.2</v>
      </c>
      <c r="G520" s="261" t="s">
        <v>14</v>
      </c>
      <c r="H520" s="258" t="s">
        <v>16</v>
      </c>
      <c r="I520" s="261">
        <v>801</v>
      </c>
      <c r="J520" s="261" t="s">
        <v>129</v>
      </c>
      <c r="K520" s="261" t="s">
        <v>123</v>
      </c>
      <c r="L520" s="258" t="s">
        <v>140</v>
      </c>
      <c r="M520" s="258" t="s">
        <v>133</v>
      </c>
    </row>
    <row r="521" spans="1:13" x14ac:dyDescent="0.2">
      <c r="A521" s="258" t="s">
        <v>138</v>
      </c>
      <c r="B521" s="258" t="s">
        <v>139</v>
      </c>
      <c r="C521" s="258" t="s">
        <v>17</v>
      </c>
      <c r="D521" s="258" t="s">
        <v>13</v>
      </c>
      <c r="E521" s="259">
        <v>43060</v>
      </c>
      <c r="F521" s="262">
        <v>1005.07008</v>
      </c>
      <c r="G521" s="261" t="s">
        <v>15</v>
      </c>
      <c r="H521" s="258" t="s">
        <v>16</v>
      </c>
      <c r="I521" s="261">
        <v>801</v>
      </c>
      <c r="J521" s="261" t="s">
        <v>129</v>
      </c>
      <c r="K521" s="261" t="s">
        <v>123</v>
      </c>
      <c r="L521" s="258" t="s">
        <v>140</v>
      </c>
      <c r="M521" s="258" t="s">
        <v>133</v>
      </c>
    </row>
    <row r="522" spans="1:13" x14ac:dyDescent="0.2">
      <c r="A522" s="258" t="s">
        <v>138</v>
      </c>
      <c r="B522" s="258" t="s">
        <v>139</v>
      </c>
      <c r="C522" s="258" t="s">
        <v>17</v>
      </c>
      <c r="D522" s="258" t="s">
        <v>13</v>
      </c>
      <c r="E522" s="259">
        <v>43053</v>
      </c>
      <c r="F522" s="260">
        <v>12.744472999999999</v>
      </c>
      <c r="G522" s="261" t="s">
        <v>14</v>
      </c>
      <c r="H522" s="258" t="s">
        <v>128</v>
      </c>
      <c r="I522" s="261">
        <v>801</v>
      </c>
      <c r="J522" s="261" t="s">
        <v>129</v>
      </c>
      <c r="K522" s="261" t="s">
        <v>123</v>
      </c>
      <c r="L522" s="258" t="s">
        <v>140</v>
      </c>
      <c r="M522" s="258" t="s">
        <v>128</v>
      </c>
    </row>
    <row r="523" spans="1:13" x14ac:dyDescent="0.2">
      <c r="A523" s="258" t="s">
        <v>138</v>
      </c>
      <c r="B523" s="258" t="s">
        <v>139</v>
      </c>
      <c r="C523" s="258" t="s">
        <v>17</v>
      </c>
      <c r="D523" s="258" t="s">
        <v>13</v>
      </c>
      <c r="E523" s="259">
        <v>43053</v>
      </c>
      <c r="F523" s="262">
        <v>1240.3915199999999</v>
      </c>
      <c r="G523" s="261" t="s">
        <v>15</v>
      </c>
      <c r="H523" s="258" t="s">
        <v>128</v>
      </c>
      <c r="I523" s="261">
        <v>801</v>
      </c>
      <c r="J523" s="261" t="s">
        <v>129</v>
      </c>
      <c r="K523" s="261" t="s">
        <v>123</v>
      </c>
      <c r="L523" s="258" t="s">
        <v>140</v>
      </c>
      <c r="M523" s="258" t="s">
        <v>128</v>
      </c>
    </row>
    <row r="524" spans="1:13" x14ac:dyDescent="0.2">
      <c r="A524" s="258" t="s">
        <v>138</v>
      </c>
      <c r="B524" s="258" t="s">
        <v>139</v>
      </c>
      <c r="C524" s="258" t="s">
        <v>17</v>
      </c>
      <c r="D524" s="258" t="s">
        <v>13</v>
      </c>
      <c r="E524" s="259">
        <v>43053</v>
      </c>
      <c r="F524" s="260">
        <v>10.7</v>
      </c>
      <c r="G524" s="261" t="s">
        <v>14</v>
      </c>
      <c r="H524" s="258" t="s">
        <v>16</v>
      </c>
      <c r="I524" s="261">
        <v>801</v>
      </c>
      <c r="J524" s="261" t="s">
        <v>129</v>
      </c>
      <c r="K524" s="261" t="s">
        <v>123</v>
      </c>
      <c r="L524" s="258" t="s">
        <v>140</v>
      </c>
      <c r="M524" s="258" t="s">
        <v>133</v>
      </c>
    </row>
    <row r="525" spans="1:13" x14ac:dyDescent="0.2">
      <c r="A525" s="258" t="s">
        <v>138</v>
      </c>
      <c r="B525" s="258" t="s">
        <v>139</v>
      </c>
      <c r="C525" s="258" t="s">
        <v>17</v>
      </c>
      <c r="D525" s="258" t="s">
        <v>13</v>
      </c>
      <c r="E525" s="259">
        <v>43053</v>
      </c>
      <c r="F525" s="262">
        <v>979.83324000000005</v>
      </c>
      <c r="G525" s="261" t="s">
        <v>15</v>
      </c>
      <c r="H525" s="258" t="s">
        <v>16</v>
      </c>
      <c r="I525" s="261">
        <v>801</v>
      </c>
      <c r="J525" s="261" t="s">
        <v>129</v>
      </c>
      <c r="K525" s="261" t="s">
        <v>123</v>
      </c>
      <c r="L525" s="258" t="s">
        <v>140</v>
      </c>
      <c r="M525" s="258" t="s">
        <v>133</v>
      </c>
    </row>
    <row r="526" spans="1:13" x14ac:dyDescent="0.2">
      <c r="A526" s="258" t="s">
        <v>138</v>
      </c>
      <c r="B526" s="258" t="s">
        <v>139</v>
      </c>
      <c r="C526" s="258" t="s">
        <v>17</v>
      </c>
      <c r="D526" s="258" t="s">
        <v>13</v>
      </c>
      <c r="E526" s="259">
        <v>43045</v>
      </c>
      <c r="F526" s="260">
        <v>15.594594499999999</v>
      </c>
      <c r="G526" s="261" t="s">
        <v>14</v>
      </c>
      <c r="H526" s="258" t="s">
        <v>128</v>
      </c>
      <c r="I526" s="261">
        <v>801</v>
      </c>
      <c r="J526" s="261" t="s">
        <v>129</v>
      </c>
      <c r="K526" s="261" t="s">
        <v>123</v>
      </c>
      <c r="L526" s="258" t="s">
        <v>140</v>
      </c>
      <c r="M526" s="258" t="s">
        <v>128</v>
      </c>
    </row>
    <row r="527" spans="1:13" x14ac:dyDescent="0.2">
      <c r="A527" s="258" t="s">
        <v>138</v>
      </c>
      <c r="B527" s="258" t="s">
        <v>139</v>
      </c>
      <c r="C527" s="258" t="s">
        <v>17</v>
      </c>
      <c r="D527" s="258" t="s">
        <v>13</v>
      </c>
      <c r="E527" s="259">
        <v>43045</v>
      </c>
      <c r="F527" s="262">
        <v>1443.654</v>
      </c>
      <c r="G527" s="261" t="s">
        <v>15</v>
      </c>
      <c r="H527" s="258" t="s">
        <v>128</v>
      </c>
      <c r="I527" s="261">
        <v>801</v>
      </c>
      <c r="J527" s="261" t="s">
        <v>129</v>
      </c>
      <c r="K527" s="261" t="s">
        <v>123</v>
      </c>
      <c r="L527" s="258" t="s">
        <v>140</v>
      </c>
      <c r="M527" s="258" t="s">
        <v>128</v>
      </c>
    </row>
    <row r="528" spans="1:13" x14ac:dyDescent="0.2">
      <c r="A528" s="258" t="s">
        <v>138</v>
      </c>
      <c r="B528" s="258" t="s">
        <v>139</v>
      </c>
      <c r="C528" s="258" t="s">
        <v>17</v>
      </c>
      <c r="D528" s="258" t="s">
        <v>13</v>
      </c>
      <c r="E528" s="259">
        <v>43045</v>
      </c>
      <c r="F528" s="260">
        <v>9.24</v>
      </c>
      <c r="G528" s="261" t="s">
        <v>14</v>
      </c>
      <c r="H528" s="258" t="s">
        <v>16</v>
      </c>
      <c r="I528" s="261">
        <v>801</v>
      </c>
      <c r="J528" s="261" t="s">
        <v>129</v>
      </c>
      <c r="K528" s="261" t="s">
        <v>123</v>
      </c>
      <c r="L528" s="258" t="s">
        <v>140</v>
      </c>
      <c r="M528" s="258" t="s">
        <v>133</v>
      </c>
    </row>
    <row r="529" spans="1:13" x14ac:dyDescent="0.2">
      <c r="A529" s="258" t="s">
        <v>138</v>
      </c>
      <c r="B529" s="258" t="s">
        <v>139</v>
      </c>
      <c r="C529" s="258" t="s">
        <v>17</v>
      </c>
      <c r="D529" s="258" t="s">
        <v>13</v>
      </c>
      <c r="E529" s="259">
        <v>43045</v>
      </c>
      <c r="F529" s="262">
        <v>819.16480799999999</v>
      </c>
      <c r="G529" s="261" t="s">
        <v>15</v>
      </c>
      <c r="H529" s="258" t="s">
        <v>16</v>
      </c>
      <c r="I529" s="261">
        <v>801</v>
      </c>
      <c r="J529" s="261" t="s">
        <v>129</v>
      </c>
      <c r="K529" s="261" t="s">
        <v>123</v>
      </c>
      <c r="L529" s="258" t="s">
        <v>140</v>
      </c>
      <c r="M529" s="258" t="s">
        <v>133</v>
      </c>
    </row>
    <row r="530" spans="1:13" x14ac:dyDescent="0.2">
      <c r="A530" s="258" t="s">
        <v>138</v>
      </c>
      <c r="B530" s="258" t="s">
        <v>139</v>
      </c>
      <c r="C530" s="258" t="s">
        <v>17</v>
      </c>
      <c r="D530" s="258" t="s">
        <v>13</v>
      </c>
      <c r="E530" s="259">
        <v>43039</v>
      </c>
      <c r="F530" s="260">
        <v>18.046006899999998</v>
      </c>
      <c r="G530" s="261" t="s">
        <v>14</v>
      </c>
      <c r="H530" s="258" t="s">
        <v>128</v>
      </c>
      <c r="I530" s="261">
        <v>801</v>
      </c>
      <c r="J530" s="261" t="s">
        <v>129</v>
      </c>
      <c r="K530" s="261" t="s">
        <v>123</v>
      </c>
      <c r="L530" s="258" t="s">
        <v>140</v>
      </c>
      <c r="M530" s="258" t="s">
        <v>128</v>
      </c>
    </row>
    <row r="531" spans="1:13" x14ac:dyDescent="0.2">
      <c r="A531" s="258" t="s">
        <v>138</v>
      </c>
      <c r="B531" s="258" t="s">
        <v>139</v>
      </c>
      <c r="C531" s="258" t="s">
        <v>17</v>
      </c>
      <c r="D531" s="258" t="s">
        <v>13</v>
      </c>
      <c r="E531" s="259">
        <v>43039</v>
      </c>
      <c r="F531" s="262">
        <v>1733.8026</v>
      </c>
      <c r="G531" s="261" t="s">
        <v>15</v>
      </c>
      <c r="H531" s="258" t="s">
        <v>128</v>
      </c>
      <c r="I531" s="261">
        <v>801</v>
      </c>
      <c r="J531" s="261" t="s">
        <v>129</v>
      </c>
      <c r="K531" s="261" t="s">
        <v>123</v>
      </c>
      <c r="L531" s="258" t="s">
        <v>140</v>
      </c>
      <c r="M531" s="258" t="s">
        <v>128</v>
      </c>
    </row>
    <row r="532" spans="1:13" x14ac:dyDescent="0.2">
      <c r="A532" s="258" t="s">
        <v>138</v>
      </c>
      <c r="B532" s="258" t="s">
        <v>139</v>
      </c>
      <c r="C532" s="258" t="s">
        <v>17</v>
      </c>
      <c r="D532" s="258" t="s">
        <v>13</v>
      </c>
      <c r="E532" s="259">
        <v>43039</v>
      </c>
      <c r="F532" s="260">
        <v>5.92</v>
      </c>
      <c r="G532" s="261" t="s">
        <v>14</v>
      </c>
      <c r="H532" s="258" t="s">
        <v>16</v>
      </c>
      <c r="I532" s="261">
        <v>801</v>
      </c>
      <c r="J532" s="261" t="s">
        <v>129</v>
      </c>
      <c r="K532" s="261" t="s">
        <v>123</v>
      </c>
      <c r="L532" s="258" t="s">
        <v>140</v>
      </c>
      <c r="M532" s="258" t="s">
        <v>133</v>
      </c>
    </row>
    <row r="533" spans="1:13" x14ac:dyDescent="0.2">
      <c r="A533" s="258" t="s">
        <v>138</v>
      </c>
      <c r="B533" s="258" t="s">
        <v>139</v>
      </c>
      <c r="C533" s="258" t="s">
        <v>17</v>
      </c>
      <c r="D533" s="258" t="s">
        <v>13</v>
      </c>
      <c r="E533" s="259">
        <v>43039</v>
      </c>
      <c r="F533" s="262">
        <v>547.544352</v>
      </c>
      <c r="G533" s="261" t="s">
        <v>15</v>
      </c>
      <c r="H533" s="258" t="s">
        <v>16</v>
      </c>
      <c r="I533" s="261">
        <v>801</v>
      </c>
      <c r="J533" s="261" t="s">
        <v>129</v>
      </c>
      <c r="K533" s="261" t="s">
        <v>123</v>
      </c>
      <c r="L533" s="258" t="s">
        <v>140</v>
      </c>
      <c r="M533" s="258" t="s">
        <v>133</v>
      </c>
    </row>
    <row r="534" spans="1:13" x14ac:dyDescent="0.2">
      <c r="A534" s="258" t="s">
        <v>138</v>
      </c>
      <c r="B534" s="258" t="s">
        <v>139</v>
      </c>
      <c r="C534" s="258" t="s">
        <v>17</v>
      </c>
      <c r="D534" s="258" t="s">
        <v>13</v>
      </c>
      <c r="E534" s="259">
        <v>43032</v>
      </c>
      <c r="F534" s="260">
        <v>13.4080906</v>
      </c>
      <c r="G534" s="261" t="s">
        <v>14</v>
      </c>
      <c r="H534" s="258" t="s">
        <v>128</v>
      </c>
      <c r="I534" s="261">
        <v>801</v>
      </c>
      <c r="J534" s="261" t="s">
        <v>129</v>
      </c>
      <c r="K534" s="261" t="s">
        <v>123</v>
      </c>
      <c r="L534" s="258" t="s">
        <v>140</v>
      </c>
      <c r="M534" s="258" t="s">
        <v>128</v>
      </c>
    </row>
    <row r="535" spans="1:13" x14ac:dyDescent="0.2">
      <c r="A535" s="258" t="s">
        <v>138</v>
      </c>
      <c r="B535" s="258" t="s">
        <v>139</v>
      </c>
      <c r="C535" s="258" t="s">
        <v>17</v>
      </c>
      <c r="D535" s="258" t="s">
        <v>13</v>
      </c>
      <c r="E535" s="259">
        <v>43032</v>
      </c>
      <c r="F535" s="262">
        <v>1382.13816</v>
      </c>
      <c r="G535" s="261" t="s">
        <v>15</v>
      </c>
      <c r="H535" s="258" t="s">
        <v>128</v>
      </c>
      <c r="I535" s="261">
        <v>801</v>
      </c>
      <c r="J535" s="261" t="s">
        <v>129</v>
      </c>
      <c r="K535" s="261" t="s">
        <v>123</v>
      </c>
      <c r="L535" s="258" t="s">
        <v>140</v>
      </c>
      <c r="M535" s="258" t="s">
        <v>128</v>
      </c>
    </row>
    <row r="536" spans="1:13" x14ac:dyDescent="0.2">
      <c r="A536" s="258" t="s">
        <v>138</v>
      </c>
      <c r="B536" s="258" t="s">
        <v>139</v>
      </c>
      <c r="C536" s="258" t="s">
        <v>17</v>
      </c>
      <c r="D536" s="258" t="s">
        <v>13</v>
      </c>
      <c r="E536" s="259">
        <v>43032</v>
      </c>
      <c r="F536" s="260">
        <v>9.0500000000000007</v>
      </c>
      <c r="G536" s="261" t="s">
        <v>14</v>
      </c>
      <c r="H536" s="258" t="s">
        <v>16</v>
      </c>
      <c r="I536" s="261">
        <v>801</v>
      </c>
      <c r="J536" s="261" t="s">
        <v>129</v>
      </c>
      <c r="K536" s="261" t="s">
        <v>123</v>
      </c>
      <c r="L536" s="258" t="s">
        <v>140</v>
      </c>
      <c r="M536" s="258" t="s">
        <v>133</v>
      </c>
    </row>
    <row r="537" spans="1:13" x14ac:dyDescent="0.2">
      <c r="A537" s="258" t="s">
        <v>138</v>
      </c>
      <c r="B537" s="258" t="s">
        <v>139</v>
      </c>
      <c r="C537" s="258" t="s">
        <v>17</v>
      </c>
      <c r="D537" s="258" t="s">
        <v>13</v>
      </c>
      <c r="E537" s="259">
        <v>43032</v>
      </c>
      <c r="F537" s="262">
        <v>918.55508999999995</v>
      </c>
      <c r="G537" s="261" t="s">
        <v>15</v>
      </c>
      <c r="H537" s="258" t="s">
        <v>16</v>
      </c>
      <c r="I537" s="261">
        <v>801</v>
      </c>
      <c r="J537" s="261" t="s">
        <v>129</v>
      </c>
      <c r="K537" s="261" t="s">
        <v>123</v>
      </c>
      <c r="L537" s="258" t="s">
        <v>140</v>
      </c>
      <c r="M537" s="258" t="s">
        <v>133</v>
      </c>
    </row>
    <row r="538" spans="1:13" x14ac:dyDescent="0.2">
      <c r="A538" s="258" t="s">
        <v>138</v>
      </c>
      <c r="B538" s="258" t="s">
        <v>139</v>
      </c>
      <c r="C538" s="258" t="s">
        <v>17</v>
      </c>
      <c r="D538" s="258" t="s">
        <v>13</v>
      </c>
      <c r="E538" s="259">
        <v>43025</v>
      </c>
      <c r="F538" s="260">
        <v>19.248993200000001</v>
      </c>
      <c r="G538" s="261" t="s">
        <v>14</v>
      </c>
      <c r="H538" s="258" t="s">
        <v>128</v>
      </c>
      <c r="I538" s="261">
        <v>801</v>
      </c>
      <c r="J538" s="261" t="s">
        <v>129</v>
      </c>
      <c r="K538" s="261" t="s">
        <v>123</v>
      </c>
      <c r="L538" s="258" t="s">
        <v>140</v>
      </c>
      <c r="M538" s="258" t="s">
        <v>128</v>
      </c>
    </row>
    <row r="539" spans="1:13" x14ac:dyDescent="0.2">
      <c r="A539" s="258" t="s">
        <v>138</v>
      </c>
      <c r="B539" s="258" t="s">
        <v>139</v>
      </c>
      <c r="C539" s="258" t="s">
        <v>17</v>
      </c>
      <c r="D539" s="258" t="s">
        <v>13</v>
      </c>
      <c r="E539" s="259">
        <v>43025</v>
      </c>
      <c r="F539" s="262">
        <v>1913.5963200000001</v>
      </c>
      <c r="G539" s="261" t="s">
        <v>15</v>
      </c>
      <c r="H539" s="258" t="s">
        <v>128</v>
      </c>
      <c r="I539" s="261">
        <v>801</v>
      </c>
      <c r="J539" s="261" t="s">
        <v>129</v>
      </c>
      <c r="K539" s="261" t="s">
        <v>123</v>
      </c>
      <c r="L539" s="258" t="s">
        <v>140</v>
      </c>
      <c r="M539" s="258" t="s">
        <v>128</v>
      </c>
    </row>
    <row r="540" spans="1:13" x14ac:dyDescent="0.2">
      <c r="A540" s="258" t="s">
        <v>138</v>
      </c>
      <c r="B540" s="258" t="s">
        <v>139</v>
      </c>
      <c r="C540" s="258" t="s">
        <v>17</v>
      </c>
      <c r="D540" s="258" t="s">
        <v>13</v>
      </c>
      <c r="E540" s="259">
        <v>43025</v>
      </c>
      <c r="F540" s="260">
        <v>7.91</v>
      </c>
      <c r="G540" s="261" t="s">
        <v>14</v>
      </c>
      <c r="H540" s="258" t="s">
        <v>16</v>
      </c>
      <c r="I540" s="261">
        <v>801</v>
      </c>
      <c r="J540" s="261" t="s">
        <v>129</v>
      </c>
      <c r="K540" s="261" t="s">
        <v>123</v>
      </c>
      <c r="L540" s="258" t="s">
        <v>140</v>
      </c>
      <c r="M540" s="258" t="s">
        <v>133</v>
      </c>
    </row>
    <row r="541" spans="1:13" x14ac:dyDescent="0.2">
      <c r="A541" s="258" t="s">
        <v>138</v>
      </c>
      <c r="B541" s="258" t="s">
        <v>139</v>
      </c>
      <c r="C541" s="258" t="s">
        <v>17</v>
      </c>
      <c r="D541" s="258" t="s">
        <v>13</v>
      </c>
      <c r="E541" s="259">
        <v>43025</v>
      </c>
      <c r="F541" s="262">
        <v>779.098614</v>
      </c>
      <c r="G541" s="261" t="s">
        <v>15</v>
      </c>
      <c r="H541" s="258" t="s">
        <v>16</v>
      </c>
      <c r="I541" s="261">
        <v>801</v>
      </c>
      <c r="J541" s="261" t="s">
        <v>129</v>
      </c>
      <c r="K541" s="261" t="s">
        <v>123</v>
      </c>
      <c r="L541" s="258" t="s">
        <v>140</v>
      </c>
      <c r="M541" s="258" t="s">
        <v>133</v>
      </c>
    </row>
    <row r="542" spans="1:13" x14ac:dyDescent="0.2">
      <c r="A542" s="258" t="s">
        <v>138</v>
      </c>
      <c r="B542" s="258" t="s">
        <v>139</v>
      </c>
      <c r="C542" s="258" t="s">
        <v>17</v>
      </c>
      <c r="D542" s="258" t="s">
        <v>13</v>
      </c>
      <c r="E542" s="259">
        <v>43018</v>
      </c>
      <c r="F542" s="260">
        <v>13.586126699999999</v>
      </c>
      <c r="G542" s="261" t="s">
        <v>14</v>
      </c>
      <c r="H542" s="258" t="s">
        <v>128</v>
      </c>
      <c r="I542" s="261">
        <v>801</v>
      </c>
      <c r="J542" s="261" t="s">
        <v>129</v>
      </c>
      <c r="K542" s="261" t="s">
        <v>123</v>
      </c>
      <c r="L542" s="258" t="s">
        <v>140</v>
      </c>
      <c r="M542" s="258" t="s">
        <v>128</v>
      </c>
    </row>
    <row r="543" spans="1:13" x14ac:dyDescent="0.2">
      <c r="A543" s="258" t="s">
        <v>138</v>
      </c>
      <c r="B543" s="258" t="s">
        <v>139</v>
      </c>
      <c r="C543" s="258" t="s">
        <v>17</v>
      </c>
      <c r="D543" s="258" t="s">
        <v>13</v>
      </c>
      <c r="E543" s="259">
        <v>43018</v>
      </c>
      <c r="F543" s="262">
        <v>1412.9544599999999</v>
      </c>
      <c r="G543" s="261" t="s">
        <v>15</v>
      </c>
      <c r="H543" s="258" t="s">
        <v>128</v>
      </c>
      <c r="I543" s="261">
        <v>801</v>
      </c>
      <c r="J543" s="261" t="s">
        <v>129</v>
      </c>
      <c r="K543" s="261" t="s">
        <v>123</v>
      </c>
      <c r="L543" s="258" t="s">
        <v>140</v>
      </c>
      <c r="M543" s="258" t="s">
        <v>128</v>
      </c>
    </row>
    <row r="544" spans="1:13" x14ac:dyDescent="0.2">
      <c r="A544" s="258" t="s">
        <v>138</v>
      </c>
      <c r="B544" s="258" t="s">
        <v>139</v>
      </c>
      <c r="C544" s="258" t="s">
        <v>17</v>
      </c>
      <c r="D544" s="258" t="s">
        <v>13</v>
      </c>
      <c r="E544" s="259">
        <v>43018</v>
      </c>
      <c r="F544" s="260">
        <v>9.01</v>
      </c>
      <c r="G544" s="261" t="s">
        <v>14</v>
      </c>
      <c r="H544" s="258" t="s">
        <v>16</v>
      </c>
      <c r="I544" s="261">
        <v>801</v>
      </c>
      <c r="J544" s="261" t="s">
        <v>129</v>
      </c>
      <c r="K544" s="261" t="s">
        <v>123</v>
      </c>
      <c r="L544" s="258" t="s">
        <v>140</v>
      </c>
      <c r="M544" s="258" t="s">
        <v>133</v>
      </c>
    </row>
    <row r="545" spans="1:13" x14ac:dyDescent="0.2">
      <c r="A545" s="258" t="s">
        <v>138</v>
      </c>
      <c r="B545" s="258" t="s">
        <v>139</v>
      </c>
      <c r="C545" s="258" t="s">
        <v>17</v>
      </c>
      <c r="D545" s="258" t="s">
        <v>13</v>
      </c>
      <c r="E545" s="259">
        <v>43018</v>
      </c>
      <c r="F545" s="262">
        <v>955.07261400000004</v>
      </c>
      <c r="G545" s="261" t="s">
        <v>15</v>
      </c>
      <c r="H545" s="258" t="s">
        <v>16</v>
      </c>
      <c r="I545" s="261">
        <v>801</v>
      </c>
      <c r="J545" s="261" t="s">
        <v>129</v>
      </c>
      <c r="K545" s="261" t="s">
        <v>123</v>
      </c>
      <c r="L545" s="258" t="s">
        <v>140</v>
      </c>
      <c r="M545" s="258" t="s">
        <v>133</v>
      </c>
    </row>
    <row r="546" spans="1:13" x14ac:dyDescent="0.2">
      <c r="A546" s="258" t="s">
        <v>138</v>
      </c>
      <c r="B546" s="258" t="s">
        <v>139</v>
      </c>
      <c r="C546" s="258" t="s">
        <v>17</v>
      </c>
      <c r="D546" s="258" t="s">
        <v>13</v>
      </c>
      <c r="E546" s="259">
        <v>43011</v>
      </c>
      <c r="F546" s="260">
        <v>13.4886894</v>
      </c>
      <c r="G546" s="261" t="s">
        <v>14</v>
      </c>
      <c r="H546" s="258" t="s">
        <v>128</v>
      </c>
      <c r="I546" s="261">
        <v>801</v>
      </c>
      <c r="J546" s="261" t="s">
        <v>129</v>
      </c>
      <c r="K546" s="261" t="s">
        <v>123</v>
      </c>
      <c r="L546" s="258" t="s">
        <v>140</v>
      </c>
      <c r="M546" s="258" t="s">
        <v>128</v>
      </c>
    </row>
    <row r="547" spans="1:13" x14ac:dyDescent="0.2">
      <c r="A547" s="258" t="s">
        <v>138</v>
      </c>
      <c r="B547" s="258" t="s">
        <v>139</v>
      </c>
      <c r="C547" s="258" t="s">
        <v>17</v>
      </c>
      <c r="D547" s="258" t="s">
        <v>13</v>
      </c>
      <c r="E547" s="259">
        <v>43011</v>
      </c>
      <c r="F547" s="262">
        <v>1253.2017599999999</v>
      </c>
      <c r="G547" s="261" t="s">
        <v>15</v>
      </c>
      <c r="H547" s="258" t="s">
        <v>128</v>
      </c>
      <c r="I547" s="261">
        <v>801</v>
      </c>
      <c r="J547" s="261" t="s">
        <v>129</v>
      </c>
      <c r="K547" s="261" t="s">
        <v>123</v>
      </c>
      <c r="L547" s="258" t="s">
        <v>140</v>
      </c>
      <c r="M547" s="258" t="s">
        <v>128</v>
      </c>
    </row>
    <row r="548" spans="1:13" x14ac:dyDescent="0.2">
      <c r="A548" s="258" t="s">
        <v>138</v>
      </c>
      <c r="B548" s="258" t="s">
        <v>139</v>
      </c>
      <c r="C548" s="258" t="s">
        <v>17</v>
      </c>
      <c r="D548" s="258" t="s">
        <v>13</v>
      </c>
      <c r="E548" s="259">
        <v>43011</v>
      </c>
      <c r="F548" s="260">
        <v>11</v>
      </c>
      <c r="G548" s="261" t="s">
        <v>14</v>
      </c>
      <c r="H548" s="258" t="s">
        <v>16</v>
      </c>
      <c r="I548" s="261">
        <v>801</v>
      </c>
      <c r="J548" s="261" t="s">
        <v>129</v>
      </c>
      <c r="K548" s="261" t="s">
        <v>123</v>
      </c>
      <c r="L548" s="258" t="s">
        <v>140</v>
      </c>
      <c r="M548" s="258" t="s">
        <v>133</v>
      </c>
    </row>
    <row r="549" spans="1:13" x14ac:dyDescent="0.2">
      <c r="A549" s="258" t="s">
        <v>138</v>
      </c>
      <c r="B549" s="258" t="s">
        <v>139</v>
      </c>
      <c r="C549" s="258" t="s">
        <v>17</v>
      </c>
      <c r="D549" s="258" t="s">
        <v>13</v>
      </c>
      <c r="E549" s="259">
        <v>43011</v>
      </c>
      <c r="F549" s="262">
        <v>1041.249</v>
      </c>
      <c r="G549" s="261" t="s">
        <v>15</v>
      </c>
      <c r="H549" s="258" t="s">
        <v>16</v>
      </c>
      <c r="I549" s="261">
        <v>801</v>
      </c>
      <c r="J549" s="261" t="s">
        <v>129</v>
      </c>
      <c r="K549" s="261" t="s">
        <v>123</v>
      </c>
      <c r="L549" s="258" t="s">
        <v>140</v>
      </c>
      <c r="M549" s="258" t="s">
        <v>133</v>
      </c>
    </row>
    <row r="550" spans="1:13" x14ac:dyDescent="0.2">
      <c r="A550" s="258" t="s">
        <v>138</v>
      </c>
      <c r="B550" s="258" t="s">
        <v>139</v>
      </c>
      <c r="C550" s="258" t="s">
        <v>17</v>
      </c>
      <c r="D550" s="258" t="s">
        <v>13</v>
      </c>
      <c r="E550" s="259">
        <v>43004</v>
      </c>
      <c r="F550" s="260">
        <v>18.579999999999998</v>
      </c>
      <c r="G550" s="261" t="s">
        <v>14</v>
      </c>
      <c r="H550" s="258" t="s">
        <v>128</v>
      </c>
      <c r="I550" s="261">
        <v>801</v>
      </c>
      <c r="J550" s="261" t="s">
        <v>129</v>
      </c>
      <c r="K550" s="261" t="s">
        <v>123</v>
      </c>
      <c r="L550" s="258" t="s">
        <v>140</v>
      </c>
      <c r="M550" s="258" t="s">
        <v>128</v>
      </c>
    </row>
    <row r="551" spans="1:13" x14ac:dyDescent="0.2">
      <c r="A551" s="258" t="s">
        <v>138</v>
      </c>
      <c r="B551" s="258" t="s">
        <v>139</v>
      </c>
      <c r="C551" s="258" t="s">
        <v>17</v>
      </c>
      <c r="D551" s="258" t="s">
        <v>13</v>
      </c>
      <c r="E551" s="259">
        <v>43004</v>
      </c>
      <c r="F551" s="262">
        <v>1654.942896</v>
      </c>
      <c r="G551" s="261" t="s">
        <v>15</v>
      </c>
      <c r="H551" s="258" t="s">
        <v>128</v>
      </c>
      <c r="I551" s="261">
        <v>801</v>
      </c>
      <c r="J551" s="261" t="s">
        <v>129</v>
      </c>
      <c r="K551" s="261" t="s">
        <v>123</v>
      </c>
      <c r="L551" s="258" t="s">
        <v>140</v>
      </c>
      <c r="M551" s="258" t="s">
        <v>128</v>
      </c>
    </row>
    <row r="552" spans="1:13" x14ac:dyDescent="0.2">
      <c r="A552" s="258" t="s">
        <v>138</v>
      </c>
      <c r="B552" s="258" t="s">
        <v>139</v>
      </c>
      <c r="C552" s="258" t="s">
        <v>17</v>
      </c>
      <c r="D552" s="258" t="s">
        <v>13</v>
      </c>
      <c r="E552" s="259">
        <v>43004</v>
      </c>
      <c r="F552" s="260">
        <v>9.93</v>
      </c>
      <c r="G552" s="261" t="s">
        <v>14</v>
      </c>
      <c r="H552" s="258" t="s">
        <v>16</v>
      </c>
      <c r="I552" s="261">
        <v>801</v>
      </c>
      <c r="J552" s="261" t="s">
        <v>129</v>
      </c>
      <c r="K552" s="261" t="s">
        <v>123</v>
      </c>
      <c r="L552" s="258" t="s">
        <v>140</v>
      </c>
      <c r="M552" s="258" t="s">
        <v>133</v>
      </c>
    </row>
    <row r="553" spans="1:13" x14ac:dyDescent="0.2">
      <c r="A553" s="258" t="s">
        <v>138</v>
      </c>
      <c r="B553" s="258" t="s">
        <v>139</v>
      </c>
      <c r="C553" s="258" t="s">
        <v>17</v>
      </c>
      <c r="D553" s="258" t="s">
        <v>13</v>
      </c>
      <c r="E553" s="259">
        <v>43004</v>
      </c>
      <c r="F553" s="262">
        <v>909.32187599999997</v>
      </c>
      <c r="G553" s="261" t="s">
        <v>15</v>
      </c>
      <c r="H553" s="258" t="s">
        <v>16</v>
      </c>
      <c r="I553" s="261">
        <v>801</v>
      </c>
      <c r="J553" s="261" t="s">
        <v>129</v>
      </c>
      <c r="K553" s="261" t="s">
        <v>123</v>
      </c>
      <c r="L553" s="258" t="s">
        <v>140</v>
      </c>
      <c r="M553" s="258" t="s">
        <v>133</v>
      </c>
    </row>
    <row r="554" spans="1:13" x14ac:dyDescent="0.2">
      <c r="A554" s="258" t="s">
        <v>138</v>
      </c>
      <c r="B554" s="258" t="s">
        <v>139</v>
      </c>
      <c r="C554" s="258" t="s">
        <v>17</v>
      </c>
      <c r="D554" s="258" t="s">
        <v>13</v>
      </c>
      <c r="E554" s="259">
        <v>42997</v>
      </c>
      <c r="F554" s="260">
        <v>17.920000000000002</v>
      </c>
      <c r="G554" s="261" t="s">
        <v>14</v>
      </c>
      <c r="H554" s="258" t="s">
        <v>128</v>
      </c>
      <c r="I554" s="261">
        <v>801</v>
      </c>
      <c r="J554" s="261" t="s">
        <v>129</v>
      </c>
      <c r="K554" s="261" t="s">
        <v>123</v>
      </c>
      <c r="L554" s="258" t="s">
        <v>140</v>
      </c>
      <c r="M554" s="258" t="s">
        <v>128</v>
      </c>
    </row>
    <row r="555" spans="1:13" x14ac:dyDescent="0.2">
      <c r="A555" s="258" t="s">
        <v>138</v>
      </c>
      <c r="B555" s="258" t="s">
        <v>139</v>
      </c>
      <c r="C555" s="258" t="s">
        <v>17</v>
      </c>
      <c r="D555" s="258" t="s">
        <v>13</v>
      </c>
      <c r="E555" s="259">
        <v>42997</v>
      </c>
      <c r="F555" s="262">
        <v>1657.431552</v>
      </c>
      <c r="G555" s="261" t="s">
        <v>15</v>
      </c>
      <c r="H555" s="258" t="s">
        <v>128</v>
      </c>
      <c r="I555" s="261">
        <v>801</v>
      </c>
      <c r="J555" s="261" t="s">
        <v>129</v>
      </c>
      <c r="K555" s="261" t="s">
        <v>123</v>
      </c>
      <c r="L555" s="258" t="s">
        <v>140</v>
      </c>
      <c r="M555" s="258" t="s">
        <v>128</v>
      </c>
    </row>
    <row r="556" spans="1:13" x14ac:dyDescent="0.2">
      <c r="A556" s="258" t="s">
        <v>138</v>
      </c>
      <c r="B556" s="258" t="s">
        <v>139</v>
      </c>
      <c r="C556" s="258" t="s">
        <v>17</v>
      </c>
      <c r="D556" s="258" t="s">
        <v>13</v>
      </c>
      <c r="E556" s="259">
        <v>42997</v>
      </c>
      <c r="F556" s="260">
        <v>10.199999999999999</v>
      </c>
      <c r="G556" s="261" t="s">
        <v>14</v>
      </c>
      <c r="H556" s="258" t="s">
        <v>16</v>
      </c>
      <c r="I556" s="261">
        <v>801</v>
      </c>
      <c r="J556" s="261" t="s">
        <v>129</v>
      </c>
      <c r="K556" s="261" t="s">
        <v>123</v>
      </c>
      <c r="L556" s="258" t="s">
        <v>140</v>
      </c>
      <c r="M556" s="258" t="s">
        <v>133</v>
      </c>
    </row>
    <row r="557" spans="1:13" x14ac:dyDescent="0.2">
      <c r="A557" s="258" t="s">
        <v>138</v>
      </c>
      <c r="B557" s="258" t="s">
        <v>139</v>
      </c>
      <c r="C557" s="258" t="s">
        <v>17</v>
      </c>
      <c r="D557" s="258" t="s">
        <v>13</v>
      </c>
      <c r="E557" s="259">
        <v>42997</v>
      </c>
      <c r="F557" s="262">
        <v>957.86568</v>
      </c>
      <c r="G557" s="261" t="s">
        <v>15</v>
      </c>
      <c r="H557" s="258" t="s">
        <v>16</v>
      </c>
      <c r="I557" s="261">
        <v>801</v>
      </c>
      <c r="J557" s="261" t="s">
        <v>129</v>
      </c>
      <c r="K557" s="261" t="s">
        <v>123</v>
      </c>
      <c r="L557" s="258" t="s">
        <v>140</v>
      </c>
      <c r="M557" s="258" t="s">
        <v>133</v>
      </c>
    </row>
    <row r="558" spans="1:13" x14ac:dyDescent="0.2">
      <c r="A558" s="258" t="s">
        <v>138</v>
      </c>
      <c r="B558" s="258" t="s">
        <v>139</v>
      </c>
      <c r="C558" s="258" t="s">
        <v>17</v>
      </c>
      <c r="D558" s="258" t="s">
        <v>13</v>
      </c>
      <c r="E558" s="259">
        <v>42990</v>
      </c>
      <c r="F558" s="260">
        <v>16.288</v>
      </c>
      <c r="G558" s="261" t="s">
        <v>14</v>
      </c>
      <c r="H558" s="258" t="s">
        <v>128</v>
      </c>
      <c r="I558" s="261">
        <v>801</v>
      </c>
      <c r="J558" s="261" t="s">
        <v>129</v>
      </c>
      <c r="K558" s="261" t="s">
        <v>123</v>
      </c>
      <c r="L558" s="258" t="s">
        <v>140</v>
      </c>
      <c r="M558" s="258" t="s">
        <v>128</v>
      </c>
    </row>
    <row r="559" spans="1:13" x14ac:dyDescent="0.2">
      <c r="A559" s="258" t="s">
        <v>138</v>
      </c>
      <c r="B559" s="258" t="s">
        <v>139</v>
      </c>
      <c r="C559" s="258" t="s">
        <v>17</v>
      </c>
      <c r="D559" s="258" t="s">
        <v>13</v>
      </c>
      <c r="E559" s="259">
        <v>42990</v>
      </c>
      <c r="F559" s="262">
        <v>1521.429504</v>
      </c>
      <c r="G559" s="261" t="s">
        <v>15</v>
      </c>
      <c r="H559" s="258" t="s">
        <v>128</v>
      </c>
      <c r="I559" s="261">
        <v>801</v>
      </c>
      <c r="J559" s="261" t="s">
        <v>129</v>
      </c>
      <c r="K559" s="261" t="s">
        <v>123</v>
      </c>
      <c r="L559" s="258" t="s">
        <v>140</v>
      </c>
      <c r="M559" s="258" t="s">
        <v>128</v>
      </c>
    </row>
    <row r="560" spans="1:13" x14ac:dyDescent="0.2">
      <c r="A560" s="258" t="s">
        <v>138</v>
      </c>
      <c r="B560" s="258" t="s">
        <v>139</v>
      </c>
      <c r="C560" s="258" t="s">
        <v>17</v>
      </c>
      <c r="D560" s="258" t="s">
        <v>13</v>
      </c>
      <c r="E560" s="259">
        <v>42990</v>
      </c>
      <c r="F560" s="260">
        <v>8.6999999999999993</v>
      </c>
      <c r="G560" s="261" t="s">
        <v>14</v>
      </c>
      <c r="H560" s="258" t="s">
        <v>16</v>
      </c>
      <c r="I560" s="261">
        <v>801</v>
      </c>
      <c r="J560" s="261" t="s">
        <v>129</v>
      </c>
      <c r="K560" s="261" t="s">
        <v>123</v>
      </c>
      <c r="L560" s="258" t="s">
        <v>140</v>
      </c>
      <c r="M560" s="258" t="s">
        <v>133</v>
      </c>
    </row>
    <row r="561" spans="1:13" x14ac:dyDescent="0.2">
      <c r="A561" s="258" t="s">
        <v>138</v>
      </c>
      <c r="B561" s="258" t="s">
        <v>139</v>
      </c>
      <c r="C561" s="258" t="s">
        <v>17</v>
      </c>
      <c r="D561" s="258" t="s">
        <v>13</v>
      </c>
      <c r="E561" s="259">
        <v>42990</v>
      </c>
      <c r="F561" s="262">
        <v>809.02170000000001</v>
      </c>
      <c r="G561" s="261" t="s">
        <v>15</v>
      </c>
      <c r="H561" s="258" t="s">
        <v>16</v>
      </c>
      <c r="I561" s="261">
        <v>801</v>
      </c>
      <c r="J561" s="261" t="s">
        <v>129</v>
      </c>
      <c r="K561" s="261" t="s">
        <v>123</v>
      </c>
      <c r="L561" s="258" t="s">
        <v>140</v>
      </c>
      <c r="M561" s="258" t="s">
        <v>133</v>
      </c>
    </row>
    <row r="562" spans="1:13" x14ac:dyDescent="0.2">
      <c r="A562" s="258" t="s">
        <v>138</v>
      </c>
      <c r="B562" s="258" t="s">
        <v>139</v>
      </c>
      <c r="C562" s="258" t="s">
        <v>17</v>
      </c>
      <c r="D562" s="258" t="s">
        <v>13</v>
      </c>
      <c r="E562" s="259">
        <v>42983</v>
      </c>
      <c r="F562" s="260">
        <v>13.59</v>
      </c>
      <c r="G562" s="261" t="s">
        <v>14</v>
      </c>
      <c r="H562" s="258" t="s">
        <v>128</v>
      </c>
      <c r="I562" s="261">
        <v>801</v>
      </c>
      <c r="J562" s="261" t="s">
        <v>129</v>
      </c>
      <c r="K562" s="261" t="s">
        <v>123</v>
      </c>
      <c r="L562" s="258" t="s">
        <v>140</v>
      </c>
      <c r="M562" s="258" t="s">
        <v>128</v>
      </c>
    </row>
    <row r="563" spans="1:13" x14ac:dyDescent="0.2">
      <c r="A563" s="258" t="s">
        <v>138</v>
      </c>
      <c r="B563" s="258" t="s">
        <v>139</v>
      </c>
      <c r="C563" s="258" t="s">
        <v>17</v>
      </c>
      <c r="D563" s="258" t="s">
        <v>13</v>
      </c>
      <c r="E563" s="259">
        <v>42983</v>
      </c>
      <c r="F563" s="262">
        <v>1156.07412</v>
      </c>
      <c r="G563" s="261" t="s">
        <v>15</v>
      </c>
      <c r="H563" s="258" t="s">
        <v>128</v>
      </c>
      <c r="I563" s="261">
        <v>801</v>
      </c>
      <c r="J563" s="261" t="s">
        <v>129</v>
      </c>
      <c r="K563" s="261" t="s">
        <v>123</v>
      </c>
      <c r="L563" s="258" t="s">
        <v>140</v>
      </c>
      <c r="M563" s="258" t="s">
        <v>128</v>
      </c>
    </row>
    <row r="564" spans="1:13" x14ac:dyDescent="0.2">
      <c r="A564" s="258" t="s">
        <v>138</v>
      </c>
      <c r="B564" s="258" t="s">
        <v>139</v>
      </c>
      <c r="C564" s="258" t="s">
        <v>17</v>
      </c>
      <c r="D564" s="258" t="s">
        <v>13</v>
      </c>
      <c r="E564" s="259">
        <v>42983</v>
      </c>
      <c r="F564" s="260">
        <v>9.99</v>
      </c>
      <c r="G564" s="261" t="s">
        <v>14</v>
      </c>
      <c r="H564" s="258" t="s">
        <v>16</v>
      </c>
      <c r="I564" s="261">
        <v>801</v>
      </c>
      <c r="J564" s="261" t="s">
        <v>129</v>
      </c>
      <c r="K564" s="261" t="s">
        <v>123</v>
      </c>
      <c r="L564" s="258" t="s">
        <v>140</v>
      </c>
      <c r="M564" s="258" t="s">
        <v>133</v>
      </c>
    </row>
    <row r="565" spans="1:13" x14ac:dyDescent="0.2">
      <c r="A565" s="258" t="s">
        <v>138</v>
      </c>
      <c r="B565" s="258" t="s">
        <v>139</v>
      </c>
      <c r="C565" s="258" t="s">
        <v>17</v>
      </c>
      <c r="D565" s="258" t="s">
        <v>13</v>
      </c>
      <c r="E565" s="259">
        <v>42983</v>
      </c>
      <c r="F565" s="262">
        <v>848.99615400000005</v>
      </c>
      <c r="G565" s="261" t="s">
        <v>15</v>
      </c>
      <c r="H565" s="258" t="s">
        <v>16</v>
      </c>
      <c r="I565" s="261">
        <v>801</v>
      </c>
      <c r="J565" s="261" t="s">
        <v>129</v>
      </c>
      <c r="K565" s="261" t="s">
        <v>123</v>
      </c>
      <c r="L565" s="258" t="s">
        <v>140</v>
      </c>
      <c r="M565" s="258" t="s">
        <v>133</v>
      </c>
    </row>
    <row r="566" spans="1:13" x14ac:dyDescent="0.2">
      <c r="A566" s="258" t="s">
        <v>138</v>
      </c>
      <c r="B566" s="258" t="s">
        <v>139</v>
      </c>
      <c r="C566" s="258" t="s">
        <v>17</v>
      </c>
      <c r="D566" s="258" t="s">
        <v>13</v>
      </c>
      <c r="E566" s="259">
        <v>42975</v>
      </c>
      <c r="F566" s="260">
        <v>14.23</v>
      </c>
      <c r="G566" s="261" t="s">
        <v>14</v>
      </c>
      <c r="H566" s="258" t="s">
        <v>128</v>
      </c>
      <c r="I566" s="261">
        <v>801</v>
      </c>
      <c r="J566" s="261" t="s">
        <v>129</v>
      </c>
      <c r="K566" s="261" t="s">
        <v>123</v>
      </c>
      <c r="L566" s="258" t="s">
        <v>140</v>
      </c>
      <c r="M566" s="258" t="s">
        <v>128</v>
      </c>
    </row>
    <row r="567" spans="1:13" x14ac:dyDescent="0.2">
      <c r="A567" s="258" t="s">
        <v>138</v>
      </c>
      <c r="B567" s="258" t="s">
        <v>139</v>
      </c>
      <c r="C567" s="258" t="s">
        <v>17</v>
      </c>
      <c r="D567" s="258" t="s">
        <v>13</v>
      </c>
      <c r="E567" s="259">
        <v>42975</v>
      </c>
      <c r="F567" s="262">
        <v>1240.1871900000001</v>
      </c>
      <c r="G567" s="261" t="s">
        <v>15</v>
      </c>
      <c r="H567" s="258" t="s">
        <v>128</v>
      </c>
      <c r="I567" s="261">
        <v>801</v>
      </c>
      <c r="J567" s="261" t="s">
        <v>129</v>
      </c>
      <c r="K567" s="261" t="s">
        <v>123</v>
      </c>
      <c r="L567" s="258" t="s">
        <v>140</v>
      </c>
      <c r="M567" s="258" t="s">
        <v>128</v>
      </c>
    </row>
    <row r="568" spans="1:13" x14ac:dyDescent="0.2">
      <c r="A568" s="258" t="s">
        <v>138</v>
      </c>
      <c r="B568" s="258" t="s">
        <v>139</v>
      </c>
      <c r="C568" s="258" t="s">
        <v>17</v>
      </c>
      <c r="D568" s="258" t="s">
        <v>13</v>
      </c>
      <c r="E568" s="259">
        <v>42975</v>
      </c>
      <c r="F568" s="260">
        <v>10.7</v>
      </c>
      <c r="G568" s="261" t="s">
        <v>14</v>
      </c>
      <c r="H568" s="258" t="s">
        <v>16</v>
      </c>
      <c r="I568" s="261">
        <v>801</v>
      </c>
      <c r="J568" s="261" t="s">
        <v>129</v>
      </c>
      <c r="K568" s="261" t="s">
        <v>123</v>
      </c>
      <c r="L568" s="258" t="s">
        <v>140</v>
      </c>
      <c r="M568" s="258" t="s">
        <v>133</v>
      </c>
    </row>
    <row r="569" spans="1:13" x14ac:dyDescent="0.2">
      <c r="A569" s="258" t="s">
        <v>138</v>
      </c>
      <c r="B569" s="258" t="s">
        <v>139</v>
      </c>
      <c r="C569" s="258" t="s">
        <v>17</v>
      </c>
      <c r="D569" s="258" t="s">
        <v>13</v>
      </c>
      <c r="E569" s="259">
        <v>42975</v>
      </c>
      <c r="F569" s="262">
        <v>934.32186000000002</v>
      </c>
      <c r="G569" s="261" t="s">
        <v>15</v>
      </c>
      <c r="H569" s="258" t="s">
        <v>16</v>
      </c>
      <c r="I569" s="261">
        <v>801</v>
      </c>
      <c r="J569" s="261" t="s">
        <v>129</v>
      </c>
      <c r="K569" s="261" t="s">
        <v>123</v>
      </c>
      <c r="L569" s="258" t="s">
        <v>140</v>
      </c>
      <c r="M569" s="258" t="s">
        <v>133</v>
      </c>
    </row>
    <row r="570" spans="1:13" x14ac:dyDescent="0.2">
      <c r="A570" s="258" t="s">
        <v>138</v>
      </c>
      <c r="B570" s="258" t="s">
        <v>139</v>
      </c>
      <c r="C570" s="258" t="s">
        <v>17</v>
      </c>
      <c r="D570" s="258" t="s">
        <v>13</v>
      </c>
      <c r="E570" s="259">
        <v>42970</v>
      </c>
      <c r="F570" s="260">
        <v>14.65</v>
      </c>
      <c r="G570" s="261" t="s">
        <v>14</v>
      </c>
      <c r="H570" s="258" t="s">
        <v>128</v>
      </c>
      <c r="I570" s="261">
        <v>801</v>
      </c>
      <c r="J570" s="261" t="s">
        <v>129</v>
      </c>
      <c r="K570" s="261" t="s">
        <v>123</v>
      </c>
      <c r="L570" s="258" t="s">
        <v>140</v>
      </c>
      <c r="M570" s="258" t="s">
        <v>128</v>
      </c>
    </row>
    <row r="571" spans="1:13" x14ac:dyDescent="0.2">
      <c r="A571" s="258" t="s">
        <v>138</v>
      </c>
      <c r="B571" s="258" t="s">
        <v>139</v>
      </c>
      <c r="C571" s="258" t="s">
        <v>17</v>
      </c>
      <c r="D571" s="258" t="s">
        <v>13</v>
      </c>
      <c r="E571" s="259">
        <v>42970</v>
      </c>
      <c r="F571" s="262">
        <v>1484.4991500000001</v>
      </c>
      <c r="G571" s="261" t="s">
        <v>15</v>
      </c>
      <c r="H571" s="258" t="s">
        <v>128</v>
      </c>
      <c r="I571" s="261">
        <v>801</v>
      </c>
      <c r="J571" s="261" t="s">
        <v>129</v>
      </c>
      <c r="K571" s="261" t="s">
        <v>123</v>
      </c>
      <c r="L571" s="258" t="s">
        <v>140</v>
      </c>
      <c r="M571" s="258" t="s">
        <v>128</v>
      </c>
    </row>
    <row r="572" spans="1:13" x14ac:dyDescent="0.2">
      <c r="A572" s="258" t="s">
        <v>138</v>
      </c>
      <c r="B572" s="258" t="s">
        <v>139</v>
      </c>
      <c r="C572" s="258" t="s">
        <v>17</v>
      </c>
      <c r="D572" s="258" t="s">
        <v>13</v>
      </c>
      <c r="E572" s="259">
        <v>42970</v>
      </c>
      <c r="F572" s="260">
        <v>10.6</v>
      </c>
      <c r="G572" s="261" t="s">
        <v>14</v>
      </c>
      <c r="H572" s="258" t="s">
        <v>16</v>
      </c>
      <c r="I572" s="261">
        <v>801</v>
      </c>
      <c r="J572" s="261" t="s">
        <v>129</v>
      </c>
      <c r="K572" s="261" t="s">
        <v>123</v>
      </c>
      <c r="L572" s="258" t="s">
        <v>140</v>
      </c>
      <c r="M572" s="258" t="s">
        <v>133</v>
      </c>
    </row>
    <row r="573" spans="1:13" x14ac:dyDescent="0.2">
      <c r="A573" s="258" t="s">
        <v>138</v>
      </c>
      <c r="B573" s="258" t="s">
        <v>139</v>
      </c>
      <c r="C573" s="258" t="s">
        <v>17</v>
      </c>
      <c r="D573" s="258" t="s">
        <v>13</v>
      </c>
      <c r="E573" s="259">
        <v>42970</v>
      </c>
      <c r="F573" s="262">
        <v>1048.47144</v>
      </c>
      <c r="G573" s="261" t="s">
        <v>15</v>
      </c>
      <c r="H573" s="258" t="s">
        <v>16</v>
      </c>
      <c r="I573" s="261">
        <v>801</v>
      </c>
      <c r="J573" s="261" t="s">
        <v>129</v>
      </c>
      <c r="K573" s="261" t="s">
        <v>123</v>
      </c>
      <c r="L573" s="258" t="s">
        <v>140</v>
      </c>
      <c r="M573" s="258" t="s">
        <v>133</v>
      </c>
    </row>
    <row r="574" spans="1:13" x14ac:dyDescent="0.2">
      <c r="A574" s="258" t="s">
        <v>138</v>
      </c>
      <c r="B574" s="258" t="s">
        <v>139</v>
      </c>
      <c r="C574" s="258" t="s">
        <v>17</v>
      </c>
      <c r="D574" s="258" t="s">
        <v>13</v>
      </c>
      <c r="E574" s="259">
        <v>42962</v>
      </c>
      <c r="F574" s="260">
        <v>27.47</v>
      </c>
      <c r="G574" s="261" t="s">
        <v>14</v>
      </c>
      <c r="H574" s="258" t="s">
        <v>128</v>
      </c>
      <c r="I574" s="261">
        <v>801</v>
      </c>
      <c r="J574" s="261" t="s">
        <v>129</v>
      </c>
      <c r="K574" s="261" t="s">
        <v>123</v>
      </c>
      <c r="L574" s="258" t="s">
        <v>140</v>
      </c>
      <c r="M574" s="258" t="s">
        <v>128</v>
      </c>
    </row>
    <row r="575" spans="1:13" x14ac:dyDescent="0.2">
      <c r="A575" s="258" t="s">
        <v>138</v>
      </c>
      <c r="B575" s="258" t="s">
        <v>139</v>
      </c>
      <c r="C575" s="258" t="s">
        <v>17</v>
      </c>
      <c r="D575" s="258" t="s">
        <v>13</v>
      </c>
      <c r="E575" s="259">
        <v>42962</v>
      </c>
      <c r="F575" s="262">
        <v>2575.0817520000001</v>
      </c>
      <c r="G575" s="261" t="s">
        <v>15</v>
      </c>
      <c r="H575" s="258" t="s">
        <v>128</v>
      </c>
      <c r="I575" s="261">
        <v>801</v>
      </c>
      <c r="J575" s="261" t="s">
        <v>129</v>
      </c>
      <c r="K575" s="261" t="s">
        <v>123</v>
      </c>
      <c r="L575" s="258" t="s">
        <v>140</v>
      </c>
      <c r="M575" s="258" t="s">
        <v>128</v>
      </c>
    </row>
    <row r="576" spans="1:13" x14ac:dyDescent="0.2">
      <c r="A576" s="258" t="s">
        <v>138</v>
      </c>
      <c r="B576" s="258" t="s">
        <v>139</v>
      </c>
      <c r="C576" s="258" t="s">
        <v>17</v>
      </c>
      <c r="D576" s="258" t="s">
        <v>13</v>
      </c>
      <c r="E576" s="259">
        <v>42962</v>
      </c>
      <c r="F576" s="260">
        <v>26</v>
      </c>
      <c r="G576" s="261" t="s">
        <v>14</v>
      </c>
      <c r="H576" s="258" t="s">
        <v>16</v>
      </c>
      <c r="I576" s="261">
        <v>801</v>
      </c>
      <c r="J576" s="261" t="s">
        <v>129</v>
      </c>
      <c r="K576" s="261" t="s">
        <v>123</v>
      </c>
      <c r="L576" s="258" t="s">
        <v>140</v>
      </c>
      <c r="M576" s="258" t="s">
        <v>133</v>
      </c>
    </row>
    <row r="577" spans="1:13" x14ac:dyDescent="0.2">
      <c r="A577" s="258" t="s">
        <v>138</v>
      </c>
      <c r="B577" s="258" t="s">
        <v>139</v>
      </c>
      <c r="C577" s="258" t="s">
        <v>17</v>
      </c>
      <c r="D577" s="258" t="s">
        <v>13</v>
      </c>
      <c r="E577" s="259">
        <v>42962</v>
      </c>
      <c r="F577" s="262">
        <v>2415.5976000000001</v>
      </c>
      <c r="G577" s="261" t="s">
        <v>15</v>
      </c>
      <c r="H577" s="258" t="s">
        <v>16</v>
      </c>
      <c r="I577" s="261">
        <v>801</v>
      </c>
      <c r="J577" s="261" t="s">
        <v>129</v>
      </c>
      <c r="K577" s="261" t="s">
        <v>123</v>
      </c>
      <c r="L577" s="258" t="s">
        <v>140</v>
      </c>
      <c r="M577" s="258" t="s">
        <v>133</v>
      </c>
    </row>
    <row r="578" spans="1:13" x14ac:dyDescent="0.2">
      <c r="A578" s="258" t="s">
        <v>138</v>
      </c>
      <c r="B578" s="258" t="s">
        <v>139</v>
      </c>
      <c r="C578" s="258" t="s">
        <v>17</v>
      </c>
      <c r="D578" s="258" t="s">
        <v>13</v>
      </c>
      <c r="E578" s="259">
        <v>42955</v>
      </c>
      <c r="F578" s="260">
        <v>16.79</v>
      </c>
      <c r="G578" s="261" t="s">
        <v>14</v>
      </c>
      <c r="H578" s="258" t="s">
        <v>128</v>
      </c>
      <c r="I578" s="261">
        <v>801</v>
      </c>
      <c r="J578" s="261" t="s">
        <v>129</v>
      </c>
      <c r="K578" s="261" t="s">
        <v>123</v>
      </c>
      <c r="L578" s="258" t="s">
        <v>140</v>
      </c>
      <c r="M578" s="258" t="s">
        <v>128</v>
      </c>
    </row>
    <row r="579" spans="1:13" x14ac:dyDescent="0.2">
      <c r="A579" s="258" t="s">
        <v>138</v>
      </c>
      <c r="B579" s="258" t="s">
        <v>139</v>
      </c>
      <c r="C579" s="258" t="s">
        <v>17</v>
      </c>
      <c r="D579" s="258" t="s">
        <v>13</v>
      </c>
      <c r="E579" s="259">
        <v>42955</v>
      </c>
      <c r="F579" s="262">
        <v>1592.125182</v>
      </c>
      <c r="G579" s="261" t="s">
        <v>15</v>
      </c>
      <c r="H579" s="258" t="s">
        <v>128</v>
      </c>
      <c r="I579" s="261">
        <v>801</v>
      </c>
      <c r="J579" s="261" t="s">
        <v>129</v>
      </c>
      <c r="K579" s="261" t="s">
        <v>123</v>
      </c>
      <c r="L579" s="258" t="s">
        <v>140</v>
      </c>
      <c r="M579" s="258" t="s">
        <v>128</v>
      </c>
    </row>
    <row r="580" spans="1:13" x14ac:dyDescent="0.2">
      <c r="A580" s="258" t="s">
        <v>138</v>
      </c>
      <c r="B580" s="258" t="s">
        <v>139</v>
      </c>
      <c r="C580" s="258" t="s">
        <v>17</v>
      </c>
      <c r="D580" s="258" t="s">
        <v>13</v>
      </c>
      <c r="E580" s="259">
        <v>42955</v>
      </c>
      <c r="F580" s="260">
        <v>8.64</v>
      </c>
      <c r="G580" s="261" t="s">
        <v>14</v>
      </c>
      <c r="H580" s="258" t="s">
        <v>16</v>
      </c>
      <c r="I580" s="261">
        <v>801</v>
      </c>
      <c r="J580" s="261" t="s">
        <v>129</v>
      </c>
      <c r="K580" s="261" t="s">
        <v>123</v>
      </c>
      <c r="L580" s="258" t="s">
        <v>140</v>
      </c>
      <c r="M580" s="258" t="s">
        <v>133</v>
      </c>
    </row>
    <row r="581" spans="1:13" x14ac:dyDescent="0.2">
      <c r="A581" s="258" t="s">
        <v>138</v>
      </c>
      <c r="B581" s="258" t="s">
        <v>139</v>
      </c>
      <c r="C581" s="258" t="s">
        <v>17</v>
      </c>
      <c r="D581" s="258" t="s">
        <v>13</v>
      </c>
      <c r="E581" s="259">
        <v>42955</v>
      </c>
      <c r="F581" s="262">
        <v>797.67763200000002</v>
      </c>
      <c r="G581" s="261" t="s">
        <v>15</v>
      </c>
      <c r="H581" s="258" t="s">
        <v>16</v>
      </c>
      <c r="I581" s="261">
        <v>801</v>
      </c>
      <c r="J581" s="261" t="s">
        <v>129</v>
      </c>
      <c r="K581" s="261" t="s">
        <v>123</v>
      </c>
      <c r="L581" s="258" t="s">
        <v>140</v>
      </c>
      <c r="M581" s="258" t="s">
        <v>133</v>
      </c>
    </row>
    <row r="582" spans="1:13" x14ac:dyDescent="0.2">
      <c r="A582" s="258" t="s">
        <v>138</v>
      </c>
      <c r="B582" s="258" t="s">
        <v>139</v>
      </c>
      <c r="C582" s="258" t="s">
        <v>17</v>
      </c>
      <c r="D582" s="258" t="s">
        <v>13</v>
      </c>
      <c r="E582" s="259">
        <v>42949</v>
      </c>
      <c r="F582" s="260">
        <v>15.34</v>
      </c>
      <c r="G582" s="261" t="s">
        <v>14</v>
      </c>
      <c r="H582" s="258" t="s">
        <v>128</v>
      </c>
      <c r="I582" s="261">
        <v>801</v>
      </c>
      <c r="J582" s="261" t="s">
        <v>129</v>
      </c>
      <c r="K582" s="261" t="s">
        <v>123</v>
      </c>
      <c r="L582" s="258" t="s">
        <v>140</v>
      </c>
      <c r="M582" s="258" t="s">
        <v>128</v>
      </c>
    </row>
    <row r="583" spans="1:13" x14ac:dyDescent="0.2">
      <c r="A583" s="258" t="s">
        <v>138</v>
      </c>
      <c r="B583" s="258" t="s">
        <v>139</v>
      </c>
      <c r="C583" s="258" t="s">
        <v>17</v>
      </c>
      <c r="D583" s="258" t="s">
        <v>13</v>
      </c>
      <c r="E583" s="259">
        <v>42949</v>
      </c>
      <c r="F583" s="262">
        <v>1594.0775759999999</v>
      </c>
      <c r="G583" s="261" t="s">
        <v>15</v>
      </c>
      <c r="H583" s="258" t="s">
        <v>128</v>
      </c>
      <c r="I583" s="261">
        <v>801</v>
      </c>
      <c r="J583" s="261" t="s">
        <v>129</v>
      </c>
      <c r="K583" s="261" t="s">
        <v>123</v>
      </c>
      <c r="L583" s="258" t="s">
        <v>140</v>
      </c>
      <c r="M583" s="258" t="s">
        <v>128</v>
      </c>
    </row>
    <row r="584" spans="1:13" x14ac:dyDescent="0.2">
      <c r="A584" s="258" t="s">
        <v>138</v>
      </c>
      <c r="B584" s="258" t="s">
        <v>139</v>
      </c>
      <c r="C584" s="258" t="s">
        <v>17</v>
      </c>
      <c r="D584" s="258" t="s">
        <v>13</v>
      </c>
      <c r="E584" s="259">
        <v>42949</v>
      </c>
      <c r="F584" s="260">
        <v>12.7</v>
      </c>
      <c r="G584" s="261" t="s">
        <v>14</v>
      </c>
      <c r="H584" s="258" t="s">
        <v>16</v>
      </c>
      <c r="I584" s="261">
        <v>801</v>
      </c>
      <c r="J584" s="261" t="s">
        <v>129</v>
      </c>
      <c r="K584" s="261" t="s">
        <v>123</v>
      </c>
      <c r="L584" s="258" t="s">
        <v>140</v>
      </c>
      <c r="M584" s="258" t="s">
        <v>133</v>
      </c>
    </row>
    <row r="585" spans="1:13" x14ac:dyDescent="0.2">
      <c r="A585" s="258" t="s">
        <v>138</v>
      </c>
      <c r="B585" s="258" t="s">
        <v>139</v>
      </c>
      <c r="C585" s="258" t="s">
        <v>17</v>
      </c>
      <c r="D585" s="258" t="s">
        <v>13</v>
      </c>
      <c r="E585" s="259">
        <v>42949</v>
      </c>
      <c r="F585" s="262">
        <v>1284.7853399999999</v>
      </c>
      <c r="G585" s="261" t="s">
        <v>15</v>
      </c>
      <c r="H585" s="258" t="s">
        <v>16</v>
      </c>
      <c r="I585" s="261">
        <v>801</v>
      </c>
      <c r="J585" s="261" t="s">
        <v>129</v>
      </c>
      <c r="K585" s="261" t="s">
        <v>123</v>
      </c>
      <c r="L585" s="258" t="s">
        <v>140</v>
      </c>
      <c r="M585" s="258" t="s">
        <v>133</v>
      </c>
    </row>
    <row r="586" spans="1:13" x14ac:dyDescent="0.2">
      <c r="A586" s="258" t="s">
        <v>138</v>
      </c>
      <c r="B586" s="258" t="s">
        <v>139</v>
      </c>
      <c r="C586" s="258" t="s">
        <v>17</v>
      </c>
      <c r="D586" s="258" t="s">
        <v>13</v>
      </c>
      <c r="E586" s="259">
        <v>42941</v>
      </c>
      <c r="F586" s="260">
        <v>19.12</v>
      </c>
      <c r="G586" s="261" t="s">
        <v>14</v>
      </c>
      <c r="H586" s="258" t="s">
        <v>128</v>
      </c>
      <c r="I586" s="261">
        <v>801</v>
      </c>
      <c r="J586" s="261" t="s">
        <v>129</v>
      </c>
      <c r="K586" s="261" t="s">
        <v>123</v>
      </c>
      <c r="L586" s="258" t="s">
        <v>140</v>
      </c>
      <c r="M586" s="258" t="s">
        <v>128</v>
      </c>
    </row>
    <row r="587" spans="1:13" x14ac:dyDescent="0.2">
      <c r="A587" s="258" t="s">
        <v>138</v>
      </c>
      <c r="B587" s="258" t="s">
        <v>139</v>
      </c>
      <c r="C587" s="258" t="s">
        <v>17</v>
      </c>
      <c r="D587" s="258" t="s">
        <v>13</v>
      </c>
      <c r="E587" s="259">
        <v>42941</v>
      </c>
      <c r="F587" s="262">
        <v>1942.232544</v>
      </c>
      <c r="G587" s="261" t="s">
        <v>15</v>
      </c>
      <c r="H587" s="258" t="s">
        <v>128</v>
      </c>
      <c r="I587" s="261">
        <v>801</v>
      </c>
      <c r="J587" s="261" t="s">
        <v>129</v>
      </c>
      <c r="K587" s="261" t="s">
        <v>123</v>
      </c>
      <c r="L587" s="258" t="s">
        <v>140</v>
      </c>
      <c r="M587" s="258" t="s">
        <v>128</v>
      </c>
    </row>
    <row r="588" spans="1:13" x14ac:dyDescent="0.2">
      <c r="A588" s="258" t="s">
        <v>138</v>
      </c>
      <c r="B588" s="258" t="s">
        <v>139</v>
      </c>
      <c r="C588" s="258" t="s">
        <v>17</v>
      </c>
      <c r="D588" s="258" t="s">
        <v>13</v>
      </c>
      <c r="E588" s="259">
        <v>42941</v>
      </c>
      <c r="F588" s="260">
        <v>9.2200000000000006</v>
      </c>
      <c r="G588" s="261" t="s">
        <v>14</v>
      </c>
      <c r="H588" s="258" t="s">
        <v>16</v>
      </c>
      <c r="I588" s="261">
        <v>801</v>
      </c>
      <c r="J588" s="261" t="s">
        <v>129</v>
      </c>
      <c r="K588" s="261" t="s">
        <v>123</v>
      </c>
      <c r="L588" s="258" t="s">
        <v>140</v>
      </c>
      <c r="M588" s="258" t="s">
        <v>133</v>
      </c>
    </row>
    <row r="589" spans="1:13" x14ac:dyDescent="0.2">
      <c r="A589" s="258" t="s">
        <v>138</v>
      </c>
      <c r="B589" s="258" t="s">
        <v>139</v>
      </c>
      <c r="C589" s="258" t="s">
        <v>17</v>
      </c>
      <c r="D589" s="258" t="s">
        <v>13</v>
      </c>
      <c r="E589" s="259">
        <v>42941</v>
      </c>
      <c r="F589" s="262">
        <v>937.34761200000003</v>
      </c>
      <c r="G589" s="261" t="s">
        <v>15</v>
      </c>
      <c r="H589" s="258" t="s">
        <v>16</v>
      </c>
      <c r="I589" s="261">
        <v>801</v>
      </c>
      <c r="J589" s="261" t="s">
        <v>129</v>
      </c>
      <c r="K589" s="261" t="s">
        <v>123</v>
      </c>
      <c r="L589" s="258" t="s">
        <v>140</v>
      </c>
      <c r="M589" s="258" t="s">
        <v>133</v>
      </c>
    </row>
    <row r="590" spans="1:13" x14ac:dyDescent="0.2">
      <c r="A590" s="258" t="s">
        <v>138</v>
      </c>
      <c r="B590" s="258" t="s">
        <v>139</v>
      </c>
      <c r="C590" s="258" t="s">
        <v>17</v>
      </c>
      <c r="D590" s="258" t="s">
        <v>13</v>
      </c>
      <c r="E590" s="259">
        <v>42934</v>
      </c>
      <c r="F590" s="260">
        <v>15.4</v>
      </c>
      <c r="G590" s="261" t="s">
        <v>14</v>
      </c>
      <c r="H590" s="258" t="s">
        <v>128</v>
      </c>
      <c r="I590" s="261">
        <v>801</v>
      </c>
      <c r="J590" s="261" t="s">
        <v>129</v>
      </c>
      <c r="K590" s="261" t="s">
        <v>123</v>
      </c>
      <c r="L590" s="258" t="s">
        <v>140</v>
      </c>
      <c r="M590" s="258" t="s">
        <v>128</v>
      </c>
    </row>
    <row r="591" spans="1:13" x14ac:dyDescent="0.2">
      <c r="A591" s="258" t="s">
        <v>138</v>
      </c>
      <c r="B591" s="258" t="s">
        <v>139</v>
      </c>
      <c r="C591" s="258" t="s">
        <v>17</v>
      </c>
      <c r="D591" s="258" t="s">
        <v>13</v>
      </c>
      <c r="E591" s="259">
        <v>42934</v>
      </c>
      <c r="F591" s="262">
        <v>1624.7154</v>
      </c>
      <c r="G591" s="261" t="s">
        <v>15</v>
      </c>
      <c r="H591" s="258" t="s">
        <v>128</v>
      </c>
      <c r="I591" s="261">
        <v>801</v>
      </c>
      <c r="J591" s="261" t="s">
        <v>129</v>
      </c>
      <c r="K591" s="261" t="s">
        <v>123</v>
      </c>
      <c r="L591" s="258" t="s">
        <v>140</v>
      </c>
      <c r="M591" s="258" t="s">
        <v>128</v>
      </c>
    </row>
    <row r="592" spans="1:13" x14ac:dyDescent="0.2">
      <c r="A592" s="258" t="s">
        <v>138</v>
      </c>
      <c r="B592" s="258" t="s">
        <v>139</v>
      </c>
      <c r="C592" s="258" t="s">
        <v>17</v>
      </c>
      <c r="D592" s="258" t="s">
        <v>13</v>
      </c>
      <c r="E592" s="259">
        <v>42934</v>
      </c>
      <c r="F592" s="260">
        <v>16</v>
      </c>
      <c r="G592" s="261" t="s">
        <v>14</v>
      </c>
      <c r="H592" s="258" t="s">
        <v>16</v>
      </c>
      <c r="I592" s="261">
        <v>801</v>
      </c>
      <c r="J592" s="261" t="s">
        <v>129</v>
      </c>
      <c r="K592" s="261" t="s">
        <v>123</v>
      </c>
      <c r="L592" s="258" t="s">
        <v>140</v>
      </c>
      <c r="M592" s="258" t="s">
        <v>133</v>
      </c>
    </row>
    <row r="593" spans="1:13" x14ac:dyDescent="0.2">
      <c r="A593" s="258" t="s">
        <v>138</v>
      </c>
      <c r="B593" s="258" t="s">
        <v>139</v>
      </c>
      <c r="C593" s="258" t="s">
        <v>17</v>
      </c>
      <c r="D593" s="258" t="s">
        <v>13</v>
      </c>
      <c r="E593" s="259">
        <v>42934</v>
      </c>
      <c r="F593" s="262">
        <v>1678.6751999999999</v>
      </c>
      <c r="G593" s="261" t="s">
        <v>15</v>
      </c>
      <c r="H593" s="258" t="s">
        <v>16</v>
      </c>
      <c r="I593" s="261">
        <v>801</v>
      </c>
      <c r="J593" s="261" t="s">
        <v>129</v>
      </c>
      <c r="K593" s="261" t="s">
        <v>123</v>
      </c>
      <c r="L593" s="258" t="s">
        <v>140</v>
      </c>
      <c r="M593" s="258" t="s">
        <v>133</v>
      </c>
    </row>
    <row r="594" spans="1:13" x14ac:dyDescent="0.2">
      <c r="A594" s="258" t="s">
        <v>138</v>
      </c>
      <c r="B594" s="258" t="s">
        <v>139</v>
      </c>
      <c r="C594" s="258" t="s">
        <v>17</v>
      </c>
      <c r="D594" s="258" t="s">
        <v>13</v>
      </c>
      <c r="E594" s="259">
        <v>42927</v>
      </c>
      <c r="F594" s="260">
        <v>12.29</v>
      </c>
      <c r="G594" s="261" t="s">
        <v>14</v>
      </c>
      <c r="H594" s="258" t="s">
        <v>128</v>
      </c>
      <c r="I594" s="261">
        <v>801</v>
      </c>
      <c r="J594" s="261" t="s">
        <v>129</v>
      </c>
      <c r="K594" s="261" t="s">
        <v>123</v>
      </c>
      <c r="L594" s="258" t="s">
        <v>140</v>
      </c>
      <c r="M594" s="258" t="s">
        <v>128</v>
      </c>
    </row>
    <row r="595" spans="1:13" x14ac:dyDescent="0.2">
      <c r="A595" s="258" t="s">
        <v>138</v>
      </c>
      <c r="B595" s="258" t="s">
        <v>139</v>
      </c>
      <c r="C595" s="258" t="s">
        <v>17</v>
      </c>
      <c r="D595" s="258" t="s">
        <v>13</v>
      </c>
      <c r="E595" s="259">
        <v>42927</v>
      </c>
      <c r="F595" s="262">
        <v>1364.2563660000001</v>
      </c>
      <c r="G595" s="261" t="s">
        <v>15</v>
      </c>
      <c r="H595" s="258" t="s">
        <v>128</v>
      </c>
      <c r="I595" s="261">
        <v>801</v>
      </c>
      <c r="J595" s="261" t="s">
        <v>129</v>
      </c>
      <c r="K595" s="261" t="s">
        <v>123</v>
      </c>
      <c r="L595" s="258" t="s">
        <v>140</v>
      </c>
      <c r="M595" s="258" t="s">
        <v>128</v>
      </c>
    </row>
    <row r="596" spans="1:13" x14ac:dyDescent="0.2">
      <c r="A596" s="258" t="s">
        <v>138</v>
      </c>
      <c r="B596" s="258" t="s">
        <v>139</v>
      </c>
      <c r="C596" s="258" t="s">
        <v>17</v>
      </c>
      <c r="D596" s="258" t="s">
        <v>13</v>
      </c>
      <c r="E596" s="259">
        <v>42927</v>
      </c>
      <c r="F596" s="260">
        <v>8.07</v>
      </c>
      <c r="G596" s="261" t="s">
        <v>14</v>
      </c>
      <c r="H596" s="258" t="s">
        <v>16</v>
      </c>
      <c r="I596" s="261">
        <v>801</v>
      </c>
      <c r="J596" s="261" t="s">
        <v>129</v>
      </c>
      <c r="K596" s="261" t="s">
        <v>123</v>
      </c>
      <c r="L596" s="258" t="s">
        <v>140</v>
      </c>
      <c r="M596" s="258" t="s">
        <v>133</v>
      </c>
    </row>
    <row r="597" spans="1:13" x14ac:dyDescent="0.2">
      <c r="A597" s="258" t="s">
        <v>138</v>
      </c>
      <c r="B597" s="258" t="s">
        <v>139</v>
      </c>
      <c r="C597" s="258" t="s">
        <v>17</v>
      </c>
      <c r="D597" s="258" t="s">
        <v>13</v>
      </c>
      <c r="E597" s="259">
        <v>42927</v>
      </c>
      <c r="F597" s="262">
        <v>887.06408399999998</v>
      </c>
      <c r="G597" s="261" t="s">
        <v>15</v>
      </c>
      <c r="H597" s="258" t="s">
        <v>16</v>
      </c>
      <c r="I597" s="261">
        <v>801</v>
      </c>
      <c r="J597" s="261" t="s">
        <v>129</v>
      </c>
      <c r="K597" s="261" t="s">
        <v>123</v>
      </c>
      <c r="L597" s="258" t="s">
        <v>140</v>
      </c>
      <c r="M597" s="258" t="s">
        <v>133</v>
      </c>
    </row>
    <row r="598" spans="1:13" x14ac:dyDescent="0.2">
      <c r="A598" s="258" t="s">
        <v>138</v>
      </c>
      <c r="B598" s="258" t="s">
        <v>139</v>
      </c>
      <c r="C598" s="258" t="s">
        <v>17</v>
      </c>
      <c r="D598" s="258" t="s">
        <v>13</v>
      </c>
      <c r="E598" s="259">
        <v>42920</v>
      </c>
      <c r="F598" s="260">
        <v>12.01</v>
      </c>
      <c r="G598" s="261" t="s">
        <v>14</v>
      </c>
      <c r="H598" s="258" t="s">
        <v>128</v>
      </c>
      <c r="I598" s="261">
        <v>801</v>
      </c>
      <c r="J598" s="261" t="s">
        <v>129</v>
      </c>
      <c r="K598" s="261" t="s">
        <v>123</v>
      </c>
      <c r="L598" s="258" t="s">
        <v>140</v>
      </c>
      <c r="M598" s="258" t="s">
        <v>128</v>
      </c>
    </row>
    <row r="599" spans="1:13" x14ac:dyDescent="0.2">
      <c r="A599" s="258" t="s">
        <v>138</v>
      </c>
      <c r="B599" s="258" t="s">
        <v>139</v>
      </c>
      <c r="C599" s="258" t="s">
        <v>17</v>
      </c>
      <c r="D599" s="258" t="s">
        <v>13</v>
      </c>
      <c r="E599" s="259">
        <v>42920</v>
      </c>
      <c r="F599" s="262">
        <v>1221.9934800000001</v>
      </c>
      <c r="G599" s="261" t="s">
        <v>15</v>
      </c>
      <c r="H599" s="258" t="s">
        <v>128</v>
      </c>
      <c r="I599" s="261">
        <v>801</v>
      </c>
      <c r="J599" s="261" t="s">
        <v>129</v>
      </c>
      <c r="K599" s="261" t="s">
        <v>123</v>
      </c>
      <c r="L599" s="258" t="s">
        <v>140</v>
      </c>
      <c r="M599" s="258" t="s">
        <v>128</v>
      </c>
    </row>
    <row r="600" spans="1:13" x14ac:dyDescent="0.2">
      <c r="A600" s="258" t="s">
        <v>138</v>
      </c>
      <c r="B600" s="258" t="s">
        <v>139</v>
      </c>
      <c r="C600" s="258" t="s">
        <v>17</v>
      </c>
      <c r="D600" s="258" t="s">
        <v>13</v>
      </c>
      <c r="E600" s="259">
        <v>42920</v>
      </c>
      <c r="F600" s="260">
        <v>8.35</v>
      </c>
      <c r="G600" s="261" t="s">
        <v>14</v>
      </c>
      <c r="H600" s="258" t="s">
        <v>16</v>
      </c>
      <c r="I600" s="261">
        <v>801</v>
      </c>
      <c r="J600" s="261" t="s">
        <v>129</v>
      </c>
      <c r="K600" s="261" t="s">
        <v>123</v>
      </c>
      <c r="L600" s="258" t="s">
        <v>140</v>
      </c>
      <c r="M600" s="258" t="s">
        <v>133</v>
      </c>
    </row>
    <row r="601" spans="1:13" x14ac:dyDescent="0.2">
      <c r="A601" s="258" t="s">
        <v>138</v>
      </c>
      <c r="B601" s="258" t="s">
        <v>139</v>
      </c>
      <c r="C601" s="258" t="s">
        <v>17</v>
      </c>
      <c r="D601" s="258" t="s">
        <v>13</v>
      </c>
      <c r="E601" s="259">
        <v>42920</v>
      </c>
      <c r="F601" s="262">
        <v>850.98857999999996</v>
      </c>
      <c r="G601" s="261" t="s">
        <v>15</v>
      </c>
      <c r="H601" s="258" t="s">
        <v>16</v>
      </c>
      <c r="I601" s="261">
        <v>801</v>
      </c>
      <c r="J601" s="261" t="s">
        <v>129</v>
      </c>
      <c r="K601" s="261" t="s">
        <v>123</v>
      </c>
      <c r="L601" s="258" t="s">
        <v>140</v>
      </c>
      <c r="M601" s="258" t="s">
        <v>133</v>
      </c>
    </row>
    <row r="602" spans="1:13" x14ac:dyDescent="0.2">
      <c r="A602" s="258" t="s">
        <v>138</v>
      </c>
      <c r="B602" s="258" t="s">
        <v>139</v>
      </c>
      <c r="C602" s="258" t="s">
        <v>17</v>
      </c>
      <c r="D602" s="258" t="s">
        <v>13</v>
      </c>
      <c r="E602" s="259">
        <v>42913</v>
      </c>
      <c r="F602" s="260">
        <v>16.79</v>
      </c>
      <c r="G602" s="261" t="s">
        <v>14</v>
      </c>
      <c r="H602" s="258" t="s">
        <v>128</v>
      </c>
      <c r="I602" s="261">
        <v>801</v>
      </c>
      <c r="J602" s="261" t="s">
        <v>129</v>
      </c>
      <c r="K602" s="261" t="s">
        <v>123</v>
      </c>
      <c r="L602" s="258" t="s">
        <v>140</v>
      </c>
      <c r="M602" s="258" t="s">
        <v>128</v>
      </c>
    </row>
    <row r="603" spans="1:13" x14ac:dyDescent="0.2">
      <c r="A603" s="258" t="s">
        <v>138</v>
      </c>
      <c r="B603" s="258" t="s">
        <v>139</v>
      </c>
      <c r="C603" s="258" t="s">
        <v>17</v>
      </c>
      <c r="D603" s="258" t="s">
        <v>13</v>
      </c>
      <c r="E603" s="259">
        <v>42913</v>
      </c>
      <c r="F603" s="262">
        <v>1863.7806660000001</v>
      </c>
      <c r="G603" s="261" t="s">
        <v>15</v>
      </c>
      <c r="H603" s="258" t="s">
        <v>128</v>
      </c>
      <c r="I603" s="261">
        <v>801</v>
      </c>
      <c r="J603" s="261" t="s">
        <v>129</v>
      </c>
      <c r="K603" s="261" t="s">
        <v>123</v>
      </c>
      <c r="L603" s="258" t="s">
        <v>140</v>
      </c>
      <c r="M603" s="258" t="s">
        <v>128</v>
      </c>
    </row>
    <row r="604" spans="1:13" x14ac:dyDescent="0.2">
      <c r="A604" s="258" t="s">
        <v>138</v>
      </c>
      <c r="B604" s="258" t="s">
        <v>139</v>
      </c>
      <c r="C604" s="258" t="s">
        <v>17</v>
      </c>
      <c r="D604" s="258" t="s">
        <v>13</v>
      </c>
      <c r="E604" s="259">
        <v>42913</v>
      </c>
      <c r="F604" s="260">
        <v>12.1</v>
      </c>
      <c r="G604" s="261" t="s">
        <v>14</v>
      </c>
      <c r="H604" s="258" t="s">
        <v>16</v>
      </c>
      <c r="I604" s="261">
        <v>801</v>
      </c>
      <c r="J604" s="261" t="s">
        <v>129</v>
      </c>
      <c r="K604" s="261" t="s">
        <v>123</v>
      </c>
      <c r="L604" s="258" t="s">
        <v>140</v>
      </c>
      <c r="M604" s="258" t="s">
        <v>133</v>
      </c>
    </row>
    <row r="605" spans="1:13" x14ac:dyDescent="0.2">
      <c r="A605" s="258" t="s">
        <v>138</v>
      </c>
      <c r="B605" s="258" t="s">
        <v>139</v>
      </c>
      <c r="C605" s="258" t="s">
        <v>17</v>
      </c>
      <c r="D605" s="258" t="s">
        <v>13</v>
      </c>
      <c r="E605" s="259">
        <v>42913</v>
      </c>
      <c r="F605" s="262">
        <v>1357.2933</v>
      </c>
      <c r="G605" s="261" t="s">
        <v>15</v>
      </c>
      <c r="H605" s="258" t="s">
        <v>16</v>
      </c>
      <c r="I605" s="261">
        <v>801</v>
      </c>
      <c r="J605" s="261" t="s">
        <v>129</v>
      </c>
      <c r="K605" s="261" t="s">
        <v>123</v>
      </c>
      <c r="L605" s="258" t="s">
        <v>140</v>
      </c>
      <c r="M605" s="258" t="s">
        <v>133</v>
      </c>
    </row>
    <row r="606" spans="1:13" x14ac:dyDescent="0.2">
      <c r="A606" s="258" t="s">
        <v>138</v>
      </c>
      <c r="B606" s="258" t="s">
        <v>139</v>
      </c>
      <c r="C606" s="258" t="s">
        <v>17</v>
      </c>
      <c r="D606" s="258" t="s">
        <v>13</v>
      </c>
      <c r="E606" s="259">
        <v>42906</v>
      </c>
      <c r="F606" s="260">
        <v>13.38</v>
      </c>
      <c r="G606" s="261" t="s">
        <v>14</v>
      </c>
      <c r="H606" s="258" t="s">
        <v>128</v>
      </c>
      <c r="I606" s="261">
        <v>801</v>
      </c>
      <c r="J606" s="261" t="s">
        <v>129</v>
      </c>
      <c r="K606" s="261" t="s">
        <v>123</v>
      </c>
      <c r="L606" s="258" t="s">
        <v>140</v>
      </c>
      <c r="M606" s="258" t="s">
        <v>128</v>
      </c>
    </row>
    <row r="607" spans="1:13" x14ac:dyDescent="0.2">
      <c r="A607" s="258" t="s">
        <v>138</v>
      </c>
      <c r="B607" s="258" t="s">
        <v>139</v>
      </c>
      <c r="C607" s="258" t="s">
        <v>17</v>
      </c>
      <c r="D607" s="258" t="s">
        <v>13</v>
      </c>
      <c r="E607" s="259">
        <v>42906</v>
      </c>
      <c r="F607" s="262">
        <v>1528.7720400000001</v>
      </c>
      <c r="G607" s="261" t="s">
        <v>15</v>
      </c>
      <c r="H607" s="258" t="s">
        <v>128</v>
      </c>
      <c r="I607" s="261">
        <v>801</v>
      </c>
      <c r="J607" s="261" t="s">
        <v>129</v>
      </c>
      <c r="K607" s="261" t="s">
        <v>123</v>
      </c>
      <c r="L607" s="258" t="s">
        <v>140</v>
      </c>
      <c r="M607" s="258" t="s">
        <v>128</v>
      </c>
    </row>
    <row r="608" spans="1:13" x14ac:dyDescent="0.2">
      <c r="A608" s="258" t="s">
        <v>138</v>
      </c>
      <c r="B608" s="258" t="s">
        <v>139</v>
      </c>
      <c r="C608" s="258" t="s">
        <v>17</v>
      </c>
      <c r="D608" s="258" t="s">
        <v>13</v>
      </c>
      <c r="E608" s="259">
        <v>42906</v>
      </c>
      <c r="F608" s="260">
        <v>9.51</v>
      </c>
      <c r="G608" s="261" t="s">
        <v>14</v>
      </c>
      <c r="H608" s="258" t="s">
        <v>16</v>
      </c>
      <c r="I608" s="261">
        <v>801</v>
      </c>
      <c r="J608" s="261" t="s">
        <v>129</v>
      </c>
      <c r="K608" s="261" t="s">
        <v>123</v>
      </c>
      <c r="L608" s="258" t="s">
        <v>140</v>
      </c>
      <c r="M608" s="258" t="s">
        <v>133</v>
      </c>
    </row>
    <row r="609" spans="1:13" x14ac:dyDescent="0.2">
      <c r="A609" s="258" t="s">
        <v>138</v>
      </c>
      <c r="B609" s="258" t="s">
        <v>139</v>
      </c>
      <c r="C609" s="258" t="s">
        <v>17</v>
      </c>
      <c r="D609" s="258" t="s">
        <v>13</v>
      </c>
      <c r="E609" s="259">
        <v>42906</v>
      </c>
      <c r="F609" s="262">
        <v>1054.0750860000001</v>
      </c>
      <c r="G609" s="261" t="s">
        <v>15</v>
      </c>
      <c r="H609" s="258" t="s">
        <v>16</v>
      </c>
      <c r="I609" s="261">
        <v>801</v>
      </c>
      <c r="J609" s="261" t="s">
        <v>129</v>
      </c>
      <c r="K609" s="261" t="s">
        <v>123</v>
      </c>
      <c r="L609" s="258" t="s">
        <v>140</v>
      </c>
      <c r="M609" s="258" t="s">
        <v>133</v>
      </c>
    </row>
    <row r="610" spans="1:13" x14ac:dyDescent="0.2">
      <c r="A610" s="258" t="s">
        <v>138</v>
      </c>
      <c r="B610" s="258" t="s">
        <v>139</v>
      </c>
      <c r="C610" s="258" t="s">
        <v>17</v>
      </c>
      <c r="D610" s="258" t="s">
        <v>13</v>
      </c>
      <c r="E610" s="259">
        <v>42899</v>
      </c>
      <c r="F610" s="260">
        <v>13.5</v>
      </c>
      <c r="G610" s="261" t="s">
        <v>14</v>
      </c>
      <c r="H610" s="258" t="s">
        <v>128</v>
      </c>
      <c r="I610" s="261">
        <v>801</v>
      </c>
      <c r="J610" s="261" t="s">
        <v>129</v>
      </c>
      <c r="K610" s="261" t="s">
        <v>123</v>
      </c>
      <c r="L610" s="258" t="s">
        <v>140</v>
      </c>
      <c r="M610" s="258" t="s">
        <v>128</v>
      </c>
    </row>
    <row r="611" spans="1:13" x14ac:dyDescent="0.2">
      <c r="A611" s="258" t="s">
        <v>138</v>
      </c>
      <c r="B611" s="258" t="s">
        <v>139</v>
      </c>
      <c r="C611" s="258" t="s">
        <v>17</v>
      </c>
      <c r="D611" s="258" t="s">
        <v>13</v>
      </c>
      <c r="E611" s="259">
        <v>42899</v>
      </c>
      <c r="F611" s="262">
        <v>1506.4541999999999</v>
      </c>
      <c r="G611" s="261" t="s">
        <v>15</v>
      </c>
      <c r="H611" s="258" t="s">
        <v>128</v>
      </c>
      <c r="I611" s="261">
        <v>801</v>
      </c>
      <c r="J611" s="261" t="s">
        <v>129</v>
      </c>
      <c r="K611" s="261" t="s">
        <v>123</v>
      </c>
      <c r="L611" s="258" t="s">
        <v>140</v>
      </c>
      <c r="M611" s="258" t="s">
        <v>128</v>
      </c>
    </row>
    <row r="612" spans="1:13" x14ac:dyDescent="0.2">
      <c r="A612" s="258" t="s">
        <v>138</v>
      </c>
      <c r="B612" s="258" t="s">
        <v>139</v>
      </c>
      <c r="C612" s="258" t="s">
        <v>17</v>
      </c>
      <c r="D612" s="258" t="s">
        <v>13</v>
      </c>
      <c r="E612" s="259">
        <v>42899</v>
      </c>
      <c r="F612" s="260">
        <v>8.07</v>
      </c>
      <c r="G612" s="261" t="s">
        <v>14</v>
      </c>
      <c r="H612" s="258" t="s">
        <v>16</v>
      </c>
      <c r="I612" s="261">
        <v>801</v>
      </c>
      <c r="J612" s="261" t="s">
        <v>129</v>
      </c>
      <c r="K612" s="261" t="s">
        <v>123</v>
      </c>
      <c r="L612" s="258" t="s">
        <v>140</v>
      </c>
      <c r="M612" s="258" t="s">
        <v>133</v>
      </c>
    </row>
    <row r="613" spans="1:13" x14ac:dyDescent="0.2">
      <c r="A613" s="258" t="s">
        <v>138</v>
      </c>
      <c r="B613" s="258" t="s">
        <v>139</v>
      </c>
      <c r="C613" s="258" t="s">
        <v>17</v>
      </c>
      <c r="D613" s="258" t="s">
        <v>13</v>
      </c>
      <c r="E613" s="259">
        <v>42899</v>
      </c>
      <c r="F613" s="262">
        <v>880.33370400000001</v>
      </c>
      <c r="G613" s="261" t="s">
        <v>15</v>
      </c>
      <c r="H613" s="258" t="s">
        <v>16</v>
      </c>
      <c r="I613" s="261">
        <v>801</v>
      </c>
      <c r="J613" s="261" t="s">
        <v>129</v>
      </c>
      <c r="K613" s="261" t="s">
        <v>123</v>
      </c>
      <c r="L613" s="258" t="s">
        <v>140</v>
      </c>
      <c r="M613" s="258" t="s">
        <v>133</v>
      </c>
    </row>
    <row r="614" spans="1:13" x14ac:dyDescent="0.2">
      <c r="A614" s="258" t="s">
        <v>138</v>
      </c>
      <c r="B614" s="258" t="s">
        <v>139</v>
      </c>
      <c r="C614" s="258" t="s">
        <v>17</v>
      </c>
      <c r="D614" s="258" t="s">
        <v>13</v>
      </c>
      <c r="E614" s="259">
        <v>42892</v>
      </c>
      <c r="F614" s="260">
        <v>13.09</v>
      </c>
      <c r="G614" s="261" t="s">
        <v>14</v>
      </c>
      <c r="H614" s="258" t="s">
        <v>128</v>
      </c>
      <c r="I614" s="261">
        <v>801</v>
      </c>
      <c r="J614" s="261" t="s">
        <v>129</v>
      </c>
      <c r="K614" s="261" t="s">
        <v>123</v>
      </c>
      <c r="L614" s="258" t="s">
        <v>140</v>
      </c>
      <c r="M614" s="258" t="s">
        <v>128</v>
      </c>
    </row>
    <row r="615" spans="1:13" x14ac:dyDescent="0.2">
      <c r="A615" s="258" t="s">
        <v>138</v>
      </c>
      <c r="B615" s="258" t="s">
        <v>139</v>
      </c>
      <c r="C615" s="258" t="s">
        <v>17</v>
      </c>
      <c r="D615" s="258" t="s">
        <v>13</v>
      </c>
      <c r="E615" s="259">
        <v>42892</v>
      </c>
      <c r="F615" s="262">
        <v>1561.13958</v>
      </c>
      <c r="G615" s="261" t="s">
        <v>15</v>
      </c>
      <c r="H615" s="258" t="s">
        <v>128</v>
      </c>
      <c r="I615" s="261">
        <v>801</v>
      </c>
      <c r="J615" s="261" t="s">
        <v>129</v>
      </c>
      <c r="K615" s="261" t="s">
        <v>123</v>
      </c>
      <c r="L615" s="258" t="s">
        <v>140</v>
      </c>
      <c r="M615" s="258" t="s">
        <v>128</v>
      </c>
    </row>
    <row r="616" spans="1:13" x14ac:dyDescent="0.2">
      <c r="A616" s="258" t="s">
        <v>138</v>
      </c>
      <c r="B616" s="258" t="s">
        <v>139</v>
      </c>
      <c r="C616" s="258" t="s">
        <v>17</v>
      </c>
      <c r="D616" s="258" t="s">
        <v>13</v>
      </c>
      <c r="E616" s="259">
        <v>42892</v>
      </c>
      <c r="F616" s="260">
        <v>9.6</v>
      </c>
      <c r="G616" s="261" t="s">
        <v>14</v>
      </c>
      <c r="H616" s="258" t="s">
        <v>16</v>
      </c>
      <c r="I616" s="261">
        <v>801</v>
      </c>
      <c r="J616" s="261" t="s">
        <v>129</v>
      </c>
      <c r="K616" s="261" t="s">
        <v>123</v>
      </c>
      <c r="L616" s="258" t="s">
        <v>140</v>
      </c>
      <c r="M616" s="258" t="s">
        <v>133</v>
      </c>
    </row>
    <row r="617" spans="1:13" x14ac:dyDescent="0.2">
      <c r="A617" s="258" t="s">
        <v>138</v>
      </c>
      <c r="B617" s="258" t="s">
        <v>139</v>
      </c>
      <c r="C617" s="258" t="s">
        <v>17</v>
      </c>
      <c r="D617" s="258" t="s">
        <v>13</v>
      </c>
      <c r="E617" s="259">
        <v>42892</v>
      </c>
      <c r="F617" s="262">
        <v>1104.8832</v>
      </c>
      <c r="G617" s="261" t="s">
        <v>15</v>
      </c>
      <c r="H617" s="258" t="s">
        <v>16</v>
      </c>
      <c r="I617" s="261">
        <v>801</v>
      </c>
      <c r="J617" s="261" t="s">
        <v>129</v>
      </c>
      <c r="K617" s="261" t="s">
        <v>123</v>
      </c>
      <c r="L617" s="258" t="s">
        <v>140</v>
      </c>
      <c r="M617" s="258" t="s">
        <v>133</v>
      </c>
    </row>
    <row r="618" spans="1:13" x14ac:dyDescent="0.2">
      <c r="A618" s="258" t="s">
        <v>138</v>
      </c>
      <c r="B618" s="258" t="s">
        <v>139</v>
      </c>
      <c r="C618" s="258" t="s">
        <v>17</v>
      </c>
      <c r="D618" s="258" t="s">
        <v>13</v>
      </c>
      <c r="E618" s="259">
        <v>42885</v>
      </c>
      <c r="F618" s="260">
        <v>9.2450402</v>
      </c>
      <c r="G618" s="261" t="s">
        <v>14</v>
      </c>
      <c r="H618" s="258" t="s">
        <v>128</v>
      </c>
      <c r="I618" s="261">
        <v>801</v>
      </c>
      <c r="J618" s="261" t="s">
        <v>129</v>
      </c>
      <c r="K618" s="261" t="s">
        <v>123</v>
      </c>
      <c r="L618" s="258" t="s">
        <v>140</v>
      </c>
      <c r="M618" s="258" t="s">
        <v>128</v>
      </c>
    </row>
    <row r="619" spans="1:13" x14ac:dyDescent="0.2">
      <c r="A619" s="258" t="s">
        <v>138</v>
      </c>
      <c r="B619" s="258" t="s">
        <v>139</v>
      </c>
      <c r="C619" s="258" t="s">
        <v>17</v>
      </c>
      <c r="D619" s="258" t="s">
        <v>13</v>
      </c>
      <c r="E619" s="259">
        <v>42885</v>
      </c>
      <c r="F619" s="262">
        <v>1150.38624</v>
      </c>
      <c r="G619" s="261" t="s">
        <v>15</v>
      </c>
      <c r="H619" s="258" t="s">
        <v>128</v>
      </c>
      <c r="I619" s="261">
        <v>801</v>
      </c>
      <c r="J619" s="261" t="s">
        <v>129</v>
      </c>
      <c r="K619" s="261" t="s">
        <v>123</v>
      </c>
      <c r="L619" s="258" t="s">
        <v>140</v>
      </c>
      <c r="M619" s="258" t="s">
        <v>128</v>
      </c>
    </row>
    <row r="620" spans="1:13" x14ac:dyDescent="0.2">
      <c r="A620" s="258" t="s">
        <v>138</v>
      </c>
      <c r="B620" s="258" t="s">
        <v>139</v>
      </c>
      <c r="C620" s="258" t="s">
        <v>17</v>
      </c>
      <c r="D620" s="258" t="s">
        <v>13</v>
      </c>
      <c r="E620" s="259">
        <v>42885</v>
      </c>
      <c r="F620" s="260">
        <v>5.23</v>
      </c>
      <c r="G620" s="261" t="s">
        <v>14</v>
      </c>
      <c r="H620" s="258" t="s">
        <v>16</v>
      </c>
      <c r="I620" s="261">
        <v>801</v>
      </c>
      <c r="J620" s="261" t="s">
        <v>129</v>
      </c>
      <c r="K620" s="261" t="s">
        <v>123</v>
      </c>
      <c r="L620" s="258" t="s">
        <v>140</v>
      </c>
      <c r="M620" s="258" t="s">
        <v>133</v>
      </c>
    </row>
    <row r="621" spans="1:13" x14ac:dyDescent="0.2">
      <c r="A621" s="258" t="s">
        <v>138</v>
      </c>
      <c r="B621" s="258" t="s">
        <v>139</v>
      </c>
      <c r="C621" s="258" t="s">
        <v>17</v>
      </c>
      <c r="D621" s="258" t="s">
        <v>13</v>
      </c>
      <c r="E621" s="259">
        <v>42885</v>
      </c>
      <c r="F621" s="262">
        <v>621.12316799999996</v>
      </c>
      <c r="G621" s="261" t="s">
        <v>15</v>
      </c>
      <c r="H621" s="258" t="s">
        <v>16</v>
      </c>
      <c r="I621" s="261">
        <v>801</v>
      </c>
      <c r="J621" s="261" t="s">
        <v>129</v>
      </c>
      <c r="K621" s="261" t="s">
        <v>123</v>
      </c>
      <c r="L621" s="258" t="s">
        <v>140</v>
      </c>
      <c r="M621" s="258" t="s">
        <v>133</v>
      </c>
    </row>
    <row r="622" spans="1:13" x14ac:dyDescent="0.2">
      <c r="A622" s="258" t="s">
        <v>138</v>
      </c>
      <c r="B622" s="258" t="s">
        <v>139</v>
      </c>
      <c r="C622" s="258" t="s">
        <v>17</v>
      </c>
      <c r="D622" s="258" t="s">
        <v>13</v>
      </c>
      <c r="E622" s="259">
        <v>42878</v>
      </c>
      <c r="F622" s="260">
        <v>11.1854105</v>
      </c>
      <c r="G622" s="261" t="s">
        <v>14</v>
      </c>
      <c r="H622" s="258" t="s">
        <v>128</v>
      </c>
      <c r="I622" s="261">
        <v>801</v>
      </c>
      <c r="J622" s="261" t="s">
        <v>129</v>
      </c>
      <c r="K622" s="261" t="s">
        <v>123</v>
      </c>
      <c r="L622" s="258" t="s">
        <v>140</v>
      </c>
      <c r="M622" s="258" t="s">
        <v>128</v>
      </c>
    </row>
    <row r="623" spans="1:13" x14ac:dyDescent="0.2">
      <c r="A623" s="258" t="s">
        <v>138</v>
      </c>
      <c r="B623" s="258" t="s">
        <v>139</v>
      </c>
      <c r="C623" s="258" t="s">
        <v>17</v>
      </c>
      <c r="D623" s="258" t="s">
        <v>13</v>
      </c>
      <c r="E623" s="259">
        <v>42878</v>
      </c>
      <c r="F623" s="262">
        <v>1715.535498</v>
      </c>
      <c r="G623" s="261" t="s">
        <v>15</v>
      </c>
      <c r="H623" s="258" t="s">
        <v>128</v>
      </c>
      <c r="I623" s="261">
        <v>801</v>
      </c>
      <c r="J623" s="261" t="s">
        <v>129</v>
      </c>
      <c r="K623" s="261" t="s">
        <v>123</v>
      </c>
      <c r="L623" s="258" t="s">
        <v>140</v>
      </c>
      <c r="M623" s="258" t="s">
        <v>128</v>
      </c>
    </row>
    <row r="624" spans="1:13" x14ac:dyDescent="0.2">
      <c r="A624" s="258" t="s">
        <v>138</v>
      </c>
      <c r="B624" s="258" t="s">
        <v>139</v>
      </c>
      <c r="C624" s="258" t="s">
        <v>17</v>
      </c>
      <c r="D624" s="258" t="s">
        <v>13</v>
      </c>
      <c r="E624" s="259">
        <v>42878</v>
      </c>
      <c r="F624" s="260">
        <v>7.24</v>
      </c>
      <c r="G624" s="261" t="s">
        <v>14</v>
      </c>
      <c r="H624" s="258" t="s">
        <v>16</v>
      </c>
      <c r="I624" s="261">
        <v>11</v>
      </c>
      <c r="J624" s="261" t="s">
        <v>129</v>
      </c>
      <c r="K624" s="261" t="s">
        <v>123</v>
      </c>
      <c r="L624" s="258" t="s">
        <v>142</v>
      </c>
      <c r="M624" s="258" t="s">
        <v>133</v>
      </c>
    </row>
    <row r="625" spans="1:13" x14ac:dyDescent="0.2">
      <c r="A625" s="258" t="s">
        <v>138</v>
      </c>
      <c r="B625" s="258" t="s">
        <v>139</v>
      </c>
      <c r="C625" s="258" t="s">
        <v>17</v>
      </c>
      <c r="D625" s="258" t="s">
        <v>13</v>
      </c>
      <c r="E625" s="259">
        <v>42878</v>
      </c>
      <c r="F625" s="262">
        <v>1060.300896</v>
      </c>
      <c r="G625" s="261" t="s">
        <v>15</v>
      </c>
      <c r="H625" s="258" t="s">
        <v>16</v>
      </c>
      <c r="I625" s="261">
        <v>11</v>
      </c>
      <c r="J625" s="261" t="s">
        <v>129</v>
      </c>
      <c r="K625" s="261" t="s">
        <v>123</v>
      </c>
      <c r="L625" s="258" t="s">
        <v>142</v>
      </c>
      <c r="M625" s="258" t="s">
        <v>133</v>
      </c>
    </row>
    <row r="626" spans="1:13" x14ac:dyDescent="0.2">
      <c r="A626" s="258" t="s">
        <v>138</v>
      </c>
      <c r="B626" s="258" t="s">
        <v>139</v>
      </c>
      <c r="C626" s="258" t="s">
        <v>17</v>
      </c>
      <c r="D626" s="258" t="s">
        <v>13</v>
      </c>
      <c r="E626" s="259">
        <v>42871</v>
      </c>
      <c r="F626" s="260">
        <v>12.5366727</v>
      </c>
      <c r="G626" s="261" t="s">
        <v>14</v>
      </c>
      <c r="H626" s="258" t="s">
        <v>128</v>
      </c>
      <c r="I626" s="261">
        <v>801</v>
      </c>
      <c r="J626" s="261" t="s">
        <v>129</v>
      </c>
      <c r="K626" s="261" t="s">
        <v>123</v>
      </c>
      <c r="L626" s="258" t="s">
        <v>140</v>
      </c>
      <c r="M626" s="258" t="s">
        <v>128</v>
      </c>
    </row>
    <row r="627" spans="1:13" x14ac:dyDescent="0.2">
      <c r="A627" s="258" t="s">
        <v>138</v>
      </c>
      <c r="B627" s="258" t="s">
        <v>139</v>
      </c>
      <c r="C627" s="258" t="s">
        <v>17</v>
      </c>
      <c r="D627" s="258" t="s">
        <v>13</v>
      </c>
      <c r="E627" s="259">
        <v>42871</v>
      </c>
      <c r="F627" s="262">
        <v>1722.03486</v>
      </c>
      <c r="G627" s="261" t="s">
        <v>15</v>
      </c>
      <c r="H627" s="258" t="s">
        <v>128</v>
      </c>
      <c r="I627" s="261">
        <v>801</v>
      </c>
      <c r="J627" s="261" t="s">
        <v>129</v>
      </c>
      <c r="K627" s="261" t="s">
        <v>123</v>
      </c>
      <c r="L627" s="258" t="s">
        <v>140</v>
      </c>
      <c r="M627" s="258" t="s">
        <v>128</v>
      </c>
    </row>
    <row r="628" spans="1:13" x14ac:dyDescent="0.2">
      <c r="A628" s="258" t="s">
        <v>138</v>
      </c>
      <c r="B628" s="258" t="s">
        <v>139</v>
      </c>
      <c r="C628" s="258" t="s">
        <v>17</v>
      </c>
      <c r="D628" s="258" t="s">
        <v>13</v>
      </c>
      <c r="E628" s="259">
        <v>42871</v>
      </c>
      <c r="F628" s="260">
        <v>10.7</v>
      </c>
      <c r="G628" s="261" t="s">
        <v>14</v>
      </c>
      <c r="H628" s="258" t="s">
        <v>16</v>
      </c>
      <c r="I628" s="261">
        <v>801</v>
      </c>
      <c r="J628" s="261" t="s">
        <v>129</v>
      </c>
      <c r="K628" s="261" t="s">
        <v>123</v>
      </c>
      <c r="L628" s="258" t="s">
        <v>140</v>
      </c>
      <c r="M628" s="258" t="s">
        <v>133</v>
      </c>
    </row>
    <row r="629" spans="1:13" x14ac:dyDescent="0.2">
      <c r="A629" s="258" t="s">
        <v>138</v>
      </c>
      <c r="B629" s="258" t="s">
        <v>139</v>
      </c>
      <c r="C629" s="258" t="s">
        <v>17</v>
      </c>
      <c r="D629" s="258" t="s">
        <v>13</v>
      </c>
      <c r="E629" s="259">
        <v>42871</v>
      </c>
      <c r="F629" s="262">
        <v>1493.84412</v>
      </c>
      <c r="G629" s="261" t="s">
        <v>15</v>
      </c>
      <c r="H629" s="258" t="s">
        <v>16</v>
      </c>
      <c r="I629" s="261">
        <v>801</v>
      </c>
      <c r="J629" s="261" t="s">
        <v>129</v>
      </c>
      <c r="K629" s="261" t="s">
        <v>123</v>
      </c>
      <c r="L629" s="258" t="s">
        <v>140</v>
      </c>
      <c r="M629" s="258" t="s">
        <v>133</v>
      </c>
    </row>
    <row r="630" spans="1:13" x14ac:dyDescent="0.2">
      <c r="A630" s="258" t="s">
        <v>138</v>
      </c>
      <c r="B630" s="258" t="s">
        <v>139</v>
      </c>
      <c r="C630" s="258" t="s">
        <v>17</v>
      </c>
      <c r="D630" s="258" t="s">
        <v>13</v>
      </c>
      <c r="E630" s="259">
        <v>42864</v>
      </c>
      <c r="F630" s="260">
        <v>10.1987021</v>
      </c>
      <c r="G630" s="261" t="s">
        <v>14</v>
      </c>
      <c r="H630" s="258" t="s">
        <v>128</v>
      </c>
      <c r="I630" s="261">
        <v>801</v>
      </c>
      <c r="J630" s="261" t="s">
        <v>129</v>
      </c>
      <c r="K630" s="261" t="s">
        <v>123</v>
      </c>
      <c r="L630" s="258" t="s">
        <v>140</v>
      </c>
      <c r="M630" s="258" t="s">
        <v>128</v>
      </c>
    </row>
    <row r="631" spans="1:13" x14ac:dyDescent="0.2">
      <c r="A631" s="258" t="s">
        <v>138</v>
      </c>
      <c r="B631" s="258" t="s">
        <v>139</v>
      </c>
      <c r="C631" s="258" t="s">
        <v>17</v>
      </c>
      <c r="D631" s="258" t="s">
        <v>13</v>
      </c>
      <c r="E631" s="259">
        <v>42864</v>
      </c>
      <c r="F631" s="262">
        <v>1376.2251000000001</v>
      </c>
      <c r="G631" s="261" t="s">
        <v>15</v>
      </c>
      <c r="H631" s="258" t="s">
        <v>128</v>
      </c>
      <c r="I631" s="261">
        <v>801</v>
      </c>
      <c r="J631" s="261" t="s">
        <v>129</v>
      </c>
      <c r="K631" s="261" t="s">
        <v>123</v>
      </c>
      <c r="L631" s="258" t="s">
        <v>140</v>
      </c>
      <c r="M631" s="258" t="s">
        <v>128</v>
      </c>
    </row>
    <row r="632" spans="1:13" x14ac:dyDescent="0.2">
      <c r="A632" s="258" t="s">
        <v>138</v>
      </c>
      <c r="B632" s="258" t="s">
        <v>139</v>
      </c>
      <c r="C632" s="258" t="s">
        <v>17</v>
      </c>
      <c r="D632" s="258" t="s">
        <v>13</v>
      </c>
      <c r="E632" s="259">
        <v>42864</v>
      </c>
      <c r="F632" s="260">
        <v>6.81</v>
      </c>
      <c r="G632" s="261" t="s">
        <v>14</v>
      </c>
      <c r="H632" s="258" t="s">
        <v>16</v>
      </c>
      <c r="I632" s="261">
        <v>801</v>
      </c>
      <c r="J632" s="261" t="s">
        <v>129</v>
      </c>
      <c r="K632" s="261" t="s">
        <v>123</v>
      </c>
      <c r="L632" s="258" t="s">
        <v>140</v>
      </c>
      <c r="M632" s="258" t="s">
        <v>133</v>
      </c>
    </row>
    <row r="633" spans="1:13" x14ac:dyDescent="0.2">
      <c r="A633" s="258" t="s">
        <v>138</v>
      </c>
      <c r="B633" s="258" t="s">
        <v>139</v>
      </c>
      <c r="C633" s="258" t="s">
        <v>17</v>
      </c>
      <c r="D633" s="258" t="s">
        <v>13</v>
      </c>
      <c r="E633" s="259">
        <v>42864</v>
      </c>
      <c r="F633" s="262">
        <v>886.00824</v>
      </c>
      <c r="G633" s="261" t="s">
        <v>15</v>
      </c>
      <c r="H633" s="258" t="s">
        <v>16</v>
      </c>
      <c r="I633" s="261">
        <v>801</v>
      </c>
      <c r="J633" s="261" t="s">
        <v>129</v>
      </c>
      <c r="K633" s="261" t="s">
        <v>123</v>
      </c>
      <c r="L633" s="258" t="s">
        <v>140</v>
      </c>
      <c r="M633" s="258" t="s">
        <v>133</v>
      </c>
    </row>
    <row r="634" spans="1:13" x14ac:dyDescent="0.2">
      <c r="A634" s="258" t="s">
        <v>138</v>
      </c>
      <c r="B634" s="258" t="s">
        <v>139</v>
      </c>
      <c r="C634" s="258" t="s">
        <v>17</v>
      </c>
      <c r="D634" s="258" t="s">
        <v>13</v>
      </c>
      <c r="E634" s="259">
        <v>42857</v>
      </c>
      <c r="F634" s="260">
        <v>10.7736363</v>
      </c>
      <c r="G634" s="261" t="s">
        <v>14</v>
      </c>
      <c r="H634" s="258" t="s">
        <v>128</v>
      </c>
      <c r="I634" s="261">
        <v>801</v>
      </c>
      <c r="J634" s="261" t="s">
        <v>129</v>
      </c>
      <c r="K634" s="261" t="s">
        <v>123</v>
      </c>
      <c r="L634" s="258" t="s">
        <v>140</v>
      </c>
      <c r="M634" s="258" t="s">
        <v>128</v>
      </c>
    </row>
    <row r="635" spans="1:13" x14ac:dyDescent="0.2">
      <c r="A635" s="258" t="s">
        <v>138</v>
      </c>
      <c r="B635" s="258" t="s">
        <v>139</v>
      </c>
      <c r="C635" s="258" t="s">
        <v>17</v>
      </c>
      <c r="D635" s="258" t="s">
        <v>13</v>
      </c>
      <c r="E635" s="259">
        <v>42857</v>
      </c>
      <c r="F635" s="262">
        <v>1868.0257260000001</v>
      </c>
      <c r="G635" s="261" t="s">
        <v>15</v>
      </c>
      <c r="H635" s="258" t="s">
        <v>128</v>
      </c>
      <c r="I635" s="261">
        <v>801</v>
      </c>
      <c r="J635" s="261" t="s">
        <v>129</v>
      </c>
      <c r="K635" s="261" t="s">
        <v>123</v>
      </c>
      <c r="L635" s="258" t="s">
        <v>140</v>
      </c>
      <c r="M635" s="258" t="s">
        <v>128</v>
      </c>
    </row>
    <row r="636" spans="1:13" x14ac:dyDescent="0.2">
      <c r="A636" s="258" t="s">
        <v>138</v>
      </c>
      <c r="B636" s="258" t="s">
        <v>139</v>
      </c>
      <c r="C636" s="258" t="s">
        <v>17</v>
      </c>
      <c r="D636" s="258" t="s">
        <v>13</v>
      </c>
      <c r="E636" s="259">
        <v>42857</v>
      </c>
      <c r="F636" s="260">
        <v>6.15</v>
      </c>
      <c r="G636" s="261" t="s">
        <v>14</v>
      </c>
      <c r="H636" s="258" t="s">
        <v>16</v>
      </c>
      <c r="I636" s="261">
        <v>801</v>
      </c>
      <c r="J636" s="261" t="s">
        <v>129</v>
      </c>
      <c r="K636" s="261" t="s">
        <v>123</v>
      </c>
      <c r="L636" s="258" t="s">
        <v>140</v>
      </c>
      <c r="M636" s="258" t="s">
        <v>133</v>
      </c>
    </row>
    <row r="637" spans="1:13" x14ac:dyDescent="0.2">
      <c r="A637" s="258" t="s">
        <v>138</v>
      </c>
      <c r="B637" s="258" t="s">
        <v>139</v>
      </c>
      <c r="C637" s="258" t="s">
        <v>17</v>
      </c>
      <c r="D637" s="258" t="s">
        <v>13</v>
      </c>
      <c r="E637" s="259">
        <v>42857</v>
      </c>
      <c r="F637" s="262">
        <v>1023.76836</v>
      </c>
      <c r="G637" s="261" t="s">
        <v>15</v>
      </c>
      <c r="H637" s="258" t="s">
        <v>16</v>
      </c>
      <c r="I637" s="261">
        <v>801</v>
      </c>
      <c r="J637" s="261" t="s">
        <v>129</v>
      </c>
      <c r="K637" s="261" t="s">
        <v>123</v>
      </c>
      <c r="L637" s="258" t="s">
        <v>140</v>
      </c>
      <c r="M637" s="258" t="s">
        <v>133</v>
      </c>
    </row>
    <row r="638" spans="1:13" x14ac:dyDescent="0.2">
      <c r="A638" s="258" t="s">
        <v>138</v>
      </c>
      <c r="B638" s="258" t="s">
        <v>139</v>
      </c>
      <c r="C638" s="258" t="s">
        <v>17</v>
      </c>
      <c r="D638" s="258" t="s">
        <v>13</v>
      </c>
      <c r="E638" s="259">
        <v>42850</v>
      </c>
      <c r="F638" s="260">
        <v>8.7200000000000006</v>
      </c>
      <c r="G638" s="261" t="s">
        <v>14</v>
      </c>
      <c r="H638" s="258" t="s">
        <v>128</v>
      </c>
      <c r="I638" s="261">
        <v>801</v>
      </c>
      <c r="J638" s="261" t="s">
        <v>129</v>
      </c>
      <c r="K638" s="261" t="s">
        <v>123</v>
      </c>
      <c r="L638" s="258" t="s">
        <v>140</v>
      </c>
    </row>
    <row r="639" spans="1:13" x14ac:dyDescent="0.2">
      <c r="A639" s="258" t="s">
        <v>138</v>
      </c>
      <c r="B639" s="258" t="s">
        <v>139</v>
      </c>
      <c r="C639" s="258" t="s">
        <v>17</v>
      </c>
      <c r="D639" s="258" t="s">
        <v>13</v>
      </c>
      <c r="E639" s="259">
        <v>42850</v>
      </c>
      <c r="F639" s="262">
        <v>1328.682096</v>
      </c>
      <c r="G639" s="261" t="s">
        <v>15</v>
      </c>
      <c r="H639" s="258" t="s">
        <v>128</v>
      </c>
      <c r="I639" s="261">
        <v>801</v>
      </c>
      <c r="J639" s="261" t="s">
        <v>129</v>
      </c>
      <c r="K639" s="261" t="s">
        <v>123</v>
      </c>
      <c r="L639" s="258" t="s">
        <v>140</v>
      </c>
    </row>
    <row r="640" spans="1:13" x14ac:dyDescent="0.2">
      <c r="A640" s="258" t="s">
        <v>138</v>
      </c>
      <c r="B640" s="258" t="s">
        <v>139</v>
      </c>
      <c r="C640" s="258" t="s">
        <v>17</v>
      </c>
      <c r="D640" s="258" t="s">
        <v>13</v>
      </c>
      <c r="E640" s="259">
        <v>42850</v>
      </c>
      <c r="F640" s="260">
        <v>5.87</v>
      </c>
      <c r="G640" s="261" t="s">
        <v>14</v>
      </c>
      <c r="H640" s="258" t="s">
        <v>16</v>
      </c>
      <c r="I640" s="261">
        <v>11</v>
      </c>
      <c r="J640" s="261" t="s">
        <v>129</v>
      </c>
      <c r="K640" s="261" t="s">
        <v>123</v>
      </c>
      <c r="L640" s="258" t="s">
        <v>142</v>
      </c>
    </row>
    <row r="641" spans="1:12" x14ac:dyDescent="0.2">
      <c r="A641" s="258" t="s">
        <v>138</v>
      </c>
      <c r="B641" s="258" t="s">
        <v>139</v>
      </c>
      <c r="C641" s="258" t="s">
        <v>17</v>
      </c>
      <c r="D641" s="258" t="s">
        <v>13</v>
      </c>
      <c r="E641" s="259">
        <v>42850</v>
      </c>
      <c r="F641" s="262">
        <v>839.10241199999996</v>
      </c>
      <c r="G641" s="261" t="s">
        <v>15</v>
      </c>
      <c r="H641" s="258" t="s">
        <v>16</v>
      </c>
      <c r="I641" s="261">
        <v>11</v>
      </c>
      <c r="J641" s="261" t="s">
        <v>129</v>
      </c>
      <c r="K641" s="261" t="s">
        <v>123</v>
      </c>
      <c r="L641" s="258" t="s">
        <v>142</v>
      </c>
    </row>
    <row r="642" spans="1:12" x14ac:dyDescent="0.2">
      <c r="A642" s="258" t="s">
        <v>138</v>
      </c>
      <c r="B642" s="258" t="s">
        <v>139</v>
      </c>
      <c r="C642" s="258" t="s">
        <v>17</v>
      </c>
      <c r="D642" s="258" t="s">
        <v>13</v>
      </c>
      <c r="E642" s="259">
        <v>42842</v>
      </c>
      <c r="F642" s="260">
        <v>7.41</v>
      </c>
      <c r="G642" s="261" t="s">
        <v>14</v>
      </c>
      <c r="H642" s="258" t="s">
        <v>128</v>
      </c>
      <c r="I642" s="261">
        <v>801</v>
      </c>
      <c r="J642" s="261" t="s">
        <v>129</v>
      </c>
      <c r="K642" s="261" t="s">
        <v>123</v>
      </c>
      <c r="L642" s="258" t="s">
        <v>140</v>
      </c>
    </row>
    <row r="643" spans="1:12" x14ac:dyDescent="0.2">
      <c r="A643" s="258" t="s">
        <v>138</v>
      </c>
      <c r="B643" s="258" t="s">
        <v>139</v>
      </c>
      <c r="C643" s="258" t="s">
        <v>17</v>
      </c>
      <c r="D643" s="258" t="s">
        <v>13</v>
      </c>
      <c r="E643" s="259">
        <v>42842</v>
      </c>
      <c r="F643" s="262">
        <v>1148.2328520000001</v>
      </c>
      <c r="G643" s="261" t="s">
        <v>15</v>
      </c>
      <c r="H643" s="258" t="s">
        <v>128</v>
      </c>
      <c r="I643" s="261">
        <v>801</v>
      </c>
      <c r="J643" s="261" t="s">
        <v>129</v>
      </c>
      <c r="K643" s="261" t="s">
        <v>123</v>
      </c>
      <c r="L643" s="258" t="s">
        <v>140</v>
      </c>
    </row>
    <row r="644" spans="1:12" x14ac:dyDescent="0.2">
      <c r="A644" s="258" t="s">
        <v>138</v>
      </c>
      <c r="B644" s="258" t="s">
        <v>139</v>
      </c>
      <c r="C644" s="258" t="s">
        <v>17</v>
      </c>
      <c r="D644" s="258" t="s">
        <v>13</v>
      </c>
      <c r="E644" s="259">
        <v>42842</v>
      </c>
      <c r="F644" s="260">
        <v>4.8899999999999997</v>
      </c>
      <c r="G644" s="261" t="s">
        <v>14</v>
      </c>
      <c r="H644" s="258" t="s">
        <v>16</v>
      </c>
      <c r="I644" s="261">
        <v>801</v>
      </c>
      <c r="J644" s="261" t="s">
        <v>129</v>
      </c>
      <c r="K644" s="261" t="s">
        <v>123</v>
      </c>
      <c r="L644" s="258" t="s">
        <v>140</v>
      </c>
    </row>
    <row r="645" spans="1:12" x14ac:dyDescent="0.2">
      <c r="A645" s="258" t="s">
        <v>138</v>
      </c>
      <c r="B645" s="258" t="s">
        <v>139</v>
      </c>
      <c r="C645" s="258" t="s">
        <v>17</v>
      </c>
      <c r="D645" s="258" t="s">
        <v>13</v>
      </c>
      <c r="E645" s="259">
        <v>42842</v>
      </c>
      <c r="F645" s="262">
        <v>704.72332800000004</v>
      </c>
      <c r="G645" s="261" t="s">
        <v>15</v>
      </c>
      <c r="H645" s="258" t="s">
        <v>16</v>
      </c>
      <c r="I645" s="261">
        <v>801</v>
      </c>
      <c r="J645" s="261" t="s">
        <v>129</v>
      </c>
      <c r="K645" s="261" t="s">
        <v>123</v>
      </c>
      <c r="L645" s="258" t="s">
        <v>140</v>
      </c>
    </row>
    <row r="646" spans="1:12" x14ac:dyDescent="0.2">
      <c r="A646" s="258" t="s">
        <v>138</v>
      </c>
      <c r="B646" s="258" t="s">
        <v>139</v>
      </c>
      <c r="C646" s="258" t="s">
        <v>17</v>
      </c>
      <c r="D646" s="258" t="s">
        <v>13</v>
      </c>
      <c r="E646" s="259">
        <v>42835</v>
      </c>
      <c r="F646" s="260">
        <v>9.09</v>
      </c>
      <c r="G646" s="261" t="s">
        <v>14</v>
      </c>
      <c r="H646" s="258" t="s">
        <v>128</v>
      </c>
      <c r="I646" s="261">
        <v>801</v>
      </c>
      <c r="J646" s="261" t="s">
        <v>129</v>
      </c>
      <c r="K646" s="261" t="s">
        <v>123</v>
      </c>
      <c r="L646" s="258" t="s">
        <v>140</v>
      </c>
    </row>
    <row r="647" spans="1:12" x14ac:dyDescent="0.2">
      <c r="A647" s="258" t="s">
        <v>138</v>
      </c>
      <c r="B647" s="258" t="s">
        <v>139</v>
      </c>
      <c r="C647" s="258" t="s">
        <v>17</v>
      </c>
      <c r="D647" s="258" t="s">
        <v>13</v>
      </c>
      <c r="E647" s="259">
        <v>42835</v>
      </c>
      <c r="F647" s="262">
        <v>1394.1569340000001</v>
      </c>
      <c r="G647" s="261" t="s">
        <v>15</v>
      </c>
      <c r="H647" s="258" t="s">
        <v>128</v>
      </c>
      <c r="I647" s="261">
        <v>801</v>
      </c>
      <c r="J647" s="261" t="s">
        <v>129</v>
      </c>
      <c r="K647" s="261" t="s">
        <v>123</v>
      </c>
      <c r="L647" s="258" t="s">
        <v>140</v>
      </c>
    </row>
    <row r="648" spans="1:12" x14ac:dyDescent="0.2">
      <c r="A648" s="258" t="s">
        <v>138</v>
      </c>
      <c r="B648" s="258" t="s">
        <v>139</v>
      </c>
      <c r="C648" s="258" t="s">
        <v>17</v>
      </c>
      <c r="D648" s="258" t="s">
        <v>13</v>
      </c>
      <c r="E648" s="259">
        <v>42835</v>
      </c>
      <c r="F648" s="260">
        <v>4.45</v>
      </c>
      <c r="G648" s="261" t="s">
        <v>14</v>
      </c>
      <c r="H648" s="258" t="s">
        <v>16</v>
      </c>
      <c r="I648" s="261">
        <v>801</v>
      </c>
      <c r="J648" s="261" t="s">
        <v>129</v>
      </c>
      <c r="K648" s="261" t="s">
        <v>123</v>
      </c>
      <c r="L648" s="258" t="s">
        <v>140</v>
      </c>
    </row>
    <row r="649" spans="1:12" x14ac:dyDescent="0.2">
      <c r="A649" s="258" t="s">
        <v>138</v>
      </c>
      <c r="B649" s="258" t="s">
        <v>139</v>
      </c>
      <c r="C649" s="258" t="s">
        <v>17</v>
      </c>
      <c r="D649" s="258" t="s">
        <v>13</v>
      </c>
      <c r="E649" s="259">
        <v>42835</v>
      </c>
      <c r="F649" s="262">
        <v>622.38500999999997</v>
      </c>
      <c r="G649" s="261" t="s">
        <v>15</v>
      </c>
      <c r="H649" s="258" t="s">
        <v>16</v>
      </c>
      <c r="I649" s="261">
        <v>801</v>
      </c>
      <c r="J649" s="261" t="s">
        <v>129</v>
      </c>
      <c r="K649" s="261" t="s">
        <v>123</v>
      </c>
      <c r="L649" s="258" t="s">
        <v>140</v>
      </c>
    </row>
    <row r="650" spans="1:12" x14ac:dyDescent="0.2">
      <c r="A650" s="258" t="s">
        <v>138</v>
      </c>
      <c r="B650" s="258" t="s">
        <v>139</v>
      </c>
      <c r="C650" s="258" t="s">
        <v>17</v>
      </c>
      <c r="D650" s="258" t="s">
        <v>13</v>
      </c>
      <c r="E650" s="259">
        <v>42829</v>
      </c>
      <c r="F650" s="260">
        <v>7.83</v>
      </c>
      <c r="G650" s="261" t="s">
        <v>14</v>
      </c>
      <c r="H650" s="258" t="s">
        <v>128</v>
      </c>
      <c r="I650" s="261">
        <v>801</v>
      </c>
      <c r="J650" s="261" t="s">
        <v>129</v>
      </c>
      <c r="K650" s="261" t="s">
        <v>123</v>
      </c>
      <c r="L650" s="258" t="s">
        <v>140</v>
      </c>
    </row>
    <row r="651" spans="1:12" x14ac:dyDescent="0.2">
      <c r="A651" s="258" t="s">
        <v>138</v>
      </c>
      <c r="B651" s="258" t="s">
        <v>139</v>
      </c>
      <c r="C651" s="258" t="s">
        <v>17</v>
      </c>
      <c r="D651" s="258" t="s">
        <v>13</v>
      </c>
      <c r="E651" s="259">
        <v>42829</v>
      </c>
      <c r="F651" s="262">
        <v>1159.1140499999999</v>
      </c>
      <c r="G651" s="261" t="s">
        <v>15</v>
      </c>
      <c r="H651" s="258" t="s">
        <v>128</v>
      </c>
      <c r="I651" s="261">
        <v>801</v>
      </c>
      <c r="J651" s="261" t="s">
        <v>129</v>
      </c>
      <c r="K651" s="261" t="s">
        <v>123</v>
      </c>
      <c r="L651" s="258" t="s">
        <v>140</v>
      </c>
    </row>
    <row r="652" spans="1:12" x14ac:dyDescent="0.2">
      <c r="A652" s="258" t="s">
        <v>138</v>
      </c>
      <c r="B652" s="258" t="s">
        <v>139</v>
      </c>
      <c r="C652" s="258" t="s">
        <v>17</v>
      </c>
      <c r="D652" s="258" t="s">
        <v>13</v>
      </c>
      <c r="E652" s="259">
        <v>42829</v>
      </c>
      <c r="F652" s="260">
        <v>4.34</v>
      </c>
      <c r="G652" s="261" t="s">
        <v>14</v>
      </c>
      <c r="H652" s="258" t="s">
        <v>16</v>
      </c>
      <c r="I652" s="261">
        <v>801</v>
      </c>
      <c r="J652" s="261" t="s">
        <v>129</v>
      </c>
      <c r="K652" s="261" t="s">
        <v>123</v>
      </c>
      <c r="L652" s="258" t="s">
        <v>140</v>
      </c>
    </row>
    <row r="653" spans="1:12" x14ac:dyDescent="0.2">
      <c r="A653" s="258" t="s">
        <v>138</v>
      </c>
      <c r="B653" s="258" t="s">
        <v>139</v>
      </c>
      <c r="C653" s="258" t="s">
        <v>17</v>
      </c>
      <c r="D653" s="258" t="s">
        <v>13</v>
      </c>
      <c r="E653" s="259">
        <v>42829</v>
      </c>
      <c r="F653" s="262">
        <v>589.26436799999999</v>
      </c>
      <c r="G653" s="261" t="s">
        <v>15</v>
      </c>
      <c r="H653" s="258" t="s">
        <v>16</v>
      </c>
      <c r="I653" s="261">
        <v>801</v>
      </c>
      <c r="J653" s="261" t="s">
        <v>129</v>
      </c>
      <c r="K653" s="261" t="s">
        <v>123</v>
      </c>
      <c r="L653" s="258" t="s">
        <v>140</v>
      </c>
    </row>
    <row r="654" spans="1:12" x14ac:dyDescent="0.2">
      <c r="A654" s="258" t="s">
        <v>138</v>
      </c>
      <c r="B654" s="258" t="s">
        <v>139</v>
      </c>
      <c r="C654" s="258" t="s">
        <v>17</v>
      </c>
      <c r="D654" s="258" t="s">
        <v>13</v>
      </c>
      <c r="E654" s="259">
        <v>42822</v>
      </c>
      <c r="F654" s="260">
        <v>14.63</v>
      </c>
      <c r="G654" s="261" t="s">
        <v>14</v>
      </c>
      <c r="H654" s="258" t="s">
        <v>128</v>
      </c>
      <c r="I654" s="261">
        <v>801</v>
      </c>
      <c r="J654" s="261" t="s">
        <v>129</v>
      </c>
      <c r="K654" s="261" t="s">
        <v>123</v>
      </c>
      <c r="L654" s="258" t="s">
        <v>140</v>
      </c>
    </row>
    <row r="655" spans="1:12" x14ac:dyDescent="0.2">
      <c r="A655" s="258" t="s">
        <v>138</v>
      </c>
      <c r="B655" s="258" t="s">
        <v>139</v>
      </c>
      <c r="C655" s="258" t="s">
        <v>17</v>
      </c>
      <c r="D655" s="258" t="s">
        <v>13</v>
      </c>
      <c r="E655" s="259">
        <v>42822</v>
      </c>
      <c r="F655" s="262">
        <v>1911.9625140000001</v>
      </c>
      <c r="G655" s="261" t="s">
        <v>15</v>
      </c>
      <c r="H655" s="258" t="s">
        <v>128</v>
      </c>
      <c r="I655" s="261">
        <v>801</v>
      </c>
      <c r="J655" s="261" t="s">
        <v>129</v>
      </c>
      <c r="K655" s="261" t="s">
        <v>123</v>
      </c>
      <c r="L655" s="258" t="s">
        <v>140</v>
      </c>
    </row>
    <row r="656" spans="1:12" x14ac:dyDescent="0.2">
      <c r="A656" s="258" t="s">
        <v>138</v>
      </c>
      <c r="B656" s="258" t="s">
        <v>139</v>
      </c>
      <c r="C656" s="258" t="s">
        <v>17</v>
      </c>
      <c r="D656" s="258" t="s">
        <v>13</v>
      </c>
      <c r="E656" s="259">
        <v>42822</v>
      </c>
      <c r="F656" s="260">
        <v>7.56</v>
      </c>
      <c r="G656" s="261" t="s">
        <v>14</v>
      </c>
      <c r="H656" s="258" t="s">
        <v>16</v>
      </c>
      <c r="I656" s="261">
        <v>801</v>
      </c>
      <c r="J656" s="261" t="s">
        <v>129</v>
      </c>
      <c r="K656" s="261" t="s">
        <v>123</v>
      </c>
      <c r="L656" s="258" t="s">
        <v>140</v>
      </c>
    </row>
    <row r="657" spans="1:12" x14ac:dyDescent="0.2">
      <c r="A657" s="258" t="s">
        <v>138</v>
      </c>
      <c r="B657" s="258" t="s">
        <v>139</v>
      </c>
      <c r="C657" s="258" t="s">
        <v>17</v>
      </c>
      <c r="D657" s="258" t="s">
        <v>13</v>
      </c>
      <c r="E657" s="259">
        <v>42822</v>
      </c>
      <c r="F657" s="262">
        <v>841.09233600000005</v>
      </c>
      <c r="G657" s="261" t="s">
        <v>15</v>
      </c>
      <c r="H657" s="258" t="s">
        <v>16</v>
      </c>
      <c r="I657" s="261">
        <v>801</v>
      </c>
      <c r="J657" s="261" t="s">
        <v>129</v>
      </c>
      <c r="K657" s="261" t="s">
        <v>123</v>
      </c>
      <c r="L657" s="258" t="s">
        <v>140</v>
      </c>
    </row>
    <row r="658" spans="1:12" x14ac:dyDescent="0.2">
      <c r="A658" s="258" t="s">
        <v>138</v>
      </c>
      <c r="B658" s="258" t="s">
        <v>139</v>
      </c>
      <c r="C658" s="258" t="s">
        <v>17</v>
      </c>
      <c r="D658" s="258" t="s">
        <v>13</v>
      </c>
      <c r="E658" s="259">
        <v>42815</v>
      </c>
      <c r="F658" s="260">
        <v>13.12</v>
      </c>
      <c r="G658" s="261" t="s">
        <v>14</v>
      </c>
      <c r="H658" s="258" t="s">
        <v>128</v>
      </c>
      <c r="I658" s="261">
        <v>801</v>
      </c>
      <c r="J658" s="261" t="s">
        <v>129</v>
      </c>
      <c r="K658" s="261" t="s">
        <v>123</v>
      </c>
      <c r="L658" s="258" t="s">
        <v>140</v>
      </c>
    </row>
    <row r="659" spans="1:12" x14ac:dyDescent="0.2">
      <c r="A659" s="258" t="s">
        <v>138</v>
      </c>
      <c r="B659" s="258" t="s">
        <v>139</v>
      </c>
      <c r="C659" s="258" t="s">
        <v>17</v>
      </c>
      <c r="D659" s="258" t="s">
        <v>13</v>
      </c>
      <c r="E659" s="259">
        <v>42815</v>
      </c>
      <c r="F659" s="262">
        <v>1865.62464</v>
      </c>
      <c r="G659" s="261" t="s">
        <v>15</v>
      </c>
      <c r="H659" s="258" t="s">
        <v>128</v>
      </c>
      <c r="I659" s="261">
        <v>801</v>
      </c>
      <c r="J659" s="261" t="s">
        <v>129</v>
      </c>
      <c r="K659" s="261" t="s">
        <v>123</v>
      </c>
      <c r="L659" s="258" t="s">
        <v>140</v>
      </c>
    </row>
    <row r="660" spans="1:12" x14ac:dyDescent="0.2">
      <c r="A660" s="258" t="s">
        <v>138</v>
      </c>
      <c r="B660" s="258" t="s">
        <v>139</v>
      </c>
      <c r="C660" s="258" t="s">
        <v>17</v>
      </c>
      <c r="D660" s="258" t="s">
        <v>13</v>
      </c>
      <c r="E660" s="259">
        <v>42815</v>
      </c>
      <c r="F660" s="260">
        <v>6.8</v>
      </c>
      <c r="G660" s="261" t="s">
        <v>14</v>
      </c>
      <c r="H660" s="258" t="s">
        <v>16</v>
      </c>
      <c r="I660" s="261">
        <v>801</v>
      </c>
      <c r="J660" s="261" t="s">
        <v>129</v>
      </c>
      <c r="K660" s="261" t="s">
        <v>123</v>
      </c>
      <c r="L660" s="258" t="s">
        <v>140</v>
      </c>
    </row>
    <row r="661" spans="1:12" x14ac:dyDescent="0.2">
      <c r="A661" s="258" t="s">
        <v>138</v>
      </c>
      <c r="B661" s="258" t="s">
        <v>139</v>
      </c>
      <c r="C661" s="258" t="s">
        <v>17</v>
      </c>
      <c r="D661" s="258" t="s">
        <v>13</v>
      </c>
      <c r="E661" s="259">
        <v>42815</v>
      </c>
      <c r="F661" s="262">
        <v>911.92895999999996</v>
      </c>
      <c r="G661" s="261" t="s">
        <v>15</v>
      </c>
      <c r="H661" s="258" t="s">
        <v>16</v>
      </c>
      <c r="I661" s="261">
        <v>801</v>
      </c>
      <c r="J661" s="261" t="s">
        <v>129</v>
      </c>
      <c r="K661" s="261" t="s">
        <v>123</v>
      </c>
      <c r="L661" s="258" t="s">
        <v>140</v>
      </c>
    </row>
    <row r="662" spans="1:12" x14ac:dyDescent="0.2">
      <c r="A662" s="258" t="s">
        <v>138</v>
      </c>
      <c r="B662" s="258" t="s">
        <v>139</v>
      </c>
      <c r="C662" s="258" t="s">
        <v>17</v>
      </c>
      <c r="D662" s="258" t="s">
        <v>13</v>
      </c>
      <c r="E662" s="259">
        <v>42808</v>
      </c>
      <c r="F662" s="260">
        <v>9.81</v>
      </c>
      <c r="G662" s="261" t="s">
        <v>14</v>
      </c>
      <c r="H662" s="258" t="s">
        <v>128</v>
      </c>
      <c r="I662" s="261">
        <v>801</v>
      </c>
      <c r="J662" s="261" t="s">
        <v>129</v>
      </c>
      <c r="K662" s="261" t="s">
        <v>123</v>
      </c>
      <c r="L662" s="258" t="s">
        <v>140</v>
      </c>
    </row>
    <row r="663" spans="1:12" x14ac:dyDescent="0.2">
      <c r="A663" s="258" t="s">
        <v>138</v>
      </c>
      <c r="B663" s="258" t="s">
        <v>139</v>
      </c>
      <c r="C663" s="258" t="s">
        <v>17</v>
      </c>
      <c r="D663" s="258" t="s">
        <v>13</v>
      </c>
      <c r="E663" s="259">
        <v>42808</v>
      </c>
      <c r="F663" s="262">
        <v>1557.765216</v>
      </c>
      <c r="G663" s="261" t="s">
        <v>15</v>
      </c>
      <c r="H663" s="258" t="s">
        <v>128</v>
      </c>
      <c r="I663" s="261">
        <v>801</v>
      </c>
      <c r="J663" s="261" t="s">
        <v>129</v>
      </c>
      <c r="K663" s="261" t="s">
        <v>123</v>
      </c>
      <c r="L663" s="258" t="s">
        <v>140</v>
      </c>
    </row>
    <row r="664" spans="1:12" x14ac:dyDescent="0.2">
      <c r="A664" s="258" t="s">
        <v>138</v>
      </c>
      <c r="B664" s="258" t="s">
        <v>139</v>
      </c>
      <c r="C664" s="258" t="s">
        <v>17</v>
      </c>
      <c r="D664" s="258" t="s">
        <v>13</v>
      </c>
      <c r="E664" s="259">
        <v>42808</v>
      </c>
      <c r="F664" s="260">
        <v>7.28</v>
      </c>
      <c r="G664" s="261" t="s">
        <v>14</v>
      </c>
      <c r="H664" s="258" t="s">
        <v>16</v>
      </c>
      <c r="I664" s="261">
        <v>801</v>
      </c>
      <c r="J664" s="261" t="s">
        <v>129</v>
      </c>
      <c r="K664" s="261" t="s">
        <v>123</v>
      </c>
      <c r="L664" s="258" t="s">
        <v>140</v>
      </c>
    </row>
    <row r="665" spans="1:12" x14ac:dyDescent="0.2">
      <c r="A665" s="258" t="s">
        <v>138</v>
      </c>
      <c r="B665" s="258" t="s">
        <v>139</v>
      </c>
      <c r="C665" s="258" t="s">
        <v>17</v>
      </c>
      <c r="D665" s="258" t="s">
        <v>13</v>
      </c>
      <c r="E665" s="259">
        <v>42808</v>
      </c>
      <c r="F665" s="262">
        <v>1083.76632</v>
      </c>
      <c r="G665" s="261" t="s">
        <v>15</v>
      </c>
      <c r="H665" s="258" t="s">
        <v>16</v>
      </c>
      <c r="I665" s="261">
        <v>801</v>
      </c>
      <c r="J665" s="261" t="s">
        <v>129</v>
      </c>
      <c r="K665" s="261" t="s">
        <v>123</v>
      </c>
      <c r="L665" s="258" t="s">
        <v>140</v>
      </c>
    </row>
    <row r="666" spans="1:12" x14ac:dyDescent="0.2">
      <c r="A666" s="258" t="s">
        <v>138</v>
      </c>
      <c r="B666" s="258" t="s">
        <v>139</v>
      </c>
      <c r="C666" s="258" t="s">
        <v>17</v>
      </c>
      <c r="D666" s="258" t="s">
        <v>13</v>
      </c>
      <c r="E666" s="259">
        <v>42801</v>
      </c>
      <c r="F666" s="260">
        <v>9.4700000000000006</v>
      </c>
      <c r="G666" s="261" t="s">
        <v>14</v>
      </c>
      <c r="H666" s="258" t="s">
        <v>128</v>
      </c>
      <c r="I666" s="261">
        <v>801</v>
      </c>
      <c r="J666" s="261" t="s">
        <v>129</v>
      </c>
      <c r="K666" s="261" t="s">
        <v>123</v>
      </c>
      <c r="L666" s="258" t="s">
        <v>140</v>
      </c>
    </row>
    <row r="667" spans="1:12" x14ac:dyDescent="0.2">
      <c r="A667" s="258" t="s">
        <v>138</v>
      </c>
      <c r="B667" s="258" t="s">
        <v>139</v>
      </c>
      <c r="C667" s="258" t="s">
        <v>17</v>
      </c>
      <c r="D667" s="258" t="s">
        <v>13</v>
      </c>
      <c r="E667" s="259">
        <v>42801</v>
      </c>
      <c r="F667" s="262">
        <v>1248.6706380000001</v>
      </c>
      <c r="G667" s="261" t="s">
        <v>15</v>
      </c>
      <c r="H667" s="258" t="s">
        <v>128</v>
      </c>
      <c r="I667" s="261">
        <v>801</v>
      </c>
      <c r="J667" s="261" t="s">
        <v>129</v>
      </c>
      <c r="K667" s="261" t="s">
        <v>123</v>
      </c>
      <c r="L667" s="258" t="s">
        <v>140</v>
      </c>
    </row>
    <row r="668" spans="1:12" x14ac:dyDescent="0.2">
      <c r="A668" s="258" t="s">
        <v>138</v>
      </c>
      <c r="B668" s="258" t="s">
        <v>139</v>
      </c>
      <c r="C668" s="258" t="s">
        <v>17</v>
      </c>
      <c r="D668" s="258" t="s">
        <v>13</v>
      </c>
      <c r="E668" s="259">
        <v>42801</v>
      </c>
      <c r="F668" s="260">
        <v>6.44</v>
      </c>
      <c r="G668" s="261" t="s">
        <v>14</v>
      </c>
      <c r="H668" s="258" t="s">
        <v>16</v>
      </c>
      <c r="I668" s="261">
        <v>11</v>
      </c>
      <c r="J668" s="261" t="s">
        <v>129</v>
      </c>
      <c r="K668" s="261" t="s">
        <v>123</v>
      </c>
      <c r="L668" s="258" t="s">
        <v>142</v>
      </c>
    </row>
    <row r="669" spans="1:12" x14ac:dyDescent="0.2">
      <c r="A669" s="258" t="s">
        <v>138</v>
      </c>
      <c r="B669" s="258" t="s">
        <v>139</v>
      </c>
      <c r="C669" s="258" t="s">
        <v>17</v>
      </c>
      <c r="D669" s="258" t="s">
        <v>13</v>
      </c>
      <c r="E669" s="259">
        <v>42801</v>
      </c>
      <c r="F669" s="262">
        <v>817.997208</v>
      </c>
      <c r="G669" s="261" t="s">
        <v>15</v>
      </c>
      <c r="H669" s="258" t="s">
        <v>16</v>
      </c>
      <c r="I669" s="261">
        <v>11</v>
      </c>
      <c r="J669" s="261" t="s">
        <v>129</v>
      </c>
      <c r="K669" s="261" t="s">
        <v>123</v>
      </c>
      <c r="L669" s="258" t="s">
        <v>142</v>
      </c>
    </row>
    <row r="670" spans="1:12" x14ac:dyDescent="0.2">
      <c r="A670" s="258" t="s">
        <v>138</v>
      </c>
      <c r="B670" s="258" t="s">
        <v>139</v>
      </c>
      <c r="C670" s="258" t="s">
        <v>17</v>
      </c>
      <c r="D670" s="258" t="s">
        <v>13</v>
      </c>
      <c r="E670" s="259">
        <v>42794</v>
      </c>
      <c r="F670" s="260">
        <v>14.7</v>
      </c>
      <c r="G670" s="261" t="s">
        <v>14</v>
      </c>
      <c r="H670" s="258" t="s">
        <v>128</v>
      </c>
      <c r="I670" s="261">
        <v>801</v>
      </c>
      <c r="J670" s="261" t="s">
        <v>129</v>
      </c>
      <c r="K670" s="261" t="s">
        <v>123</v>
      </c>
      <c r="L670" s="258" t="s">
        <v>140</v>
      </c>
    </row>
    <row r="671" spans="1:12" x14ac:dyDescent="0.2">
      <c r="A671" s="258" t="s">
        <v>138</v>
      </c>
      <c r="B671" s="258" t="s">
        <v>139</v>
      </c>
      <c r="C671" s="258" t="s">
        <v>17</v>
      </c>
      <c r="D671" s="258" t="s">
        <v>13</v>
      </c>
      <c r="E671" s="259">
        <v>42794</v>
      </c>
      <c r="F671" s="262">
        <v>1995.89544</v>
      </c>
      <c r="G671" s="261" t="s">
        <v>15</v>
      </c>
      <c r="H671" s="258" t="s">
        <v>128</v>
      </c>
      <c r="I671" s="261">
        <v>801</v>
      </c>
      <c r="J671" s="261" t="s">
        <v>129</v>
      </c>
      <c r="K671" s="261" t="s">
        <v>123</v>
      </c>
      <c r="L671" s="258" t="s">
        <v>140</v>
      </c>
    </row>
    <row r="672" spans="1:12" x14ac:dyDescent="0.2">
      <c r="A672" s="258" t="s">
        <v>138</v>
      </c>
      <c r="B672" s="258" t="s">
        <v>139</v>
      </c>
      <c r="C672" s="258" t="s">
        <v>17</v>
      </c>
      <c r="D672" s="258" t="s">
        <v>13</v>
      </c>
      <c r="E672" s="259">
        <v>42794</v>
      </c>
      <c r="F672" s="260">
        <v>18.600000000000001</v>
      </c>
      <c r="G672" s="261" t="s">
        <v>14</v>
      </c>
      <c r="H672" s="258" t="s">
        <v>16</v>
      </c>
      <c r="I672" s="261">
        <v>11</v>
      </c>
      <c r="J672" s="261" t="s">
        <v>129</v>
      </c>
      <c r="K672" s="261" t="s">
        <v>123</v>
      </c>
      <c r="L672" s="258" t="s">
        <v>142</v>
      </c>
    </row>
    <row r="673" spans="1:12" x14ac:dyDescent="0.2">
      <c r="A673" s="258" t="s">
        <v>138</v>
      </c>
      <c r="B673" s="258" t="s">
        <v>139</v>
      </c>
      <c r="C673" s="258" t="s">
        <v>17</v>
      </c>
      <c r="D673" s="258" t="s">
        <v>13</v>
      </c>
      <c r="E673" s="259">
        <v>42794</v>
      </c>
      <c r="F673" s="262">
        <v>2199.65832</v>
      </c>
      <c r="G673" s="261" t="s">
        <v>15</v>
      </c>
      <c r="H673" s="258" t="s">
        <v>16</v>
      </c>
      <c r="I673" s="261">
        <v>11</v>
      </c>
      <c r="J673" s="261" t="s">
        <v>129</v>
      </c>
      <c r="K673" s="261" t="s">
        <v>123</v>
      </c>
      <c r="L673" s="258" t="s">
        <v>142</v>
      </c>
    </row>
    <row r="674" spans="1:12" x14ac:dyDescent="0.2">
      <c r="A674" s="258" t="s">
        <v>138</v>
      </c>
      <c r="B674" s="258" t="s">
        <v>139</v>
      </c>
      <c r="C674" s="258" t="s">
        <v>17</v>
      </c>
      <c r="D674" s="258" t="s">
        <v>13</v>
      </c>
      <c r="E674" s="259">
        <v>42787</v>
      </c>
      <c r="F674" s="260">
        <v>14.7</v>
      </c>
      <c r="G674" s="261" t="s">
        <v>14</v>
      </c>
      <c r="H674" s="258" t="s">
        <v>128</v>
      </c>
      <c r="I674" s="261">
        <v>801</v>
      </c>
      <c r="J674" s="261" t="s">
        <v>129</v>
      </c>
      <c r="K674" s="261" t="s">
        <v>123</v>
      </c>
      <c r="L674" s="258" t="s">
        <v>140</v>
      </c>
    </row>
    <row r="675" spans="1:12" x14ac:dyDescent="0.2">
      <c r="A675" s="258" t="s">
        <v>138</v>
      </c>
      <c r="B675" s="258" t="s">
        <v>139</v>
      </c>
      <c r="C675" s="258" t="s">
        <v>17</v>
      </c>
      <c r="D675" s="258" t="s">
        <v>13</v>
      </c>
      <c r="E675" s="259">
        <v>42787</v>
      </c>
      <c r="F675" s="262">
        <v>1891.68714</v>
      </c>
      <c r="G675" s="261" t="s">
        <v>15</v>
      </c>
      <c r="H675" s="258" t="s">
        <v>128</v>
      </c>
      <c r="I675" s="261">
        <v>801</v>
      </c>
      <c r="J675" s="261" t="s">
        <v>129</v>
      </c>
      <c r="K675" s="261" t="s">
        <v>123</v>
      </c>
      <c r="L675" s="258" t="s">
        <v>140</v>
      </c>
    </row>
    <row r="676" spans="1:12" x14ac:dyDescent="0.2">
      <c r="A676" s="258" t="s">
        <v>138</v>
      </c>
      <c r="B676" s="258" t="s">
        <v>139</v>
      </c>
      <c r="C676" s="258" t="s">
        <v>17</v>
      </c>
      <c r="D676" s="258" t="s">
        <v>13</v>
      </c>
      <c r="E676" s="259">
        <v>42787</v>
      </c>
      <c r="F676" s="260">
        <v>11.7</v>
      </c>
      <c r="G676" s="261" t="s">
        <v>14</v>
      </c>
      <c r="H676" s="258" t="s">
        <v>16</v>
      </c>
      <c r="I676" s="261">
        <v>801</v>
      </c>
      <c r="J676" s="261" t="s">
        <v>129</v>
      </c>
      <c r="K676" s="261" t="s">
        <v>123</v>
      </c>
      <c r="L676" s="258" t="s">
        <v>140</v>
      </c>
    </row>
    <row r="677" spans="1:12" x14ac:dyDescent="0.2">
      <c r="A677" s="258" t="s">
        <v>138</v>
      </c>
      <c r="B677" s="258" t="s">
        <v>139</v>
      </c>
      <c r="C677" s="258" t="s">
        <v>17</v>
      </c>
      <c r="D677" s="258" t="s">
        <v>13</v>
      </c>
      <c r="E677" s="259">
        <v>42787</v>
      </c>
      <c r="F677" s="262">
        <v>1381.7044800000001</v>
      </c>
      <c r="G677" s="261" t="s">
        <v>15</v>
      </c>
      <c r="H677" s="258" t="s">
        <v>16</v>
      </c>
      <c r="I677" s="261">
        <v>801</v>
      </c>
      <c r="J677" s="261" t="s">
        <v>129</v>
      </c>
      <c r="K677" s="261" t="s">
        <v>123</v>
      </c>
      <c r="L677" s="258" t="s">
        <v>140</v>
      </c>
    </row>
    <row r="678" spans="1:12" x14ac:dyDescent="0.2">
      <c r="A678" s="258" t="s">
        <v>138</v>
      </c>
      <c r="B678" s="258" t="s">
        <v>139</v>
      </c>
      <c r="C678" s="258" t="s">
        <v>17</v>
      </c>
      <c r="D678" s="258" t="s">
        <v>13</v>
      </c>
      <c r="E678" s="259">
        <v>42780</v>
      </c>
      <c r="F678" s="260">
        <v>12.4</v>
      </c>
      <c r="G678" s="261" t="s">
        <v>14</v>
      </c>
      <c r="H678" s="258" t="s">
        <v>128</v>
      </c>
      <c r="I678" s="261">
        <v>801</v>
      </c>
      <c r="J678" s="261" t="s">
        <v>129</v>
      </c>
      <c r="K678" s="261" t="s">
        <v>123</v>
      </c>
      <c r="L678" s="258" t="s">
        <v>140</v>
      </c>
    </row>
    <row r="679" spans="1:12" x14ac:dyDescent="0.2">
      <c r="A679" s="258" t="s">
        <v>138</v>
      </c>
      <c r="B679" s="258" t="s">
        <v>139</v>
      </c>
      <c r="C679" s="258" t="s">
        <v>17</v>
      </c>
      <c r="D679" s="258" t="s">
        <v>13</v>
      </c>
      <c r="E679" s="259">
        <v>42780</v>
      </c>
      <c r="F679" s="262">
        <v>1476.7804799999999</v>
      </c>
      <c r="G679" s="261" t="s">
        <v>15</v>
      </c>
      <c r="H679" s="258" t="s">
        <v>128</v>
      </c>
      <c r="I679" s="261">
        <v>801</v>
      </c>
      <c r="J679" s="261" t="s">
        <v>129</v>
      </c>
      <c r="K679" s="261" t="s">
        <v>123</v>
      </c>
      <c r="L679" s="258" t="s">
        <v>140</v>
      </c>
    </row>
    <row r="680" spans="1:12" x14ac:dyDescent="0.2">
      <c r="A680" s="258" t="s">
        <v>138</v>
      </c>
      <c r="B680" s="258" t="s">
        <v>139</v>
      </c>
      <c r="C680" s="258" t="s">
        <v>17</v>
      </c>
      <c r="D680" s="258" t="s">
        <v>13</v>
      </c>
      <c r="E680" s="259">
        <v>42780</v>
      </c>
      <c r="F680" s="260">
        <v>8.08</v>
      </c>
      <c r="G680" s="261" t="s">
        <v>14</v>
      </c>
      <c r="H680" s="258" t="s">
        <v>16</v>
      </c>
      <c r="I680" s="261">
        <v>801</v>
      </c>
      <c r="J680" s="261" t="s">
        <v>129</v>
      </c>
      <c r="K680" s="261" t="s">
        <v>123</v>
      </c>
      <c r="L680" s="258" t="s">
        <v>140</v>
      </c>
    </row>
    <row r="681" spans="1:12" x14ac:dyDescent="0.2">
      <c r="A681" s="258" t="s">
        <v>138</v>
      </c>
      <c r="B681" s="258" t="s">
        <v>139</v>
      </c>
      <c r="C681" s="258" t="s">
        <v>17</v>
      </c>
      <c r="D681" s="258" t="s">
        <v>13</v>
      </c>
      <c r="E681" s="259">
        <v>42780</v>
      </c>
      <c r="F681" s="262">
        <v>870.64262399999996</v>
      </c>
      <c r="G681" s="261" t="s">
        <v>15</v>
      </c>
      <c r="H681" s="258" t="s">
        <v>16</v>
      </c>
      <c r="I681" s="261">
        <v>801</v>
      </c>
      <c r="J681" s="261" t="s">
        <v>129</v>
      </c>
      <c r="K681" s="261" t="s">
        <v>123</v>
      </c>
      <c r="L681" s="258" t="s">
        <v>140</v>
      </c>
    </row>
    <row r="682" spans="1:12" x14ac:dyDescent="0.2">
      <c r="A682" s="258" t="s">
        <v>138</v>
      </c>
      <c r="B682" s="258" t="s">
        <v>139</v>
      </c>
      <c r="C682" s="258" t="s">
        <v>17</v>
      </c>
      <c r="D682" s="258" t="s">
        <v>13</v>
      </c>
      <c r="E682" s="259">
        <v>42773</v>
      </c>
      <c r="F682" s="260">
        <v>8.3000000000000007</v>
      </c>
      <c r="G682" s="261" t="s">
        <v>14</v>
      </c>
      <c r="H682" s="258" t="s">
        <v>128</v>
      </c>
      <c r="I682" s="261">
        <v>801</v>
      </c>
      <c r="J682" s="261" t="s">
        <v>129</v>
      </c>
      <c r="K682" s="261" t="s">
        <v>123</v>
      </c>
      <c r="L682" s="258" t="s">
        <v>140</v>
      </c>
    </row>
    <row r="683" spans="1:12" x14ac:dyDescent="0.2">
      <c r="A683" s="258" t="s">
        <v>138</v>
      </c>
      <c r="B683" s="258" t="s">
        <v>139</v>
      </c>
      <c r="C683" s="258" t="s">
        <v>17</v>
      </c>
      <c r="D683" s="258" t="s">
        <v>13</v>
      </c>
      <c r="E683" s="259">
        <v>42773</v>
      </c>
      <c r="F683" s="262">
        <v>1023.79338</v>
      </c>
      <c r="G683" s="261" t="s">
        <v>15</v>
      </c>
      <c r="H683" s="258" t="s">
        <v>128</v>
      </c>
      <c r="I683" s="261">
        <v>801</v>
      </c>
      <c r="J683" s="261" t="s">
        <v>129</v>
      </c>
      <c r="K683" s="261" t="s">
        <v>123</v>
      </c>
      <c r="L683" s="258" t="s">
        <v>140</v>
      </c>
    </row>
    <row r="684" spans="1:12" x14ac:dyDescent="0.2">
      <c r="A684" s="258" t="s">
        <v>138</v>
      </c>
      <c r="B684" s="258" t="s">
        <v>139</v>
      </c>
      <c r="C684" s="258" t="s">
        <v>17</v>
      </c>
      <c r="D684" s="258" t="s">
        <v>13</v>
      </c>
      <c r="E684" s="259">
        <v>42773</v>
      </c>
      <c r="F684" s="260">
        <v>6.74</v>
      </c>
      <c r="G684" s="261" t="s">
        <v>14</v>
      </c>
      <c r="H684" s="258" t="s">
        <v>16</v>
      </c>
      <c r="I684" s="261">
        <v>801</v>
      </c>
      <c r="J684" s="261" t="s">
        <v>129</v>
      </c>
      <c r="K684" s="261" t="s">
        <v>123</v>
      </c>
      <c r="L684" s="258" t="s">
        <v>140</v>
      </c>
    </row>
    <row r="685" spans="1:12" x14ac:dyDescent="0.2">
      <c r="A685" s="258" t="s">
        <v>138</v>
      </c>
      <c r="B685" s="258" t="s">
        <v>139</v>
      </c>
      <c r="C685" s="258" t="s">
        <v>17</v>
      </c>
      <c r="D685" s="258" t="s">
        <v>13</v>
      </c>
      <c r="E685" s="259">
        <v>42773</v>
      </c>
      <c r="F685" s="262">
        <v>768.97468800000001</v>
      </c>
      <c r="G685" s="261" t="s">
        <v>15</v>
      </c>
      <c r="H685" s="258" t="s">
        <v>16</v>
      </c>
      <c r="I685" s="261">
        <v>801</v>
      </c>
      <c r="J685" s="261" t="s">
        <v>129</v>
      </c>
      <c r="K685" s="261" t="s">
        <v>123</v>
      </c>
      <c r="L685" s="258" t="s">
        <v>140</v>
      </c>
    </row>
    <row r="686" spans="1:12" x14ac:dyDescent="0.2">
      <c r="A686" s="258" t="s">
        <v>138</v>
      </c>
      <c r="B686" s="258" t="s">
        <v>139</v>
      </c>
      <c r="C686" s="258" t="s">
        <v>17</v>
      </c>
      <c r="D686" s="258" t="s">
        <v>13</v>
      </c>
      <c r="E686" s="259">
        <v>42766</v>
      </c>
      <c r="F686" s="260">
        <v>10.199999999999999</v>
      </c>
      <c r="G686" s="261" t="s">
        <v>14</v>
      </c>
      <c r="H686" s="258" t="s">
        <v>128</v>
      </c>
      <c r="I686" s="261">
        <v>801</v>
      </c>
      <c r="J686" s="261" t="s">
        <v>129</v>
      </c>
      <c r="K686" s="261" t="s">
        <v>123</v>
      </c>
      <c r="L686" s="258" t="s">
        <v>140</v>
      </c>
    </row>
    <row r="687" spans="1:12" x14ac:dyDescent="0.2">
      <c r="A687" s="258" t="s">
        <v>138</v>
      </c>
      <c r="B687" s="258" t="s">
        <v>139</v>
      </c>
      <c r="C687" s="258" t="s">
        <v>17</v>
      </c>
      <c r="D687" s="258" t="s">
        <v>13</v>
      </c>
      <c r="E687" s="259">
        <v>42766</v>
      </c>
      <c r="F687" s="262">
        <v>1339.8209999999999</v>
      </c>
      <c r="G687" s="261" t="s">
        <v>15</v>
      </c>
      <c r="H687" s="258" t="s">
        <v>128</v>
      </c>
      <c r="I687" s="261">
        <v>801</v>
      </c>
      <c r="J687" s="261" t="s">
        <v>129</v>
      </c>
      <c r="K687" s="261" t="s">
        <v>123</v>
      </c>
      <c r="L687" s="258" t="s">
        <v>140</v>
      </c>
    </row>
    <row r="688" spans="1:12" x14ac:dyDescent="0.2">
      <c r="A688" s="258" t="s">
        <v>138</v>
      </c>
      <c r="B688" s="258" t="s">
        <v>139</v>
      </c>
      <c r="C688" s="258" t="s">
        <v>17</v>
      </c>
      <c r="D688" s="258" t="s">
        <v>13</v>
      </c>
      <c r="E688" s="259">
        <v>42766</v>
      </c>
      <c r="F688" s="260">
        <v>3.98</v>
      </c>
      <c r="G688" s="261" t="s">
        <v>14</v>
      </c>
      <c r="H688" s="258" t="s">
        <v>16</v>
      </c>
      <c r="I688" s="261">
        <v>801</v>
      </c>
      <c r="J688" s="261" t="s">
        <v>129</v>
      </c>
      <c r="K688" s="261" t="s">
        <v>123</v>
      </c>
      <c r="L688" s="258" t="s">
        <v>140</v>
      </c>
    </row>
    <row r="689" spans="1:12" x14ac:dyDescent="0.2">
      <c r="A689" s="258" t="s">
        <v>138</v>
      </c>
      <c r="B689" s="258" t="s">
        <v>139</v>
      </c>
      <c r="C689" s="258" t="s">
        <v>17</v>
      </c>
      <c r="D689" s="258" t="s">
        <v>13</v>
      </c>
      <c r="E689" s="259">
        <v>42766</v>
      </c>
      <c r="F689" s="262">
        <v>492.255156</v>
      </c>
      <c r="G689" s="261" t="s">
        <v>15</v>
      </c>
      <c r="H689" s="258" t="s">
        <v>16</v>
      </c>
      <c r="I689" s="261">
        <v>801</v>
      </c>
      <c r="J689" s="261" t="s">
        <v>129</v>
      </c>
      <c r="K689" s="261" t="s">
        <v>123</v>
      </c>
      <c r="L689" s="258" t="s">
        <v>140</v>
      </c>
    </row>
    <row r="690" spans="1:12" x14ac:dyDescent="0.2">
      <c r="A690" s="258" t="s">
        <v>138</v>
      </c>
      <c r="B690" s="258" t="s">
        <v>139</v>
      </c>
      <c r="C690" s="258" t="s">
        <v>17</v>
      </c>
      <c r="D690" s="258" t="s">
        <v>13</v>
      </c>
      <c r="E690" s="259">
        <v>42759</v>
      </c>
      <c r="F690" s="260">
        <v>9.1</v>
      </c>
      <c r="G690" s="261" t="s">
        <v>14</v>
      </c>
      <c r="H690" s="258" t="s">
        <v>128</v>
      </c>
      <c r="I690" s="261">
        <v>801</v>
      </c>
      <c r="J690" s="261" t="s">
        <v>129</v>
      </c>
      <c r="K690" s="261" t="s">
        <v>123</v>
      </c>
      <c r="L690" s="258" t="s">
        <v>140</v>
      </c>
    </row>
    <row r="691" spans="1:12" x14ac:dyDescent="0.2">
      <c r="A691" s="258" t="s">
        <v>138</v>
      </c>
      <c r="B691" s="258" t="s">
        <v>139</v>
      </c>
      <c r="C691" s="258" t="s">
        <v>17</v>
      </c>
      <c r="D691" s="258" t="s">
        <v>13</v>
      </c>
      <c r="E691" s="259">
        <v>42759</v>
      </c>
      <c r="F691" s="262">
        <v>1245.4205400000001</v>
      </c>
      <c r="G691" s="261" t="s">
        <v>15</v>
      </c>
      <c r="H691" s="258" t="s">
        <v>128</v>
      </c>
      <c r="I691" s="261">
        <v>801</v>
      </c>
      <c r="J691" s="261" t="s">
        <v>129</v>
      </c>
      <c r="K691" s="261" t="s">
        <v>123</v>
      </c>
      <c r="L691" s="258" t="s">
        <v>140</v>
      </c>
    </row>
    <row r="692" spans="1:12" x14ac:dyDescent="0.2">
      <c r="A692" s="258" t="s">
        <v>138</v>
      </c>
      <c r="B692" s="258" t="s">
        <v>139</v>
      </c>
      <c r="C692" s="258" t="s">
        <v>17</v>
      </c>
      <c r="D692" s="258" t="s">
        <v>13</v>
      </c>
      <c r="E692" s="259">
        <v>42759</v>
      </c>
      <c r="F692" s="260">
        <v>6.91</v>
      </c>
      <c r="G692" s="261" t="s">
        <v>14</v>
      </c>
      <c r="H692" s="258" t="s">
        <v>16</v>
      </c>
      <c r="I692" s="261">
        <v>11</v>
      </c>
      <c r="J692" s="261" t="s">
        <v>129</v>
      </c>
      <c r="K692" s="261" t="s">
        <v>123</v>
      </c>
      <c r="L692" s="258" t="s">
        <v>142</v>
      </c>
    </row>
    <row r="693" spans="1:12" x14ac:dyDescent="0.2">
      <c r="A693" s="258" t="s">
        <v>138</v>
      </c>
      <c r="B693" s="258" t="s">
        <v>139</v>
      </c>
      <c r="C693" s="258" t="s">
        <v>17</v>
      </c>
      <c r="D693" s="258" t="s">
        <v>13</v>
      </c>
      <c r="E693" s="259">
        <v>42759</v>
      </c>
      <c r="F693" s="262">
        <v>851.76253199999996</v>
      </c>
      <c r="G693" s="261" t="s">
        <v>15</v>
      </c>
      <c r="H693" s="258" t="s">
        <v>16</v>
      </c>
      <c r="I693" s="261">
        <v>11</v>
      </c>
      <c r="J693" s="261" t="s">
        <v>129</v>
      </c>
      <c r="K693" s="261" t="s">
        <v>123</v>
      </c>
      <c r="L693" s="258" t="s">
        <v>142</v>
      </c>
    </row>
    <row r="694" spans="1:12" x14ac:dyDescent="0.2">
      <c r="A694" s="258" t="s">
        <v>138</v>
      </c>
      <c r="B694" s="258" t="s">
        <v>139</v>
      </c>
      <c r="C694" s="258" t="s">
        <v>17</v>
      </c>
      <c r="D694" s="258" t="s">
        <v>13</v>
      </c>
      <c r="E694" s="259">
        <v>42752</v>
      </c>
      <c r="F694" s="260">
        <v>11.05</v>
      </c>
      <c r="G694" s="261" t="s">
        <v>14</v>
      </c>
      <c r="H694" s="258" t="s">
        <v>128</v>
      </c>
      <c r="I694" s="261">
        <v>801</v>
      </c>
      <c r="J694" s="261" t="s">
        <v>129</v>
      </c>
      <c r="K694" s="261" t="s">
        <v>123</v>
      </c>
      <c r="L694" s="258" t="s">
        <v>140</v>
      </c>
    </row>
    <row r="695" spans="1:12" x14ac:dyDescent="0.2">
      <c r="A695" s="258" t="s">
        <v>138</v>
      </c>
      <c r="B695" s="258" t="s">
        <v>139</v>
      </c>
      <c r="C695" s="258" t="s">
        <v>17</v>
      </c>
      <c r="D695" s="258" t="s">
        <v>13</v>
      </c>
      <c r="E695" s="259">
        <v>42752</v>
      </c>
      <c r="F695" s="262">
        <v>1407.23739</v>
      </c>
      <c r="G695" s="261" t="s">
        <v>15</v>
      </c>
      <c r="H695" s="258" t="s">
        <v>128</v>
      </c>
      <c r="I695" s="261">
        <v>801</v>
      </c>
      <c r="J695" s="261" t="s">
        <v>129</v>
      </c>
      <c r="K695" s="261" t="s">
        <v>123</v>
      </c>
      <c r="L695" s="258" t="s">
        <v>140</v>
      </c>
    </row>
    <row r="696" spans="1:12" x14ac:dyDescent="0.2">
      <c r="A696" s="258" t="s">
        <v>138</v>
      </c>
      <c r="B696" s="258" t="s">
        <v>139</v>
      </c>
      <c r="C696" s="258" t="s">
        <v>17</v>
      </c>
      <c r="D696" s="258" t="s">
        <v>13</v>
      </c>
      <c r="E696" s="259">
        <v>42752</v>
      </c>
      <c r="F696" s="260">
        <v>4.4800000000000004</v>
      </c>
      <c r="G696" s="261" t="s">
        <v>14</v>
      </c>
      <c r="H696" s="258" t="s">
        <v>16</v>
      </c>
      <c r="I696" s="261">
        <v>801</v>
      </c>
      <c r="J696" s="261" t="s">
        <v>129</v>
      </c>
      <c r="K696" s="261" t="s">
        <v>123</v>
      </c>
      <c r="L696" s="258" t="s">
        <v>140</v>
      </c>
    </row>
    <row r="697" spans="1:12" x14ac:dyDescent="0.2">
      <c r="A697" s="258" t="s">
        <v>138</v>
      </c>
      <c r="B697" s="258" t="s">
        <v>139</v>
      </c>
      <c r="C697" s="258" t="s">
        <v>17</v>
      </c>
      <c r="D697" s="258" t="s">
        <v>13</v>
      </c>
      <c r="E697" s="259">
        <v>42752</v>
      </c>
      <c r="F697" s="262">
        <v>502.53503999999998</v>
      </c>
      <c r="G697" s="261" t="s">
        <v>15</v>
      </c>
      <c r="H697" s="258" t="s">
        <v>16</v>
      </c>
      <c r="I697" s="261">
        <v>801</v>
      </c>
      <c r="J697" s="261" t="s">
        <v>129</v>
      </c>
      <c r="K697" s="261" t="s">
        <v>123</v>
      </c>
      <c r="L697" s="258" t="s">
        <v>140</v>
      </c>
    </row>
    <row r="698" spans="1:12" x14ac:dyDescent="0.2">
      <c r="A698" s="258" t="s">
        <v>138</v>
      </c>
      <c r="B698" s="258" t="s">
        <v>139</v>
      </c>
      <c r="C698" s="258" t="s">
        <v>17</v>
      </c>
      <c r="D698" s="258" t="s">
        <v>13</v>
      </c>
      <c r="E698" s="259">
        <v>42745</v>
      </c>
      <c r="F698" s="260">
        <v>10.5</v>
      </c>
      <c r="G698" s="261" t="s">
        <v>14</v>
      </c>
      <c r="H698" s="258" t="s">
        <v>128</v>
      </c>
      <c r="I698" s="261">
        <v>801</v>
      </c>
      <c r="J698" s="261" t="s">
        <v>129</v>
      </c>
      <c r="K698" s="261" t="s">
        <v>123</v>
      </c>
      <c r="L698" s="258" t="s">
        <v>140</v>
      </c>
    </row>
    <row r="699" spans="1:12" x14ac:dyDescent="0.2">
      <c r="A699" s="258" t="s">
        <v>138</v>
      </c>
      <c r="B699" s="258" t="s">
        <v>139</v>
      </c>
      <c r="C699" s="258" t="s">
        <v>17</v>
      </c>
      <c r="D699" s="258" t="s">
        <v>13</v>
      </c>
      <c r="E699" s="259">
        <v>42745</v>
      </c>
      <c r="F699" s="262">
        <v>1426.5153</v>
      </c>
      <c r="G699" s="261" t="s">
        <v>15</v>
      </c>
      <c r="H699" s="258" t="s">
        <v>128</v>
      </c>
      <c r="I699" s="261">
        <v>801</v>
      </c>
      <c r="J699" s="261" t="s">
        <v>129</v>
      </c>
      <c r="K699" s="261" t="s">
        <v>123</v>
      </c>
      <c r="L699" s="258" t="s">
        <v>140</v>
      </c>
    </row>
    <row r="700" spans="1:12" x14ac:dyDescent="0.2">
      <c r="A700" s="258" t="s">
        <v>138</v>
      </c>
      <c r="B700" s="258" t="s">
        <v>139</v>
      </c>
      <c r="C700" s="258" t="s">
        <v>17</v>
      </c>
      <c r="D700" s="258" t="s">
        <v>13</v>
      </c>
      <c r="E700" s="259">
        <v>42745</v>
      </c>
      <c r="F700" s="260">
        <v>7.42</v>
      </c>
      <c r="G700" s="261" t="s">
        <v>14</v>
      </c>
      <c r="H700" s="258" t="s">
        <v>16</v>
      </c>
      <c r="I700" s="261">
        <v>801</v>
      </c>
      <c r="J700" s="261" t="s">
        <v>129</v>
      </c>
      <c r="K700" s="261" t="s">
        <v>123</v>
      </c>
      <c r="L700" s="258" t="s">
        <v>140</v>
      </c>
    </row>
    <row r="701" spans="1:12" x14ac:dyDescent="0.2">
      <c r="A701" s="258" t="s">
        <v>138</v>
      </c>
      <c r="B701" s="258" t="s">
        <v>139</v>
      </c>
      <c r="C701" s="258" t="s">
        <v>17</v>
      </c>
      <c r="D701" s="258" t="s">
        <v>13</v>
      </c>
      <c r="E701" s="259">
        <v>42745</v>
      </c>
      <c r="F701" s="262">
        <v>916.48426800000004</v>
      </c>
      <c r="G701" s="261" t="s">
        <v>15</v>
      </c>
      <c r="H701" s="258" t="s">
        <v>16</v>
      </c>
      <c r="I701" s="261">
        <v>801</v>
      </c>
      <c r="J701" s="261" t="s">
        <v>129</v>
      </c>
      <c r="K701" s="261" t="s">
        <v>123</v>
      </c>
      <c r="L701" s="258" t="s">
        <v>140</v>
      </c>
    </row>
    <row r="702" spans="1:12" x14ac:dyDescent="0.2">
      <c r="A702" s="258" t="s">
        <v>138</v>
      </c>
      <c r="B702" s="258" t="s">
        <v>139</v>
      </c>
      <c r="C702" s="258" t="s">
        <v>17</v>
      </c>
      <c r="D702" s="258" t="s">
        <v>13</v>
      </c>
      <c r="E702" s="259">
        <v>42738</v>
      </c>
      <c r="F702" s="260">
        <v>9.6999999999999993</v>
      </c>
      <c r="G702" s="261" t="s">
        <v>14</v>
      </c>
      <c r="H702" s="258" t="s">
        <v>128</v>
      </c>
      <c r="I702" s="261">
        <v>801</v>
      </c>
      <c r="J702" s="261" t="s">
        <v>129</v>
      </c>
      <c r="K702" s="261" t="s">
        <v>123</v>
      </c>
      <c r="L702" s="258" t="s">
        <v>140</v>
      </c>
    </row>
    <row r="703" spans="1:12" x14ac:dyDescent="0.2">
      <c r="A703" s="258" t="s">
        <v>138</v>
      </c>
      <c r="B703" s="258" t="s">
        <v>139</v>
      </c>
      <c r="C703" s="258" t="s">
        <v>17</v>
      </c>
      <c r="D703" s="258" t="s">
        <v>13</v>
      </c>
      <c r="E703" s="259">
        <v>42738</v>
      </c>
      <c r="F703" s="262">
        <v>1224.7957200000001</v>
      </c>
      <c r="G703" s="261" t="s">
        <v>15</v>
      </c>
      <c r="H703" s="258" t="s">
        <v>128</v>
      </c>
      <c r="I703" s="261">
        <v>801</v>
      </c>
      <c r="J703" s="261" t="s">
        <v>129</v>
      </c>
      <c r="K703" s="261" t="s">
        <v>123</v>
      </c>
      <c r="L703" s="258" t="s">
        <v>140</v>
      </c>
    </row>
    <row r="704" spans="1:12" x14ac:dyDescent="0.2">
      <c r="A704" s="258" t="s">
        <v>138</v>
      </c>
      <c r="B704" s="258" t="s">
        <v>139</v>
      </c>
      <c r="C704" s="258" t="s">
        <v>17</v>
      </c>
      <c r="D704" s="258" t="s">
        <v>13</v>
      </c>
      <c r="E704" s="259">
        <v>42738</v>
      </c>
      <c r="F704" s="260">
        <v>9.73</v>
      </c>
      <c r="G704" s="261" t="s">
        <v>14</v>
      </c>
      <c r="H704" s="258" t="s">
        <v>16</v>
      </c>
      <c r="I704" s="261">
        <v>801</v>
      </c>
      <c r="J704" s="261" t="s">
        <v>129</v>
      </c>
      <c r="K704" s="261" t="s">
        <v>123</v>
      </c>
      <c r="L704" s="258" t="s">
        <v>140</v>
      </c>
    </row>
    <row r="705" spans="1:13" x14ac:dyDescent="0.2">
      <c r="A705" s="258" t="s">
        <v>138</v>
      </c>
      <c r="B705" s="258" t="s">
        <v>139</v>
      </c>
      <c r="C705" s="258" t="s">
        <v>17</v>
      </c>
      <c r="D705" s="258" t="s">
        <v>13</v>
      </c>
      <c r="E705" s="259">
        <v>42738</v>
      </c>
      <c r="F705" s="262">
        <v>1154.7388860000001</v>
      </c>
      <c r="G705" s="261" t="s">
        <v>15</v>
      </c>
      <c r="H705" s="258" t="s">
        <v>16</v>
      </c>
      <c r="I705" s="261">
        <v>801</v>
      </c>
      <c r="J705" s="261" t="s">
        <v>129</v>
      </c>
      <c r="K705" s="261" t="s">
        <v>123</v>
      </c>
      <c r="L705" s="258" t="s">
        <v>140</v>
      </c>
    </row>
    <row r="706" spans="1:13" x14ac:dyDescent="0.2">
      <c r="A706" s="258" t="s">
        <v>138</v>
      </c>
      <c r="B706" s="258" t="s">
        <v>139</v>
      </c>
      <c r="C706" s="258" t="s">
        <v>17</v>
      </c>
      <c r="D706" s="258" t="s">
        <v>13</v>
      </c>
      <c r="E706" s="259">
        <v>42731</v>
      </c>
      <c r="F706" s="260">
        <v>10.9750794</v>
      </c>
      <c r="G706" s="261" t="s">
        <v>14</v>
      </c>
      <c r="H706" s="258" t="s">
        <v>128</v>
      </c>
      <c r="I706" s="261">
        <v>801</v>
      </c>
      <c r="J706" s="261" t="s">
        <v>129</v>
      </c>
      <c r="K706" s="261" t="s">
        <v>123</v>
      </c>
      <c r="L706" s="258" t="s">
        <v>140</v>
      </c>
      <c r="M706" s="258" t="s">
        <v>128</v>
      </c>
    </row>
    <row r="707" spans="1:13" x14ac:dyDescent="0.2">
      <c r="A707" s="258" t="s">
        <v>138</v>
      </c>
      <c r="B707" s="258" t="s">
        <v>139</v>
      </c>
      <c r="C707" s="258" t="s">
        <v>17</v>
      </c>
      <c r="D707" s="258" t="s">
        <v>13</v>
      </c>
      <c r="E707" s="259">
        <v>42731</v>
      </c>
      <c r="F707" s="262">
        <v>1439.8009199999999</v>
      </c>
      <c r="G707" s="261" t="s">
        <v>15</v>
      </c>
      <c r="H707" s="258" t="s">
        <v>128</v>
      </c>
      <c r="I707" s="261">
        <v>801</v>
      </c>
      <c r="J707" s="261" t="s">
        <v>129</v>
      </c>
      <c r="K707" s="261" t="s">
        <v>123</v>
      </c>
      <c r="L707" s="258" t="s">
        <v>140</v>
      </c>
      <c r="M707" s="258" t="s">
        <v>128</v>
      </c>
    </row>
    <row r="708" spans="1:13" x14ac:dyDescent="0.2">
      <c r="A708" s="258" t="s">
        <v>138</v>
      </c>
      <c r="B708" s="258" t="s">
        <v>139</v>
      </c>
      <c r="C708" s="258" t="s">
        <v>17</v>
      </c>
      <c r="D708" s="258" t="s">
        <v>13</v>
      </c>
      <c r="E708" s="259">
        <v>42731</v>
      </c>
      <c r="F708" s="260">
        <v>4.8</v>
      </c>
      <c r="G708" s="261" t="s">
        <v>14</v>
      </c>
      <c r="H708" s="258" t="s">
        <v>16</v>
      </c>
      <c r="I708" s="261">
        <v>801</v>
      </c>
      <c r="J708" s="261" t="s">
        <v>129</v>
      </c>
      <c r="K708" s="261" t="s">
        <v>123</v>
      </c>
      <c r="L708" s="258" t="s">
        <v>140</v>
      </c>
      <c r="M708" s="258" t="s">
        <v>133</v>
      </c>
    </row>
    <row r="709" spans="1:13" x14ac:dyDescent="0.2">
      <c r="A709" s="258" t="s">
        <v>138</v>
      </c>
      <c r="B709" s="258" t="s">
        <v>139</v>
      </c>
      <c r="C709" s="258" t="s">
        <v>17</v>
      </c>
      <c r="D709" s="258" t="s">
        <v>13</v>
      </c>
      <c r="E709" s="259">
        <v>42731</v>
      </c>
      <c r="F709" s="262">
        <v>604.88351999999998</v>
      </c>
      <c r="G709" s="261" t="s">
        <v>15</v>
      </c>
      <c r="H709" s="258" t="s">
        <v>16</v>
      </c>
      <c r="I709" s="261">
        <v>801</v>
      </c>
      <c r="J709" s="261" t="s">
        <v>129</v>
      </c>
      <c r="K709" s="261" t="s">
        <v>123</v>
      </c>
      <c r="L709" s="258" t="s">
        <v>140</v>
      </c>
      <c r="M709" s="258" t="s">
        <v>133</v>
      </c>
    </row>
    <row r="710" spans="1:13" x14ac:dyDescent="0.2">
      <c r="A710" s="258" t="s">
        <v>138</v>
      </c>
      <c r="B710" s="258" t="s">
        <v>139</v>
      </c>
      <c r="C710" s="258" t="s">
        <v>17</v>
      </c>
      <c r="D710" s="258" t="s">
        <v>13</v>
      </c>
      <c r="E710" s="259">
        <v>42724</v>
      </c>
      <c r="F710" s="260">
        <v>12.4476</v>
      </c>
      <c r="G710" s="261" t="s">
        <v>14</v>
      </c>
      <c r="H710" s="258" t="s">
        <v>128</v>
      </c>
      <c r="I710" s="261">
        <v>801</v>
      </c>
      <c r="J710" s="261" t="s">
        <v>129</v>
      </c>
      <c r="K710" s="261" t="s">
        <v>123</v>
      </c>
      <c r="L710" s="258" t="s">
        <v>140</v>
      </c>
      <c r="M710" s="258" t="s">
        <v>128</v>
      </c>
    </row>
    <row r="711" spans="1:13" x14ac:dyDescent="0.2">
      <c r="A711" s="258" t="s">
        <v>138</v>
      </c>
      <c r="B711" s="258" t="s">
        <v>139</v>
      </c>
      <c r="C711" s="258" t="s">
        <v>17</v>
      </c>
      <c r="D711" s="258" t="s">
        <v>13</v>
      </c>
      <c r="E711" s="259">
        <v>42724</v>
      </c>
      <c r="F711" s="262">
        <v>1427.4285299999999</v>
      </c>
      <c r="G711" s="261" t="s">
        <v>15</v>
      </c>
      <c r="H711" s="258" t="s">
        <v>128</v>
      </c>
      <c r="I711" s="261">
        <v>801</v>
      </c>
      <c r="J711" s="261" t="s">
        <v>129</v>
      </c>
      <c r="K711" s="261" t="s">
        <v>123</v>
      </c>
      <c r="L711" s="258" t="s">
        <v>140</v>
      </c>
      <c r="M711" s="258" t="s">
        <v>128</v>
      </c>
    </row>
    <row r="712" spans="1:13" x14ac:dyDescent="0.2">
      <c r="A712" s="258" t="s">
        <v>138</v>
      </c>
      <c r="B712" s="258" t="s">
        <v>139</v>
      </c>
      <c r="C712" s="258" t="s">
        <v>17</v>
      </c>
      <c r="D712" s="258" t="s">
        <v>13</v>
      </c>
      <c r="E712" s="259">
        <v>42724</v>
      </c>
      <c r="F712" s="260">
        <v>7.78</v>
      </c>
      <c r="G712" s="261" t="s">
        <v>14</v>
      </c>
      <c r="H712" s="258" t="s">
        <v>16</v>
      </c>
      <c r="I712" s="261">
        <v>801</v>
      </c>
      <c r="J712" s="261" t="s">
        <v>129</v>
      </c>
      <c r="K712" s="261" t="s">
        <v>123</v>
      </c>
      <c r="L712" s="258" t="s">
        <v>140</v>
      </c>
      <c r="M712" s="258" t="s">
        <v>133</v>
      </c>
    </row>
    <row r="713" spans="1:13" x14ac:dyDescent="0.2">
      <c r="A713" s="258" t="s">
        <v>138</v>
      </c>
      <c r="B713" s="258" t="s">
        <v>139</v>
      </c>
      <c r="C713" s="258" t="s">
        <v>17</v>
      </c>
      <c r="D713" s="258" t="s">
        <v>13</v>
      </c>
      <c r="E713" s="259">
        <v>42724</v>
      </c>
      <c r="F713" s="262">
        <v>866.21741999999995</v>
      </c>
      <c r="G713" s="261" t="s">
        <v>15</v>
      </c>
      <c r="H713" s="258" t="s">
        <v>16</v>
      </c>
      <c r="I713" s="261">
        <v>801</v>
      </c>
      <c r="J713" s="261" t="s">
        <v>129</v>
      </c>
      <c r="K713" s="261" t="s">
        <v>123</v>
      </c>
      <c r="L713" s="258" t="s">
        <v>140</v>
      </c>
      <c r="M713" s="258" t="s">
        <v>133</v>
      </c>
    </row>
    <row r="714" spans="1:13" x14ac:dyDescent="0.2">
      <c r="A714" s="258" t="s">
        <v>138</v>
      </c>
      <c r="B714" s="258" t="s">
        <v>139</v>
      </c>
      <c r="C714" s="258" t="s">
        <v>17</v>
      </c>
      <c r="D714" s="258" t="s">
        <v>13</v>
      </c>
      <c r="E714" s="259">
        <v>42717</v>
      </c>
      <c r="F714" s="260">
        <v>17.160913699999998</v>
      </c>
      <c r="G714" s="261" t="s">
        <v>14</v>
      </c>
      <c r="H714" s="258" t="s">
        <v>128</v>
      </c>
      <c r="I714" s="261">
        <v>801</v>
      </c>
      <c r="J714" s="261" t="s">
        <v>129</v>
      </c>
      <c r="K714" s="261" t="s">
        <v>123</v>
      </c>
      <c r="L714" s="258" t="s">
        <v>140</v>
      </c>
      <c r="M714" s="258" t="s">
        <v>128</v>
      </c>
    </row>
    <row r="715" spans="1:13" x14ac:dyDescent="0.2">
      <c r="A715" s="258" t="s">
        <v>138</v>
      </c>
      <c r="B715" s="258" t="s">
        <v>139</v>
      </c>
      <c r="C715" s="258" t="s">
        <v>17</v>
      </c>
      <c r="D715" s="258" t="s">
        <v>13</v>
      </c>
      <c r="E715" s="259">
        <v>42717</v>
      </c>
      <c r="F715" s="262">
        <v>1973.65266</v>
      </c>
      <c r="G715" s="261" t="s">
        <v>15</v>
      </c>
      <c r="H715" s="258" t="s">
        <v>128</v>
      </c>
      <c r="I715" s="261">
        <v>801</v>
      </c>
      <c r="J715" s="261" t="s">
        <v>129</v>
      </c>
      <c r="K715" s="261" t="s">
        <v>123</v>
      </c>
      <c r="L715" s="258" t="s">
        <v>140</v>
      </c>
      <c r="M715" s="258" t="s">
        <v>128</v>
      </c>
    </row>
    <row r="716" spans="1:13" x14ac:dyDescent="0.2">
      <c r="A716" s="258" t="s">
        <v>138</v>
      </c>
      <c r="B716" s="258" t="s">
        <v>139</v>
      </c>
      <c r="C716" s="258" t="s">
        <v>17</v>
      </c>
      <c r="D716" s="258" t="s">
        <v>13</v>
      </c>
      <c r="E716" s="259">
        <v>42717</v>
      </c>
      <c r="F716" s="260">
        <v>11.9</v>
      </c>
      <c r="G716" s="261" t="s">
        <v>14</v>
      </c>
      <c r="H716" s="258" t="s">
        <v>16</v>
      </c>
      <c r="I716" s="261">
        <v>801</v>
      </c>
      <c r="J716" s="261" t="s">
        <v>129</v>
      </c>
      <c r="K716" s="261" t="s">
        <v>123</v>
      </c>
      <c r="L716" s="258" t="s">
        <v>140</v>
      </c>
      <c r="M716" s="258" t="s">
        <v>133</v>
      </c>
    </row>
    <row r="717" spans="1:13" x14ac:dyDescent="0.2">
      <c r="A717" s="258" t="s">
        <v>138</v>
      </c>
      <c r="B717" s="258" t="s">
        <v>139</v>
      </c>
      <c r="C717" s="258" t="s">
        <v>17</v>
      </c>
      <c r="D717" s="258" t="s">
        <v>13</v>
      </c>
      <c r="E717" s="259">
        <v>42717</v>
      </c>
      <c r="F717" s="262">
        <v>1316.99442</v>
      </c>
      <c r="G717" s="261" t="s">
        <v>15</v>
      </c>
      <c r="H717" s="258" t="s">
        <v>16</v>
      </c>
      <c r="I717" s="261">
        <v>801</v>
      </c>
      <c r="J717" s="261" t="s">
        <v>129</v>
      </c>
      <c r="K717" s="261" t="s">
        <v>123</v>
      </c>
      <c r="L717" s="258" t="s">
        <v>140</v>
      </c>
      <c r="M717" s="258" t="s">
        <v>133</v>
      </c>
    </row>
    <row r="718" spans="1:13" x14ac:dyDescent="0.2">
      <c r="A718" s="258" t="s">
        <v>138</v>
      </c>
      <c r="B718" s="258" t="s">
        <v>139</v>
      </c>
      <c r="C718" s="258" t="s">
        <v>17</v>
      </c>
      <c r="D718" s="258" t="s">
        <v>13</v>
      </c>
      <c r="E718" s="259">
        <v>42710</v>
      </c>
      <c r="F718" s="260">
        <v>10.529199200000001</v>
      </c>
      <c r="G718" s="261" t="s">
        <v>14</v>
      </c>
      <c r="H718" s="258" t="s">
        <v>128</v>
      </c>
      <c r="I718" s="261">
        <v>801</v>
      </c>
      <c r="J718" s="261" t="s">
        <v>129</v>
      </c>
      <c r="K718" s="261" t="s">
        <v>123</v>
      </c>
      <c r="L718" s="258" t="s">
        <v>140</v>
      </c>
      <c r="M718" s="258" t="s">
        <v>128</v>
      </c>
    </row>
    <row r="719" spans="1:13" x14ac:dyDescent="0.2">
      <c r="A719" s="258" t="s">
        <v>138</v>
      </c>
      <c r="B719" s="258" t="s">
        <v>139</v>
      </c>
      <c r="C719" s="258" t="s">
        <v>17</v>
      </c>
      <c r="D719" s="258" t="s">
        <v>13</v>
      </c>
      <c r="E719" s="259">
        <v>42710</v>
      </c>
      <c r="F719" s="262">
        <v>1348.8156899999999</v>
      </c>
      <c r="G719" s="261" t="s">
        <v>15</v>
      </c>
      <c r="H719" s="258" t="s">
        <v>128</v>
      </c>
      <c r="I719" s="261">
        <v>801</v>
      </c>
      <c r="J719" s="261" t="s">
        <v>129</v>
      </c>
      <c r="K719" s="261" t="s">
        <v>123</v>
      </c>
      <c r="L719" s="258" t="s">
        <v>140</v>
      </c>
      <c r="M719" s="258" t="s">
        <v>128</v>
      </c>
    </row>
    <row r="720" spans="1:13" x14ac:dyDescent="0.2">
      <c r="A720" s="258" t="s">
        <v>138</v>
      </c>
      <c r="B720" s="258" t="s">
        <v>139</v>
      </c>
      <c r="C720" s="258" t="s">
        <v>17</v>
      </c>
      <c r="D720" s="258" t="s">
        <v>13</v>
      </c>
      <c r="E720" s="259">
        <v>42710</v>
      </c>
      <c r="F720" s="260">
        <v>9.2899999999999991</v>
      </c>
      <c r="G720" s="261" t="s">
        <v>14</v>
      </c>
      <c r="H720" s="258" t="s">
        <v>16</v>
      </c>
      <c r="I720" s="261">
        <v>801</v>
      </c>
      <c r="J720" s="261" t="s">
        <v>129</v>
      </c>
      <c r="K720" s="261" t="s">
        <v>123</v>
      </c>
      <c r="L720" s="258" t="s">
        <v>140</v>
      </c>
      <c r="M720" s="258" t="s">
        <v>133</v>
      </c>
    </row>
    <row r="721" spans="1:13" x14ac:dyDescent="0.2">
      <c r="A721" s="258" t="s">
        <v>138</v>
      </c>
      <c r="B721" s="258" t="s">
        <v>139</v>
      </c>
      <c r="C721" s="258" t="s">
        <v>17</v>
      </c>
      <c r="D721" s="258" t="s">
        <v>13</v>
      </c>
      <c r="E721" s="259">
        <v>42710</v>
      </c>
      <c r="F721" s="262">
        <v>1107.94398</v>
      </c>
      <c r="G721" s="261" t="s">
        <v>15</v>
      </c>
      <c r="H721" s="258" t="s">
        <v>16</v>
      </c>
      <c r="I721" s="261">
        <v>801</v>
      </c>
      <c r="J721" s="261" t="s">
        <v>129</v>
      </c>
      <c r="K721" s="261" t="s">
        <v>123</v>
      </c>
      <c r="L721" s="258" t="s">
        <v>140</v>
      </c>
      <c r="M721" s="258" t="s">
        <v>133</v>
      </c>
    </row>
    <row r="722" spans="1:13" x14ac:dyDescent="0.2">
      <c r="A722" s="258" t="s">
        <v>138</v>
      </c>
      <c r="B722" s="258" t="s">
        <v>139</v>
      </c>
      <c r="C722" s="258" t="s">
        <v>17</v>
      </c>
      <c r="D722" s="258" t="s">
        <v>13</v>
      </c>
      <c r="E722" s="259">
        <v>42703</v>
      </c>
      <c r="F722" s="260">
        <v>14.46</v>
      </c>
      <c r="G722" s="261" t="s">
        <v>14</v>
      </c>
      <c r="H722" s="258" t="s">
        <v>128</v>
      </c>
      <c r="I722" s="261">
        <v>801</v>
      </c>
      <c r="J722" s="261" t="s">
        <v>129</v>
      </c>
      <c r="K722" s="261" t="s">
        <v>123</v>
      </c>
      <c r="L722" s="258" t="s">
        <v>140</v>
      </c>
      <c r="M722" s="258" t="s">
        <v>128</v>
      </c>
    </row>
    <row r="723" spans="1:13" x14ac:dyDescent="0.2">
      <c r="A723" s="258" t="s">
        <v>138</v>
      </c>
      <c r="B723" s="258" t="s">
        <v>139</v>
      </c>
      <c r="C723" s="258" t="s">
        <v>17</v>
      </c>
      <c r="D723" s="258" t="s">
        <v>13</v>
      </c>
      <c r="E723" s="259">
        <v>42703</v>
      </c>
      <c r="F723" s="262">
        <v>1843.918956</v>
      </c>
      <c r="G723" s="261" t="s">
        <v>15</v>
      </c>
      <c r="H723" s="258" t="s">
        <v>128</v>
      </c>
      <c r="I723" s="261">
        <v>801</v>
      </c>
      <c r="J723" s="261" t="s">
        <v>129</v>
      </c>
      <c r="K723" s="261" t="s">
        <v>123</v>
      </c>
      <c r="L723" s="258" t="s">
        <v>140</v>
      </c>
      <c r="M723" s="258" t="s">
        <v>128</v>
      </c>
    </row>
    <row r="724" spans="1:13" x14ac:dyDescent="0.2">
      <c r="A724" s="258" t="s">
        <v>138</v>
      </c>
      <c r="B724" s="258" t="s">
        <v>139</v>
      </c>
      <c r="C724" s="258" t="s">
        <v>17</v>
      </c>
      <c r="D724" s="258" t="s">
        <v>13</v>
      </c>
      <c r="E724" s="259">
        <v>42703</v>
      </c>
      <c r="F724" s="260">
        <v>11.2</v>
      </c>
      <c r="G724" s="261" t="s">
        <v>14</v>
      </c>
      <c r="H724" s="258" t="s">
        <v>16</v>
      </c>
      <c r="I724" s="261">
        <v>801</v>
      </c>
      <c r="J724" s="261" t="s">
        <v>129</v>
      </c>
      <c r="K724" s="261" t="s">
        <v>123</v>
      </c>
      <c r="L724" s="258" t="s">
        <v>140</v>
      </c>
      <c r="M724" s="258" t="s">
        <v>133</v>
      </c>
    </row>
    <row r="725" spans="1:13" x14ac:dyDescent="0.2">
      <c r="A725" s="258" t="s">
        <v>138</v>
      </c>
      <c r="B725" s="258" t="s">
        <v>139</v>
      </c>
      <c r="C725" s="258" t="s">
        <v>17</v>
      </c>
      <c r="D725" s="258" t="s">
        <v>13</v>
      </c>
      <c r="E725" s="259">
        <v>42703</v>
      </c>
      <c r="F725" s="262">
        <v>1357.2182399999999</v>
      </c>
      <c r="G725" s="261" t="s">
        <v>15</v>
      </c>
      <c r="H725" s="258" t="s">
        <v>16</v>
      </c>
      <c r="I725" s="261">
        <v>801</v>
      </c>
      <c r="J725" s="261" t="s">
        <v>129</v>
      </c>
      <c r="K725" s="261" t="s">
        <v>123</v>
      </c>
      <c r="L725" s="258" t="s">
        <v>140</v>
      </c>
      <c r="M725" s="258" t="s">
        <v>133</v>
      </c>
    </row>
    <row r="726" spans="1:13" x14ac:dyDescent="0.2">
      <c r="A726" s="258" t="s">
        <v>138</v>
      </c>
      <c r="B726" s="258" t="s">
        <v>139</v>
      </c>
      <c r="C726" s="258" t="s">
        <v>17</v>
      </c>
      <c r="D726" s="258" t="s">
        <v>13</v>
      </c>
      <c r="E726" s="259">
        <v>42696</v>
      </c>
      <c r="F726" s="260">
        <v>17.64</v>
      </c>
      <c r="G726" s="261" t="s">
        <v>14</v>
      </c>
      <c r="H726" s="258" t="s">
        <v>128</v>
      </c>
      <c r="I726" s="261">
        <v>801</v>
      </c>
      <c r="J726" s="261" t="s">
        <v>129</v>
      </c>
      <c r="K726" s="261" t="s">
        <v>123</v>
      </c>
      <c r="L726" s="258" t="s">
        <v>140</v>
      </c>
      <c r="M726" s="258" t="s">
        <v>128</v>
      </c>
    </row>
    <row r="727" spans="1:13" x14ac:dyDescent="0.2">
      <c r="A727" s="258" t="s">
        <v>138</v>
      </c>
      <c r="B727" s="258" t="s">
        <v>139</v>
      </c>
      <c r="C727" s="258" t="s">
        <v>17</v>
      </c>
      <c r="D727" s="258" t="s">
        <v>13</v>
      </c>
      <c r="E727" s="259">
        <v>42696</v>
      </c>
      <c r="F727" s="262">
        <v>2061.1175760000001</v>
      </c>
      <c r="G727" s="261" t="s">
        <v>15</v>
      </c>
      <c r="H727" s="258" t="s">
        <v>128</v>
      </c>
      <c r="I727" s="261">
        <v>801</v>
      </c>
      <c r="J727" s="261" t="s">
        <v>129</v>
      </c>
      <c r="K727" s="261" t="s">
        <v>123</v>
      </c>
      <c r="L727" s="258" t="s">
        <v>140</v>
      </c>
      <c r="M727" s="258" t="s">
        <v>128</v>
      </c>
    </row>
    <row r="728" spans="1:13" x14ac:dyDescent="0.2">
      <c r="A728" s="258" t="s">
        <v>138</v>
      </c>
      <c r="B728" s="258" t="s">
        <v>139</v>
      </c>
      <c r="C728" s="258" t="s">
        <v>17</v>
      </c>
      <c r="D728" s="258" t="s">
        <v>13</v>
      </c>
      <c r="E728" s="259">
        <v>42696</v>
      </c>
      <c r="F728" s="260">
        <v>9.02</v>
      </c>
      <c r="G728" s="261" t="s">
        <v>14</v>
      </c>
      <c r="H728" s="258" t="s">
        <v>16</v>
      </c>
      <c r="I728" s="261">
        <v>801</v>
      </c>
      <c r="J728" s="261" t="s">
        <v>129</v>
      </c>
      <c r="K728" s="261" t="s">
        <v>123</v>
      </c>
      <c r="L728" s="258" t="s">
        <v>140</v>
      </c>
      <c r="M728" s="258" t="s">
        <v>133</v>
      </c>
    </row>
    <row r="729" spans="1:13" x14ac:dyDescent="0.2">
      <c r="A729" s="258" t="s">
        <v>138</v>
      </c>
      <c r="B729" s="258" t="s">
        <v>139</v>
      </c>
      <c r="C729" s="258" t="s">
        <v>17</v>
      </c>
      <c r="D729" s="258" t="s">
        <v>13</v>
      </c>
      <c r="E729" s="259">
        <v>42696</v>
      </c>
      <c r="F729" s="262">
        <v>1032.1116959999999</v>
      </c>
      <c r="G729" s="261" t="s">
        <v>15</v>
      </c>
      <c r="H729" s="258" t="s">
        <v>16</v>
      </c>
      <c r="I729" s="261">
        <v>801</v>
      </c>
      <c r="J729" s="261" t="s">
        <v>129</v>
      </c>
      <c r="K729" s="261" t="s">
        <v>123</v>
      </c>
      <c r="L729" s="258" t="s">
        <v>140</v>
      </c>
      <c r="M729" s="258" t="s">
        <v>133</v>
      </c>
    </row>
    <row r="730" spans="1:13" x14ac:dyDescent="0.2">
      <c r="A730" s="258" t="s">
        <v>138</v>
      </c>
      <c r="B730" s="258" t="s">
        <v>139</v>
      </c>
      <c r="C730" s="258" t="s">
        <v>17</v>
      </c>
      <c r="D730" s="258" t="s">
        <v>13</v>
      </c>
      <c r="E730" s="259">
        <v>42689</v>
      </c>
      <c r="F730" s="260">
        <v>11.84</v>
      </c>
      <c r="G730" s="261" t="s">
        <v>14</v>
      </c>
      <c r="H730" s="258" t="s">
        <v>128</v>
      </c>
      <c r="I730" s="261">
        <v>801</v>
      </c>
      <c r="J730" s="261" t="s">
        <v>129</v>
      </c>
      <c r="K730" s="261" t="s">
        <v>123</v>
      </c>
      <c r="L730" s="258" t="s">
        <v>140</v>
      </c>
      <c r="M730" s="258" t="s">
        <v>128</v>
      </c>
    </row>
    <row r="731" spans="1:13" x14ac:dyDescent="0.2">
      <c r="A731" s="258" t="s">
        <v>138</v>
      </c>
      <c r="B731" s="258" t="s">
        <v>139</v>
      </c>
      <c r="C731" s="258" t="s">
        <v>17</v>
      </c>
      <c r="D731" s="258" t="s">
        <v>13</v>
      </c>
      <c r="E731" s="259">
        <v>42689</v>
      </c>
      <c r="F731" s="262">
        <v>1442.6732159999999</v>
      </c>
      <c r="G731" s="261" t="s">
        <v>15</v>
      </c>
      <c r="H731" s="258" t="s">
        <v>128</v>
      </c>
      <c r="I731" s="261">
        <v>801</v>
      </c>
      <c r="J731" s="261" t="s">
        <v>129</v>
      </c>
      <c r="K731" s="261" t="s">
        <v>123</v>
      </c>
      <c r="L731" s="258" t="s">
        <v>140</v>
      </c>
      <c r="M731" s="258" t="s">
        <v>128</v>
      </c>
    </row>
    <row r="732" spans="1:13" x14ac:dyDescent="0.2">
      <c r="A732" s="258" t="s">
        <v>138</v>
      </c>
      <c r="B732" s="258" t="s">
        <v>139</v>
      </c>
      <c r="C732" s="258" t="s">
        <v>17</v>
      </c>
      <c r="D732" s="258" t="s">
        <v>13</v>
      </c>
      <c r="E732" s="259">
        <v>42689</v>
      </c>
      <c r="F732" s="260">
        <v>9.18</v>
      </c>
      <c r="G732" s="261" t="s">
        <v>14</v>
      </c>
      <c r="H732" s="258" t="s">
        <v>16</v>
      </c>
      <c r="I732" s="261">
        <v>801</v>
      </c>
      <c r="J732" s="261" t="s">
        <v>129</v>
      </c>
      <c r="K732" s="261" t="s">
        <v>123</v>
      </c>
      <c r="L732" s="258" t="s">
        <v>140</v>
      </c>
      <c r="M732" s="258" t="s">
        <v>133</v>
      </c>
    </row>
    <row r="733" spans="1:13" x14ac:dyDescent="0.2">
      <c r="A733" s="258" t="s">
        <v>138</v>
      </c>
      <c r="B733" s="258" t="s">
        <v>139</v>
      </c>
      <c r="C733" s="258" t="s">
        <v>17</v>
      </c>
      <c r="D733" s="258" t="s">
        <v>13</v>
      </c>
      <c r="E733" s="259">
        <v>42689</v>
      </c>
      <c r="F733" s="262">
        <v>1107.0749519999999</v>
      </c>
      <c r="G733" s="261" t="s">
        <v>15</v>
      </c>
      <c r="H733" s="258" t="s">
        <v>16</v>
      </c>
      <c r="I733" s="261">
        <v>801</v>
      </c>
      <c r="J733" s="261" t="s">
        <v>129</v>
      </c>
      <c r="K733" s="261" t="s">
        <v>123</v>
      </c>
      <c r="L733" s="258" t="s">
        <v>140</v>
      </c>
      <c r="M733" s="258" t="s">
        <v>133</v>
      </c>
    </row>
    <row r="734" spans="1:13" x14ac:dyDescent="0.2">
      <c r="A734" s="258" t="s">
        <v>138</v>
      </c>
      <c r="B734" s="258" t="s">
        <v>139</v>
      </c>
      <c r="C734" s="258" t="s">
        <v>17</v>
      </c>
      <c r="D734" s="258" t="s">
        <v>13</v>
      </c>
      <c r="E734" s="259">
        <v>42682</v>
      </c>
      <c r="F734" s="260">
        <v>10.220000000000001</v>
      </c>
      <c r="G734" s="261" t="s">
        <v>14</v>
      </c>
      <c r="H734" s="258" t="s">
        <v>128</v>
      </c>
      <c r="I734" s="261">
        <v>801</v>
      </c>
      <c r="J734" s="261" t="s">
        <v>129</v>
      </c>
      <c r="K734" s="261" t="s">
        <v>123</v>
      </c>
      <c r="L734" s="258" t="s">
        <v>140</v>
      </c>
      <c r="M734" s="258" t="s">
        <v>128</v>
      </c>
    </row>
    <row r="735" spans="1:13" x14ac:dyDescent="0.2">
      <c r="A735" s="258" t="s">
        <v>138</v>
      </c>
      <c r="B735" s="258" t="s">
        <v>139</v>
      </c>
      <c r="C735" s="258" t="s">
        <v>17</v>
      </c>
      <c r="D735" s="258" t="s">
        <v>13</v>
      </c>
      <c r="E735" s="259">
        <v>42682</v>
      </c>
      <c r="F735" s="262">
        <v>1296.421308</v>
      </c>
      <c r="G735" s="261" t="s">
        <v>15</v>
      </c>
      <c r="H735" s="258" t="s">
        <v>128</v>
      </c>
      <c r="I735" s="261">
        <v>801</v>
      </c>
      <c r="J735" s="261" t="s">
        <v>129</v>
      </c>
      <c r="K735" s="261" t="s">
        <v>123</v>
      </c>
      <c r="L735" s="258" t="s">
        <v>140</v>
      </c>
      <c r="M735" s="258" t="s">
        <v>128</v>
      </c>
    </row>
    <row r="736" spans="1:13" x14ac:dyDescent="0.2">
      <c r="A736" s="258" t="s">
        <v>138</v>
      </c>
      <c r="B736" s="258" t="s">
        <v>139</v>
      </c>
      <c r="C736" s="258" t="s">
        <v>17</v>
      </c>
      <c r="D736" s="258" t="s">
        <v>13</v>
      </c>
      <c r="E736" s="259">
        <v>42682</v>
      </c>
      <c r="F736" s="260">
        <v>8.59</v>
      </c>
      <c r="G736" s="261" t="s">
        <v>14</v>
      </c>
      <c r="H736" s="258" t="s">
        <v>16</v>
      </c>
      <c r="I736" s="261">
        <v>801</v>
      </c>
      <c r="J736" s="261" t="s">
        <v>129</v>
      </c>
      <c r="K736" s="261" t="s">
        <v>123</v>
      </c>
      <c r="L736" s="258" t="s">
        <v>140</v>
      </c>
      <c r="M736" s="258" t="s">
        <v>133</v>
      </c>
    </row>
    <row r="737" spans="1:13" x14ac:dyDescent="0.2">
      <c r="A737" s="258" t="s">
        <v>138</v>
      </c>
      <c r="B737" s="258" t="s">
        <v>139</v>
      </c>
      <c r="C737" s="258" t="s">
        <v>17</v>
      </c>
      <c r="D737" s="258" t="s">
        <v>13</v>
      </c>
      <c r="E737" s="259">
        <v>42682</v>
      </c>
      <c r="F737" s="262">
        <v>1051.6840079999999</v>
      </c>
      <c r="G737" s="261" t="s">
        <v>15</v>
      </c>
      <c r="H737" s="258" t="s">
        <v>16</v>
      </c>
      <c r="I737" s="261">
        <v>801</v>
      </c>
      <c r="J737" s="261" t="s">
        <v>129</v>
      </c>
      <c r="K737" s="261" t="s">
        <v>123</v>
      </c>
      <c r="L737" s="258" t="s">
        <v>140</v>
      </c>
      <c r="M737" s="258" t="s">
        <v>133</v>
      </c>
    </row>
    <row r="738" spans="1:13" x14ac:dyDescent="0.2">
      <c r="A738" s="258" t="s">
        <v>138</v>
      </c>
      <c r="B738" s="258" t="s">
        <v>139</v>
      </c>
      <c r="C738" s="258" t="s">
        <v>17</v>
      </c>
      <c r="D738" s="258" t="s">
        <v>13</v>
      </c>
      <c r="E738" s="259">
        <v>42675</v>
      </c>
      <c r="F738" s="260">
        <v>12.84</v>
      </c>
      <c r="G738" s="261" t="s">
        <v>14</v>
      </c>
      <c r="H738" s="258" t="s">
        <v>128</v>
      </c>
      <c r="I738" s="261">
        <v>801</v>
      </c>
      <c r="J738" s="261" t="s">
        <v>129</v>
      </c>
      <c r="K738" s="261" t="s">
        <v>123</v>
      </c>
      <c r="L738" s="258" t="s">
        <v>140</v>
      </c>
      <c r="M738" s="258" t="s">
        <v>128</v>
      </c>
    </row>
    <row r="739" spans="1:13" x14ac:dyDescent="0.2">
      <c r="A739" s="258" t="s">
        <v>138</v>
      </c>
      <c r="B739" s="258" t="s">
        <v>139</v>
      </c>
      <c r="C739" s="258" t="s">
        <v>17</v>
      </c>
      <c r="D739" s="258" t="s">
        <v>13</v>
      </c>
      <c r="E739" s="259">
        <v>42675</v>
      </c>
      <c r="F739" s="262">
        <v>1683.385632</v>
      </c>
      <c r="G739" s="261" t="s">
        <v>15</v>
      </c>
      <c r="H739" s="258" t="s">
        <v>128</v>
      </c>
      <c r="I739" s="261">
        <v>801</v>
      </c>
      <c r="J739" s="261" t="s">
        <v>129</v>
      </c>
      <c r="K739" s="261" t="s">
        <v>123</v>
      </c>
      <c r="L739" s="258" t="s">
        <v>140</v>
      </c>
      <c r="M739" s="258" t="s">
        <v>128</v>
      </c>
    </row>
    <row r="740" spans="1:13" x14ac:dyDescent="0.2">
      <c r="A740" s="258" t="s">
        <v>138</v>
      </c>
      <c r="B740" s="258" t="s">
        <v>139</v>
      </c>
      <c r="C740" s="258" t="s">
        <v>17</v>
      </c>
      <c r="D740" s="258" t="s">
        <v>13</v>
      </c>
      <c r="E740" s="259">
        <v>42675</v>
      </c>
      <c r="F740" s="260">
        <v>9.1199999999999992</v>
      </c>
      <c r="G740" s="261" t="s">
        <v>14</v>
      </c>
      <c r="H740" s="258" t="s">
        <v>16</v>
      </c>
      <c r="I740" s="261">
        <v>801</v>
      </c>
      <c r="J740" s="261" t="s">
        <v>129</v>
      </c>
      <c r="K740" s="261" t="s">
        <v>123</v>
      </c>
      <c r="L740" s="258" t="s">
        <v>140</v>
      </c>
      <c r="M740" s="258" t="s">
        <v>133</v>
      </c>
    </row>
    <row r="741" spans="1:13" x14ac:dyDescent="0.2">
      <c r="A741" s="258" t="s">
        <v>138</v>
      </c>
      <c r="B741" s="258" t="s">
        <v>139</v>
      </c>
      <c r="C741" s="258" t="s">
        <v>17</v>
      </c>
      <c r="D741" s="258" t="s">
        <v>13</v>
      </c>
      <c r="E741" s="259">
        <v>42675</v>
      </c>
      <c r="F741" s="262">
        <v>1204.0424640000001</v>
      </c>
      <c r="G741" s="261" t="s">
        <v>15</v>
      </c>
      <c r="H741" s="258" t="s">
        <v>16</v>
      </c>
      <c r="I741" s="261">
        <v>801</v>
      </c>
      <c r="J741" s="261" t="s">
        <v>129</v>
      </c>
      <c r="K741" s="261" t="s">
        <v>123</v>
      </c>
      <c r="L741" s="258" t="s">
        <v>140</v>
      </c>
      <c r="M741" s="258" t="s">
        <v>133</v>
      </c>
    </row>
    <row r="742" spans="1:13" x14ac:dyDescent="0.2">
      <c r="A742" s="258" t="s">
        <v>138</v>
      </c>
      <c r="B742" s="258" t="s">
        <v>139</v>
      </c>
      <c r="C742" s="258" t="s">
        <v>17</v>
      </c>
      <c r="D742" s="258" t="s">
        <v>13</v>
      </c>
      <c r="E742" s="259">
        <v>42668</v>
      </c>
      <c r="F742" s="260">
        <v>12</v>
      </c>
      <c r="G742" s="261" t="s">
        <v>14</v>
      </c>
      <c r="H742" s="258" t="s">
        <v>128</v>
      </c>
      <c r="I742" s="261">
        <v>801</v>
      </c>
      <c r="J742" s="261" t="s">
        <v>129</v>
      </c>
      <c r="K742" s="261" t="s">
        <v>123</v>
      </c>
      <c r="L742" s="258" t="s">
        <v>140</v>
      </c>
      <c r="M742" s="258" t="s">
        <v>128</v>
      </c>
    </row>
    <row r="743" spans="1:13" x14ac:dyDescent="0.2">
      <c r="A743" s="258" t="s">
        <v>138</v>
      </c>
      <c r="B743" s="258" t="s">
        <v>139</v>
      </c>
      <c r="C743" s="258" t="s">
        <v>17</v>
      </c>
      <c r="D743" s="258" t="s">
        <v>13</v>
      </c>
      <c r="E743" s="259">
        <v>42668</v>
      </c>
      <c r="F743" s="262">
        <v>1621.296</v>
      </c>
      <c r="G743" s="261" t="s">
        <v>15</v>
      </c>
      <c r="H743" s="258" t="s">
        <v>128</v>
      </c>
      <c r="I743" s="261">
        <v>801</v>
      </c>
      <c r="J743" s="261" t="s">
        <v>129</v>
      </c>
      <c r="K743" s="261" t="s">
        <v>123</v>
      </c>
      <c r="L743" s="258" t="s">
        <v>140</v>
      </c>
      <c r="M743" s="258" t="s">
        <v>128</v>
      </c>
    </row>
    <row r="744" spans="1:13" x14ac:dyDescent="0.2">
      <c r="A744" s="258" t="s">
        <v>138</v>
      </c>
      <c r="B744" s="258" t="s">
        <v>139</v>
      </c>
      <c r="C744" s="258" t="s">
        <v>17</v>
      </c>
      <c r="D744" s="258" t="s">
        <v>13</v>
      </c>
      <c r="E744" s="259">
        <v>42668</v>
      </c>
      <c r="F744" s="260">
        <v>9.64</v>
      </c>
      <c r="G744" s="261" t="s">
        <v>14</v>
      </c>
      <c r="H744" s="258" t="s">
        <v>16</v>
      </c>
      <c r="I744" s="261">
        <v>801</v>
      </c>
      <c r="J744" s="261" t="s">
        <v>129</v>
      </c>
      <c r="K744" s="261" t="s">
        <v>123</v>
      </c>
      <c r="L744" s="258" t="s">
        <v>140</v>
      </c>
      <c r="M744" s="258" t="s">
        <v>133</v>
      </c>
    </row>
    <row r="745" spans="1:13" x14ac:dyDescent="0.2">
      <c r="A745" s="258" t="s">
        <v>138</v>
      </c>
      <c r="B745" s="258" t="s">
        <v>139</v>
      </c>
      <c r="C745" s="258" t="s">
        <v>17</v>
      </c>
      <c r="D745" s="258" t="s">
        <v>13</v>
      </c>
      <c r="E745" s="259">
        <v>42668</v>
      </c>
      <c r="F745" s="262">
        <v>1322.54052</v>
      </c>
      <c r="G745" s="261" t="s">
        <v>15</v>
      </c>
      <c r="H745" s="258" t="s">
        <v>16</v>
      </c>
      <c r="I745" s="261">
        <v>801</v>
      </c>
      <c r="J745" s="261" t="s">
        <v>129</v>
      </c>
      <c r="K745" s="261" t="s">
        <v>123</v>
      </c>
      <c r="L745" s="258" t="s">
        <v>140</v>
      </c>
      <c r="M745" s="258" t="s">
        <v>133</v>
      </c>
    </row>
    <row r="746" spans="1:13" x14ac:dyDescent="0.2">
      <c r="A746" s="258" t="s">
        <v>138</v>
      </c>
      <c r="B746" s="258" t="s">
        <v>139</v>
      </c>
      <c r="C746" s="258" t="s">
        <v>17</v>
      </c>
      <c r="D746" s="258" t="s">
        <v>13</v>
      </c>
      <c r="E746" s="259">
        <v>42661</v>
      </c>
      <c r="F746" s="260">
        <v>13</v>
      </c>
      <c r="G746" s="261" t="s">
        <v>14</v>
      </c>
      <c r="H746" s="258" t="s">
        <v>128</v>
      </c>
      <c r="I746" s="261">
        <v>801</v>
      </c>
      <c r="J746" s="261" t="s">
        <v>129</v>
      </c>
      <c r="K746" s="261" t="s">
        <v>123</v>
      </c>
      <c r="L746" s="258" t="s">
        <v>140</v>
      </c>
      <c r="M746" s="258" t="s">
        <v>128</v>
      </c>
    </row>
    <row r="747" spans="1:13" x14ac:dyDescent="0.2">
      <c r="A747" s="258" t="s">
        <v>138</v>
      </c>
      <c r="B747" s="258" t="s">
        <v>139</v>
      </c>
      <c r="C747" s="258" t="s">
        <v>17</v>
      </c>
      <c r="D747" s="258" t="s">
        <v>13</v>
      </c>
      <c r="E747" s="259">
        <v>42661</v>
      </c>
      <c r="F747" s="262">
        <v>1739.0568000000001</v>
      </c>
      <c r="G747" s="261" t="s">
        <v>15</v>
      </c>
      <c r="H747" s="258" t="s">
        <v>128</v>
      </c>
      <c r="I747" s="261">
        <v>801</v>
      </c>
      <c r="J747" s="261" t="s">
        <v>129</v>
      </c>
      <c r="K747" s="261" t="s">
        <v>123</v>
      </c>
      <c r="L747" s="258" t="s">
        <v>140</v>
      </c>
      <c r="M747" s="258" t="s">
        <v>128</v>
      </c>
    </row>
    <row r="748" spans="1:13" x14ac:dyDescent="0.2">
      <c r="A748" s="258" t="s">
        <v>138</v>
      </c>
      <c r="B748" s="258" t="s">
        <v>139</v>
      </c>
      <c r="C748" s="258" t="s">
        <v>17</v>
      </c>
      <c r="D748" s="258" t="s">
        <v>13</v>
      </c>
      <c r="E748" s="259">
        <v>42661</v>
      </c>
      <c r="F748" s="260">
        <v>8.17</v>
      </c>
      <c r="G748" s="261" t="s">
        <v>14</v>
      </c>
      <c r="H748" s="258" t="s">
        <v>16</v>
      </c>
      <c r="I748" s="261">
        <v>801</v>
      </c>
      <c r="J748" s="261" t="s">
        <v>129</v>
      </c>
      <c r="K748" s="261" t="s">
        <v>123</v>
      </c>
      <c r="L748" s="258" t="s">
        <v>140</v>
      </c>
      <c r="M748" s="258" t="s">
        <v>133</v>
      </c>
    </row>
    <row r="749" spans="1:13" x14ac:dyDescent="0.2">
      <c r="A749" s="258" t="s">
        <v>138</v>
      </c>
      <c r="B749" s="258" t="s">
        <v>139</v>
      </c>
      <c r="C749" s="258" t="s">
        <v>17</v>
      </c>
      <c r="D749" s="258" t="s">
        <v>13</v>
      </c>
      <c r="E749" s="259">
        <v>42661</v>
      </c>
      <c r="F749" s="262">
        <v>1144.033662</v>
      </c>
      <c r="G749" s="261" t="s">
        <v>15</v>
      </c>
      <c r="H749" s="258" t="s">
        <v>16</v>
      </c>
      <c r="I749" s="261">
        <v>801</v>
      </c>
      <c r="J749" s="261" t="s">
        <v>129</v>
      </c>
      <c r="K749" s="261" t="s">
        <v>123</v>
      </c>
      <c r="L749" s="258" t="s">
        <v>140</v>
      </c>
      <c r="M749" s="258" t="s">
        <v>133</v>
      </c>
    </row>
    <row r="750" spans="1:13" x14ac:dyDescent="0.2">
      <c r="A750" s="258" t="s">
        <v>138</v>
      </c>
      <c r="B750" s="258" t="s">
        <v>139</v>
      </c>
      <c r="C750" s="258" t="s">
        <v>17</v>
      </c>
      <c r="D750" s="258" t="s">
        <v>13</v>
      </c>
      <c r="E750" s="259">
        <v>42654</v>
      </c>
      <c r="F750" s="260">
        <v>9</v>
      </c>
      <c r="G750" s="261" t="s">
        <v>14</v>
      </c>
      <c r="H750" s="258" t="s">
        <v>128</v>
      </c>
      <c r="I750" s="261">
        <v>801</v>
      </c>
      <c r="J750" s="261" t="s">
        <v>129</v>
      </c>
      <c r="K750" s="261" t="s">
        <v>123</v>
      </c>
      <c r="L750" s="258" t="s">
        <v>140</v>
      </c>
      <c r="M750" s="258" t="s">
        <v>128</v>
      </c>
    </row>
    <row r="751" spans="1:13" x14ac:dyDescent="0.2">
      <c r="A751" s="258" t="s">
        <v>138</v>
      </c>
      <c r="B751" s="258" t="s">
        <v>139</v>
      </c>
      <c r="C751" s="258" t="s">
        <v>17</v>
      </c>
      <c r="D751" s="258" t="s">
        <v>13</v>
      </c>
      <c r="E751" s="259">
        <v>42654</v>
      </c>
      <c r="F751" s="262">
        <v>1365.3414</v>
      </c>
      <c r="G751" s="261" t="s">
        <v>15</v>
      </c>
      <c r="H751" s="258" t="s">
        <v>128</v>
      </c>
      <c r="I751" s="261">
        <v>801</v>
      </c>
      <c r="J751" s="261" t="s">
        <v>129</v>
      </c>
      <c r="K751" s="261" t="s">
        <v>123</v>
      </c>
      <c r="L751" s="258" t="s">
        <v>140</v>
      </c>
      <c r="M751" s="258" t="s">
        <v>128</v>
      </c>
    </row>
    <row r="752" spans="1:13" x14ac:dyDescent="0.2">
      <c r="A752" s="258" t="s">
        <v>138</v>
      </c>
      <c r="B752" s="258" t="s">
        <v>139</v>
      </c>
      <c r="C752" s="258" t="s">
        <v>17</v>
      </c>
      <c r="D752" s="258" t="s">
        <v>13</v>
      </c>
      <c r="E752" s="259">
        <v>42654</v>
      </c>
      <c r="F752" s="260">
        <v>5.26</v>
      </c>
      <c r="G752" s="261" t="s">
        <v>14</v>
      </c>
      <c r="H752" s="258" t="s">
        <v>16</v>
      </c>
      <c r="I752" s="261">
        <v>801</v>
      </c>
      <c r="J752" s="261" t="s">
        <v>129</v>
      </c>
      <c r="K752" s="261" t="s">
        <v>123</v>
      </c>
      <c r="L752" s="258" t="s">
        <v>140</v>
      </c>
      <c r="M752" s="258" t="s">
        <v>133</v>
      </c>
    </row>
    <row r="753" spans="1:14" x14ac:dyDescent="0.2">
      <c r="A753" s="258" t="s">
        <v>138</v>
      </c>
      <c r="B753" s="258" t="s">
        <v>139</v>
      </c>
      <c r="C753" s="258" t="s">
        <v>17</v>
      </c>
      <c r="D753" s="258" t="s">
        <v>13</v>
      </c>
      <c r="E753" s="259">
        <v>42654</v>
      </c>
      <c r="F753" s="262">
        <v>798.40488000000005</v>
      </c>
      <c r="G753" s="261" t="s">
        <v>15</v>
      </c>
      <c r="H753" s="258" t="s">
        <v>16</v>
      </c>
      <c r="I753" s="261">
        <v>801</v>
      </c>
      <c r="J753" s="261" t="s">
        <v>129</v>
      </c>
      <c r="K753" s="261" t="s">
        <v>123</v>
      </c>
      <c r="L753" s="258" t="s">
        <v>140</v>
      </c>
      <c r="M753" s="258" t="s">
        <v>133</v>
      </c>
    </row>
    <row r="754" spans="1:14" x14ac:dyDescent="0.2">
      <c r="A754" s="258" t="s">
        <v>138</v>
      </c>
      <c r="B754" s="258" t="s">
        <v>139</v>
      </c>
      <c r="C754" s="258" t="s">
        <v>17</v>
      </c>
      <c r="D754" s="258" t="s">
        <v>13</v>
      </c>
      <c r="E754" s="259">
        <v>42647</v>
      </c>
      <c r="F754" s="260">
        <v>8</v>
      </c>
      <c r="G754" s="261" t="s">
        <v>14</v>
      </c>
      <c r="H754" s="258" t="s">
        <v>128</v>
      </c>
      <c r="I754" s="261">
        <v>801</v>
      </c>
      <c r="J754" s="261" t="s">
        <v>129</v>
      </c>
      <c r="K754" s="261" t="s">
        <v>123</v>
      </c>
      <c r="L754" s="258" t="s">
        <v>140</v>
      </c>
      <c r="M754" s="258" t="s">
        <v>128</v>
      </c>
    </row>
    <row r="755" spans="1:14" x14ac:dyDescent="0.2">
      <c r="A755" s="258" t="s">
        <v>138</v>
      </c>
      <c r="B755" s="258" t="s">
        <v>139</v>
      </c>
      <c r="C755" s="258" t="s">
        <v>17</v>
      </c>
      <c r="D755" s="258" t="s">
        <v>13</v>
      </c>
      <c r="E755" s="259">
        <v>42647</v>
      </c>
      <c r="F755" s="262">
        <v>1666.6656</v>
      </c>
      <c r="G755" s="261" t="s">
        <v>15</v>
      </c>
      <c r="H755" s="258" t="s">
        <v>128</v>
      </c>
      <c r="I755" s="261">
        <v>801</v>
      </c>
      <c r="J755" s="261" t="s">
        <v>129</v>
      </c>
      <c r="K755" s="261" t="s">
        <v>123</v>
      </c>
      <c r="L755" s="258" t="s">
        <v>140</v>
      </c>
      <c r="M755" s="258" t="s">
        <v>128</v>
      </c>
    </row>
    <row r="756" spans="1:14" x14ac:dyDescent="0.2">
      <c r="A756" s="258" t="s">
        <v>138</v>
      </c>
      <c r="B756" s="258" t="s">
        <v>139</v>
      </c>
      <c r="C756" s="258" t="s">
        <v>17</v>
      </c>
      <c r="D756" s="258" t="s">
        <v>13</v>
      </c>
      <c r="E756" s="259">
        <v>42647</v>
      </c>
      <c r="F756" s="260">
        <v>4.2</v>
      </c>
      <c r="G756" s="261" t="s">
        <v>14</v>
      </c>
      <c r="H756" s="258" t="s">
        <v>16</v>
      </c>
      <c r="I756" s="261">
        <v>11</v>
      </c>
      <c r="J756" s="261" t="s">
        <v>129</v>
      </c>
      <c r="K756" s="261" t="s">
        <v>123</v>
      </c>
      <c r="L756" s="258" t="s">
        <v>142</v>
      </c>
      <c r="M756" s="258" t="s">
        <v>133</v>
      </c>
    </row>
    <row r="757" spans="1:14" x14ac:dyDescent="0.2">
      <c r="A757" s="258" t="s">
        <v>138</v>
      </c>
      <c r="B757" s="258" t="s">
        <v>139</v>
      </c>
      <c r="C757" s="258" t="s">
        <v>17</v>
      </c>
      <c r="D757" s="258" t="s">
        <v>13</v>
      </c>
      <c r="E757" s="259">
        <v>42647</v>
      </c>
      <c r="F757" s="262">
        <v>848.02787999999998</v>
      </c>
      <c r="G757" s="261" t="s">
        <v>15</v>
      </c>
      <c r="H757" s="258" t="s">
        <v>16</v>
      </c>
      <c r="I757" s="261">
        <v>11</v>
      </c>
      <c r="J757" s="261" t="s">
        <v>129</v>
      </c>
      <c r="K757" s="261" t="s">
        <v>123</v>
      </c>
      <c r="L757" s="258" t="s">
        <v>142</v>
      </c>
      <c r="M757" s="258" t="s">
        <v>133</v>
      </c>
      <c r="N757" s="258"/>
    </row>
    <row r="758" spans="1:14" x14ac:dyDescent="0.2">
      <c r="A758" s="258" t="s">
        <v>138</v>
      </c>
      <c r="B758" s="258" t="s">
        <v>139</v>
      </c>
      <c r="C758" s="258" t="s">
        <v>17</v>
      </c>
      <c r="D758" s="258" t="s">
        <v>13</v>
      </c>
      <c r="E758" s="259">
        <v>42641</v>
      </c>
      <c r="F758" s="260">
        <v>4.9048094000000004</v>
      </c>
      <c r="G758" s="261" t="s">
        <v>14</v>
      </c>
      <c r="H758" s="258" t="s">
        <v>128</v>
      </c>
      <c r="I758" s="261">
        <v>801</v>
      </c>
      <c r="J758" s="261" t="s">
        <v>129</v>
      </c>
      <c r="K758" s="261" t="s">
        <v>123</v>
      </c>
      <c r="L758" s="258" t="s">
        <v>140</v>
      </c>
      <c r="M758" s="258" t="s">
        <v>128</v>
      </c>
    </row>
    <row r="759" spans="1:14" x14ac:dyDescent="0.2">
      <c r="A759" s="258" t="s">
        <v>138</v>
      </c>
      <c r="B759" s="258" t="s">
        <v>139</v>
      </c>
      <c r="C759" s="258" t="s">
        <v>17</v>
      </c>
      <c r="D759" s="258" t="s">
        <v>13</v>
      </c>
      <c r="E759" s="259">
        <v>42641</v>
      </c>
      <c r="F759" s="262">
        <v>1180.550352</v>
      </c>
      <c r="G759" s="261" t="s">
        <v>15</v>
      </c>
      <c r="H759" s="258" t="s">
        <v>128</v>
      </c>
      <c r="I759" s="261">
        <v>801</v>
      </c>
      <c r="J759" s="261" t="s">
        <v>129</v>
      </c>
      <c r="K759" s="261" t="s">
        <v>123</v>
      </c>
      <c r="L759" s="258" t="s">
        <v>140</v>
      </c>
      <c r="M759" s="258" t="s">
        <v>128</v>
      </c>
    </row>
    <row r="760" spans="1:14" x14ac:dyDescent="0.2">
      <c r="A760" s="258" t="s">
        <v>138</v>
      </c>
      <c r="B760" s="258" t="s">
        <v>139</v>
      </c>
      <c r="C760" s="258" t="s">
        <v>17</v>
      </c>
      <c r="D760" s="258" t="s">
        <v>13</v>
      </c>
      <c r="E760" s="259">
        <v>42641</v>
      </c>
      <c r="F760" s="260">
        <v>2.31</v>
      </c>
      <c r="G760" s="261" t="s">
        <v>14</v>
      </c>
      <c r="H760" s="258" t="s">
        <v>16</v>
      </c>
      <c r="I760" s="261">
        <v>11</v>
      </c>
      <c r="J760" s="261" t="s">
        <v>129</v>
      </c>
      <c r="K760" s="261" t="s">
        <v>123</v>
      </c>
      <c r="L760" s="258" t="s">
        <v>142</v>
      </c>
      <c r="M760" s="258" t="s">
        <v>133</v>
      </c>
      <c r="N760" s="258"/>
    </row>
    <row r="761" spans="1:14" x14ac:dyDescent="0.2">
      <c r="A761" s="258" t="s">
        <v>138</v>
      </c>
      <c r="B761" s="258" t="s">
        <v>139</v>
      </c>
      <c r="C761" s="258" t="s">
        <v>17</v>
      </c>
      <c r="D761" s="258" t="s">
        <v>13</v>
      </c>
      <c r="E761" s="259">
        <v>42641</v>
      </c>
      <c r="F761" s="262">
        <v>546.944706</v>
      </c>
      <c r="G761" s="261" t="s">
        <v>15</v>
      </c>
      <c r="H761" s="258" t="s">
        <v>16</v>
      </c>
      <c r="I761" s="261">
        <v>11</v>
      </c>
      <c r="J761" s="261" t="s">
        <v>129</v>
      </c>
      <c r="K761" s="261" t="s">
        <v>123</v>
      </c>
      <c r="L761" s="258" t="s">
        <v>142</v>
      </c>
      <c r="M761" s="258" t="s">
        <v>133</v>
      </c>
      <c r="N761" s="258"/>
    </row>
    <row r="762" spans="1:14" x14ac:dyDescent="0.2">
      <c r="A762" s="258" t="s">
        <v>138</v>
      </c>
      <c r="B762" s="258" t="s">
        <v>139</v>
      </c>
      <c r="C762" s="258" t="s">
        <v>17</v>
      </c>
      <c r="D762" s="258" t="s">
        <v>13</v>
      </c>
      <c r="E762" s="259">
        <v>42633</v>
      </c>
      <c r="F762" s="260">
        <v>8.7045864000000002</v>
      </c>
      <c r="G762" s="261" t="s">
        <v>14</v>
      </c>
      <c r="H762" s="258" t="s">
        <v>128</v>
      </c>
      <c r="I762" s="261">
        <v>801</v>
      </c>
      <c r="J762" s="261" t="s">
        <v>129</v>
      </c>
      <c r="K762" s="261" t="s">
        <v>123</v>
      </c>
      <c r="L762" s="258" t="s">
        <v>140</v>
      </c>
      <c r="M762" s="258" t="s">
        <v>128</v>
      </c>
    </row>
    <row r="763" spans="1:14" x14ac:dyDescent="0.2">
      <c r="A763" s="258" t="s">
        <v>138</v>
      </c>
      <c r="B763" s="258" t="s">
        <v>139</v>
      </c>
      <c r="C763" s="258" t="s">
        <v>17</v>
      </c>
      <c r="D763" s="258" t="s">
        <v>13</v>
      </c>
      <c r="E763" s="259">
        <v>42633</v>
      </c>
      <c r="F763" s="262">
        <v>1544.8482240000001</v>
      </c>
      <c r="G763" s="261" t="s">
        <v>15</v>
      </c>
      <c r="H763" s="258" t="s">
        <v>128</v>
      </c>
      <c r="I763" s="261">
        <v>801</v>
      </c>
      <c r="J763" s="261" t="s">
        <v>129</v>
      </c>
      <c r="K763" s="261" t="s">
        <v>123</v>
      </c>
      <c r="L763" s="258" t="s">
        <v>140</v>
      </c>
      <c r="M763" s="258" t="s">
        <v>128</v>
      </c>
    </row>
    <row r="764" spans="1:14" x14ac:dyDescent="0.2">
      <c r="A764" s="258" t="s">
        <v>138</v>
      </c>
      <c r="B764" s="258" t="s">
        <v>139</v>
      </c>
      <c r="C764" s="258" t="s">
        <v>17</v>
      </c>
      <c r="D764" s="258" t="s">
        <v>13</v>
      </c>
      <c r="E764" s="259">
        <v>42633</v>
      </c>
      <c r="F764" s="260">
        <v>7.88</v>
      </c>
      <c r="G764" s="261" t="s">
        <v>14</v>
      </c>
      <c r="H764" s="258" t="s">
        <v>16</v>
      </c>
      <c r="I764" s="261">
        <v>11</v>
      </c>
      <c r="J764" s="261" t="s">
        <v>129</v>
      </c>
      <c r="K764" s="261" t="s">
        <v>123</v>
      </c>
      <c r="L764" s="258" t="s">
        <v>142</v>
      </c>
      <c r="M764" s="258" t="s">
        <v>133</v>
      </c>
      <c r="N764" s="258"/>
    </row>
    <row r="765" spans="1:14" x14ac:dyDescent="0.2">
      <c r="A765" s="258" t="s">
        <v>138</v>
      </c>
      <c r="B765" s="258" t="s">
        <v>139</v>
      </c>
      <c r="C765" s="258" t="s">
        <v>17</v>
      </c>
      <c r="D765" s="258" t="s">
        <v>13</v>
      </c>
      <c r="E765" s="259">
        <v>42633</v>
      </c>
      <c r="F765" s="262">
        <v>1307.154888</v>
      </c>
      <c r="G765" s="261" t="s">
        <v>15</v>
      </c>
      <c r="H765" s="258" t="s">
        <v>16</v>
      </c>
      <c r="I765" s="261">
        <v>11</v>
      </c>
      <c r="J765" s="261" t="s">
        <v>129</v>
      </c>
      <c r="K765" s="261" t="s">
        <v>123</v>
      </c>
      <c r="L765" s="258" t="s">
        <v>142</v>
      </c>
      <c r="M765" s="258" t="s">
        <v>133</v>
      </c>
      <c r="N765" s="258"/>
    </row>
    <row r="766" spans="1:14" x14ac:dyDescent="0.2">
      <c r="A766" s="258" t="s">
        <v>138</v>
      </c>
      <c r="B766" s="258" t="s">
        <v>139</v>
      </c>
      <c r="C766" s="258" t="s">
        <v>17</v>
      </c>
      <c r="D766" s="258" t="s">
        <v>13</v>
      </c>
      <c r="E766" s="259">
        <v>42626</v>
      </c>
      <c r="F766" s="260">
        <v>14.889007700000001</v>
      </c>
      <c r="G766" s="261" t="s">
        <v>14</v>
      </c>
      <c r="H766" s="258" t="s">
        <v>128</v>
      </c>
      <c r="I766" s="261">
        <v>801</v>
      </c>
      <c r="J766" s="261" t="s">
        <v>129</v>
      </c>
      <c r="K766" s="261" t="s">
        <v>123</v>
      </c>
      <c r="L766" s="258" t="s">
        <v>140</v>
      </c>
      <c r="M766" s="258" t="s">
        <v>128</v>
      </c>
    </row>
    <row r="767" spans="1:14" x14ac:dyDescent="0.2">
      <c r="A767" s="258" t="s">
        <v>138</v>
      </c>
      <c r="B767" s="258" t="s">
        <v>139</v>
      </c>
      <c r="C767" s="258" t="s">
        <v>17</v>
      </c>
      <c r="D767" s="258" t="s">
        <v>13</v>
      </c>
      <c r="E767" s="259">
        <v>42626</v>
      </c>
      <c r="F767" s="262">
        <v>2089.8538800000001</v>
      </c>
      <c r="G767" s="261" t="s">
        <v>15</v>
      </c>
      <c r="H767" s="258" t="s">
        <v>128</v>
      </c>
      <c r="I767" s="261">
        <v>801</v>
      </c>
      <c r="J767" s="261" t="s">
        <v>129</v>
      </c>
      <c r="K767" s="261" t="s">
        <v>123</v>
      </c>
      <c r="L767" s="258" t="s">
        <v>140</v>
      </c>
      <c r="M767" s="258" t="s">
        <v>128</v>
      </c>
    </row>
    <row r="768" spans="1:14" x14ac:dyDescent="0.2">
      <c r="A768" s="258" t="s">
        <v>138</v>
      </c>
      <c r="B768" s="258" t="s">
        <v>139</v>
      </c>
      <c r="C768" s="258" t="s">
        <v>17</v>
      </c>
      <c r="D768" s="258" t="s">
        <v>13</v>
      </c>
      <c r="E768" s="259">
        <v>42626</v>
      </c>
      <c r="F768" s="260">
        <v>8.77</v>
      </c>
      <c r="G768" s="261" t="s">
        <v>14</v>
      </c>
      <c r="H768" s="258" t="s">
        <v>16</v>
      </c>
      <c r="I768" s="261">
        <v>11</v>
      </c>
      <c r="J768" s="261" t="s">
        <v>129</v>
      </c>
      <c r="K768" s="261" t="s">
        <v>123</v>
      </c>
      <c r="L768" s="258" t="s">
        <v>142</v>
      </c>
      <c r="M768" s="258" t="s">
        <v>133</v>
      </c>
      <c r="N768" s="258"/>
    </row>
    <row r="769" spans="1:14" x14ac:dyDescent="0.2">
      <c r="A769" s="258" t="s">
        <v>138</v>
      </c>
      <c r="B769" s="258" t="s">
        <v>139</v>
      </c>
      <c r="C769" s="258" t="s">
        <v>17</v>
      </c>
      <c r="D769" s="258" t="s">
        <v>13</v>
      </c>
      <c r="E769" s="259">
        <v>42626</v>
      </c>
      <c r="F769" s="262">
        <v>1128.577974</v>
      </c>
      <c r="G769" s="261" t="s">
        <v>15</v>
      </c>
      <c r="H769" s="258" t="s">
        <v>16</v>
      </c>
      <c r="I769" s="261">
        <v>11</v>
      </c>
      <c r="J769" s="261" t="s">
        <v>129</v>
      </c>
      <c r="K769" s="261" t="s">
        <v>123</v>
      </c>
      <c r="L769" s="258" t="s">
        <v>142</v>
      </c>
      <c r="M769" s="258" t="s">
        <v>133</v>
      </c>
      <c r="N769" s="258"/>
    </row>
    <row r="770" spans="1:14" x14ac:dyDescent="0.2">
      <c r="A770" s="258" t="s">
        <v>138</v>
      </c>
      <c r="B770" s="258" t="s">
        <v>139</v>
      </c>
      <c r="C770" s="258" t="s">
        <v>17</v>
      </c>
      <c r="D770" s="258" t="s">
        <v>13</v>
      </c>
      <c r="E770" s="259">
        <v>42619</v>
      </c>
      <c r="F770" s="260">
        <v>9.4479764999999993</v>
      </c>
      <c r="G770" s="261" t="s">
        <v>14</v>
      </c>
      <c r="H770" s="258" t="s">
        <v>128</v>
      </c>
      <c r="I770" s="261">
        <v>801</v>
      </c>
      <c r="J770" s="261" t="s">
        <v>129</v>
      </c>
      <c r="K770" s="261" t="s">
        <v>123</v>
      </c>
      <c r="L770" s="258" t="s">
        <v>140</v>
      </c>
      <c r="M770" s="258" t="s">
        <v>128</v>
      </c>
    </row>
    <row r="771" spans="1:14" x14ac:dyDescent="0.2">
      <c r="A771" s="258" t="s">
        <v>138</v>
      </c>
      <c r="B771" s="258" t="s">
        <v>139</v>
      </c>
      <c r="C771" s="258" t="s">
        <v>17</v>
      </c>
      <c r="D771" s="258" t="s">
        <v>13</v>
      </c>
      <c r="E771" s="259">
        <v>42619</v>
      </c>
      <c r="F771" s="262">
        <v>1074.7791360000001</v>
      </c>
      <c r="G771" s="261" t="s">
        <v>15</v>
      </c>
      <c r="H771" s="258" t="s">
        <v>128</v>
      </c>
      <c r="I771" s="261">
        <v>801</v>
      </c>
      <c r="J771" s="261" t="s">
        <v>129</v>
      </c>
      <c r="K771" s="261" t="s">
        <v>123</v>
      </c>
      <c r="L771" s="258" t="s">
        <v>140</v>
      </c>
      <c r="M771" s="258" t="s">
        <v>128</v>
      </c>
    </row>
    <row r="772" spans="1:14" x14ac:dyDescent="0.2">
      <c r="A772" s="258" t="s">
        <v>138</v>
      </c>
      <c r="B772" s="258" t="s">
        <v>139</v>
      </c>
      <c r="C772" s="258" t="s">
        <v>17</v>
      </c>
      <c r="D772" s="258" t="s">
        <v>13</v>
      </c>
      <c r="E772" s="259">
        <v>42619</v>
      </c>
      <c r="F772" s="260">
        <v>8.27</v>
      </c>
      <c r="G772" s="261" t="s">
        <v>14</v>
      </c>
      <c r="H772" s="258" t="s">
        <v>16</v>
      </c>
      <c r="I772" s="261">
        <v>801</v>
      </c>
      <c r="J772" s="261" t="s">
        <v>129</v>
      </c>
      <c r="K772" s="261" t="s">
        <v>123</v>
      </c>
      <c r="L772" s="258" t="s">
        <v>140</v>
      </c>
      <c r="M772" s="258" t="s">
        <v>133</v>
      </c>
    </row>
    <row r="773" spans="1:14" x14ac:dyDescent="0.2">
      <c r="A773" s="258" t="s">
        <v>138</v>
      </c>
      <c r="B773" s="258" t="s">
        <v>139</v>
      </c>
      <c r="C773" s="258" t="s">
        <v>17</v>
      </c>
      <c r="D773" s="258" t="s">
        <v>13</v>
      </c>
      <c r="E773" s="259">
        <v>42619</v>
      </c>
      <c r="F773" s="262">
        <v>824.90272800000002</v>
      </c>
      <c r="G773" s="261" t="s">
        <v>15</v>
      </c>
      <c r="H773" s="258" t="s">
        <v>16</v>
      </c>
      <c r="I773" s="261">
        <v>801</v>
      </c>
      <c r="J773" s="261" t="s">
        <v>129</v>
      </c>
      <c r="K773" s="261" t="s">
        <v>123</v>
      </c>
      <c r="L773" s="258" t="s">
        <v>140</v>
      </c>
      <c r="M773" s="258" t="s">
        <v>133</v>
      </c>
    </row>
    <row r="774" spans="1:14" x14ac:dyDescent="0.2">
      <c r="A774" s="258" t="s">
        <v>138</v>
      </c>
      <c r="B774" s="258" t="s">
        <v>139</v>
      </c>
      <c r="C774" s="258" t="s">
        <v>17</v>
      </c>
      <c r="D774" s="258" t="s">
        <v>13</v>
      </c>
      <c r="E774" s="259">
        <v>42612</v>
      </c>
      <c r="F774" s="260">
        <v>10.37</v>
      </c>
      <c r="G774" s="261" t="s">
        <v>14</v>
      </c>
      <c r="H774" s="258" t="s">
        <v>128</v>
      </c>
      <c r="I774" s="261">
        <v>801</v>
      </c>
      <c r="J774" s="261" t="s">
        <v>129</v>
      </c>
      <c r="K774" s="261" t="s">
        <v>123</v>
      </c>
      <c r="L774" s="258" t="s">
        <v>140</v>
      </c>
      <c r="M774" s="258" t="s">
        <v>128</v>
      </c>
    </row>
    <row r="775" spans="1:14" x14ac:dyDescent="0.2">
      <c r="A775" s="258" t="s">
        <v>138</v>
      </c>
      <c r="B775" s="258" t="s">
        <v>139</v>
      </c>
      <c r="C775" s="258" t="s">
        <v>17</v>
      </c>
      <c r="D775" s="258" t="s">
        <v>13</v>
      </c>
      <c r="E775" s="259">
        <v>42612</v>
      </c>
      <c r="F775" s="262">
        <v>1400.2051019999999</v>
      </c>
      <c r="G775" s="261" t="s">
        <v>15</v>
      </c>
      <c r="H775" s="258" t="s">
        <v>128</v>
      </c>
      <c r="I775" s="261">
        <v>801</v>
      </c>
      <c r="J775" s="261" t="s">
        <v>129</v>
      </c>
      <c r="K775" s="261" t="s">
        <v>123</v>
      </c>
      <c r="L775" s="258" t="s">
        <v>140</v>
      </c>
      <c r="M775" s="258" t="s">
        <v>128</v>
      </c>
    </row>
    <row r="776" spans="1:14" x14ac:dyDescent="0.2">
      <c r="A776" s="258" t="s">
        <v>138</v>
      </c>
      <c r="B776" s="258" t="s">
        <v>139</v>
      </c>
      <c r="C776" s="258" t="s">
        <v>17</v>
      </c>
      <c r="D776" s="258" t="s">
        <v>13</v>
      </c>
      <c r="E776" s="259">
        <v>42612</v>
      </c>
      <c r="F776" s="260">
        <v>5.93</v>
      </c>
      <c r="G776" s="261" t="s">
        <v>14</v>
      </c>
      <c r="H776" s="258" t="s">
        <v>16</v>
      </c>
      <c r="I776" s="261">
        <v>801</v>
      </c>
      <c r="J776" s="261" t="s">
        <v>129</v>
      </c>
      <c r="K776" s="261" t="s">
        <v>123</v>
      </c>
      <c r="L776" s="258" t="s">
        <v>140</v>
      </c>
      <c r="M776" s="258" t="s">
        <v>133</v>
      </c>
    </row>
    <row r="777" spans="1:14" x14ac:dyDescent="0.2">
      <c r="A777" s="258" t="s">
        <v>138</v>
      </c>
      <c r="B777" s="258" t="s">
        <v>139</v>
      </c>
      <c r="C777" s="258" t="s">
        <v>17</v>
      </c>
      <c r="D777" s="258" t="s">
        <v>13</v>
      </c>
      <c r="E777" s="259">
        <v>42612</v>
      </c>
      <c r="F777" s="262">
        <v>778.93515000000002</v>
      </c>
      <c r="G777" s="261" t="s">
        <v>15</v>
      </c>
      <c r="H777" s="258" t="s">
        <v>16</v>
      </c>
      <c r="I777" s="261">
        <v>801</v>
      </c>
      <c r="J777" s="261" t="s">
        <v>129</v>
      </c>
      <c r="K777" s="261" t="s">
        <v>123</v>
      </c>
      <c r="L777" s="258" t="s">
        <v>140</v>
      </c>
      <c r="M777" s="258" t="s">
        <v>133</v>
      </c>
    </row>
    <row r="778" spans="1:14" x14ac:dyDescent="0.2">
      <c r="A778" s="258" t="s">
        <v>138</v>
      </c>
      <c r="B778" s="258" t="s">
        <v>139</v>
      </c>
      <c r="C778" s="258" t="s">
        <v>17</v>
      </c>
      <c r="D778" s="258" t="s">
        <v>13</v>
      </c>
      <c r="E778" s="259">
        <v>42605</v>
      </c>
      <c r="F778" s="260">
        <v>11.09</v>
      </c>
      <c r="G778" s="261" t="s">
        <v>14</v>
      </c>
      <c r="H778" s="258" t="s">
        <v>128</v>
      </c>
      <c r="I778" s="261">
        <v>801</v>
      </c>
      <c r="J778" s="261" t="s">
        <v>129</v>
      </c>
      <c r="K778" s="261" t="s">
        <v>123</v>
      </c>
      <c r="L778" s="258" t="s">
        <v>140</v>
      </c>
      <c r="M778" s="258" t="s">
        <v>128</v>
      </c>
    </row>
    <row r="779" spans="1:14" x14ac:dyDescent="0.2">
      <c r="A779" s="258" t="s">
        <v>138</v>
      </c>
      <c r="B779" s="258" t="s">
        <v>139</v>
      </c>
      <c r="C779" s="258" t="s">
        <v>17</v>
      </c>
      <c r="D779" s="258" t="s">
        <v>13</v>
      </c>
      <c r="E779" s="259">
        <v>42605</v>
      </c>
      <c r="F779" s="262">
        <v>1638.0085260000001</v>
      </c>
      <c r="G779" s="261" t="s">
        <v>15</v>
      </c>
      <c r="H779" s="258" t="s">
        <v>128</v>
      </c>
      <c r="I779" s="261">
        <v>801</v>
      </c>
      <c r="J779" s="261" t="s">
        <v>129</v>
      </c>
      <c r="K779" s="261" t="s">
        <v>123</v>
      </c>
      <c r="L779" s="258" t="s">
        <v>140</v>
      </c>
      <c r="M779" s="258" t="s">
        <v>128</v>
      </c>
    </row>
    <row r="780" spans="1:14" x14ac:dyDescent="0.2">
      <c r="A780" s="258" t="s">
        <v>138</v>
      </c>
      <c r="B780" s="258" t="s">
        <v>139</v>
      </c>
      <c r="C780" s="258" t="s">
        <v>17</v>
      </c>
      <c r="D780" s="258" t="s">
        <v>13</v>
      </c>
      <c r="E780" s="259">
        <v>42605</v>
      </c>
      <c r="F780" s="260">
        <v>6.38</v>
      </c>
      <c r="G780" s="261" t="s">
        <v>14</v>
      </c>
      <c r="H780" s="258" t="s">
        <v>16</v>
      </c>
      <c r="I780" s="261">
        <v>801</v>
      </c>
      <c r="J780" s="261" t="s">
        <v>129</v>
      </c>
      <c r="K780" s="261" t="s">
        <v>123</v>
      </c>
      <c r="L780" s="258" t="s">
        <v>140</v>
      </c>
      <c r="M780" s="258" t="s">
        <v>133</v>
      </c>
    </row>
    <row r="781" spans="1:14" x14ac:dyDescent="0.2">
      <c r="A781" s="258" t="s">
        <v>138</v>
      </c>
      <c r="B781" s="258" t="s">
        <v>139</v>
      </c>
      <c r="C781" s="258" t="s">
        <v>17</v>
      </c>
      <c r="D781" s="258" t="s">
        <v>13</v>
      </c>
      <c r="E781" s="259">
        <v>42605</v>
      </c>
      <c r="F781" s="262">
        <v>876.88761599999998</v>
      </c>
      <c r="G781" s="261" t="s">
        <v>15</v>
      </c>
      <c r="H781" s="258" t="s">
        <v>16</v>
      </c>
      <c r="I781" s="261">
        <v>801</v>
      </c>
      <c r="J781" s="261" t="s">
        <v>129</v>
      </c>
      <c r="K781" s="261" t="s">
        <v>123</v>
      </c>
      <c r="L781" s="258" t="s">
        <v>140</v>
      </c>
      <c r="M781" s="258" t="s">
        <v>133</v>
      </c>
    </row>
    <row r="782" spans="1:14" x14ac:dyDescent="0.2">
      <c r="A782" s="258" t="s">
        <v>138</v>
      </c>
      <c r="B782" s="258" t="s">
        <v>139</v>
      </c>
      <c r="C782" s="258" t="s">
        <v>17</v>
      </c>
      <c r="D782" s="258" t="s">
        <v>13</v>
      </c>
      <c r="E782" s="259">
        <v>42599</v>
      </c>
      <c r="F782" s="260">
        <v>11.61</v>
      </c>
      <c r="G782" s="261" t="s">
        <v>14</v>
      </c>
      <c r="H782" s="258" t="s">
        <v>128</v>
      </c>
      <c r="I782" s="261">
        <v>801</v>
      </c>
      <c r="J782" s="261" t="s">
        <v>129</v>
      </c>
      <c r="K782" s="261" t="s">
        <v>123</v>
      </c>
      <c r="L782" s="258" t="s">
        <v>140</v>
      </c>
      <c r="M782" s="258" t="s">
        <v>128</v>
      </c>
    </row>
    <row r="783" spans="1:14" x14ac:dyDescent="0.2">
      <c r="A783" s="258" t="s">
        <v>138</v>
      </c>
      <c r="B783" s="258" t="s">
        <v>139</v>
      </c>
      <c r="C783" s="258" t="s">
        <v>17</v>
      </c>
      <c r="D783" s="258" t="s">
        <v>13</v>
      </c>
      <c r="E783" s="259">
        <v>42599</v>
      </c>
      <c r="F783" s="262">
        <v>1585.0645380000001</v>
      </c>
      <c r="G783" s="261" t="s">
        <v>15</v>
      </c>
      <c r="H783" s="258" t="s">
        <v>128</v>
      </c>
      <c r="I783" s="261">
        <v>801</v>
      </c>
      <c r="J783" s="261" t="s">
        <v>129</v>
      </c>
      <c r="K783" s="261" t="s">
        <v>123</v>
      </c>
      <c r="L783" s="258" t="s">
        <v>140</v>
      </c>
      <c r="M783" s="258" t="s">
        <v>128</v>
      </c>
    </row>
    <row r="784" spans="1:14" x14ac:dyDescent="0.2">
      <c r="A784" s="258" t="s">
        <v>138</v>
      </c>
      <c r="B784" s="258" t="s">
        <v>139</v>
      </c>
      <c r="C784" s="258" t="s">
        <v>17</v>
      </c>
      <c r="D784" s="258" t="s">
        <v>13</v>
      </c>
      <c r="E784" s="259">
        <v>42599</v>
      </c>
      <c r="F784" s="260">
        <v>7.76</v>
      </c>
      <c r="G784" s="261" t="s">
        <v>14</v>
      </c>
      <c r="H784" s="258" t="s">
        <v>16</v>
      </c>
      <c r="I784" s="261">
        <v>801</v>
      </c>
      <c r="J784" s="261" t="s">
        <v>129</v>
      </c>
      <c r="K784" s="261" t="s">
        <v>123</v>
      </c>
      <c r="L784" s="258" t="s">
        <v>140</v>
      </c>
      <c r="M784" s="258" t="s">
        <v>133</v>
      </c>
    </row>
    <row r="785" spans="1:14" x14ac:dyDescent="0.2">
      <c r="A785" s="258" t="s">
        <v>138</v>
      </c>
      <c r="B785" s="258" t="s">
        <v>139</v>
      </c>
      <c r="C785" s="258" t="s">
        <v>17</v>
      </c>
      <c r="D785" s="258" t="s">
        <v>13</v>
      </c>
      <c r="E785" s="259">
        <v>42599</v>
      </c>
      <c r="F785" s="262">
        <v>992.78025600000001</v>
      </c>
      <c r="G785" s="261" t="s">
        <v>15</v>
      </c>
      <c r="H785" s="258" t="s">
        <v>16</v>
      </c>
      <c r="I785" s="261">
        <v>801</v>
      </c>
      <c r="J785" s="261" t="s">
        <v>129</v>
      </c>
      <c r="K785" s="261" t="s">
        <v>123</v>
      </c>
      <c r="L785" s="258" t="s">
        <v>140</v>
      </c>
      <c r="M785" s="258" t="s">
        <v>133</v>
      </c>
    </row>
    <row r="786" spans="1:14" x14ac:dyDescent="0.2">
      <c r="A786" s="258" t="s">
        <v>138</v>
      </c>
      <c r="B786" s="258" t="s">
        <v>139</v>
      </c>
      <c r="C786" s="258" t="s">
        <v>17</v>
      </c>
      <c r="D786" s="258" t="s">
        <v>13</v>
      </c>
      <c r="E786" s="259">
        <v>42592</v>
      </c>
      <c r="F786" s="260">
        <v>8.2899999999999991</v>
      </c>
      <c r="G786" s="261" t="s">
        <v>14</v>
      </c>
      <c r="H786" s="258" t="s">
        <v>128</v>
      </c>
      <c r="I786" s="261">
        <v>801</v>
      </c>
      <c r="J786" s="261" t="s">
        <v>129</v>
      </c>
      <c r="K786" s="261" t="s">
        <v>123</v>
      </c>
      <c r="L786" s="258" t="s">
        <v>140</v>
      </c>
      <c r="M786" s="258" t="s">
        <v>128</v>
      </c>
    </row>
    <row r="787" spans="1:14" x14ac:dyDescent="0.2">
      <c r="A787" s="258" t="s">
        <v>138</v>
      </c>
      <c r="B787" s="258" t="s">
        <v>139</v>
      </c>
      <c r="C787" s="258" t="s">
        <v>17</v>
      </c>
      <c r="D787" s="258" t="s">
        <v>13</v>
      </c>
      <c r="E787" s="259">
        <v>42592</v>
      </c>
      <c r="F787" s="262">
        <v>1099.3037400000001</v>
      </c>
      <c r="G787" s="261" t="s">
        <v>15</v>
      </c>
      <c r="H787" s="258" t="s">
        <v>128</v>
      </c>
      <c r="I787" s="261">
        <v>801</v>
      </c>
      <c r="J787" s="261" t="s">
        <v>129</v>
      </c>
      <c r="K787" s="261" t="s">
        <v>123</v>
      </c>
      <c r="L787" s="258" t="s">
        <v>140</v>
      </c>
      <c r="M787" s="258" t="s">
        <v>128</v>
      </c>
    </row>
    <row r="788" spans="1:14" x14ac:dyDescent="0.2">
      <c r="A788" s="258" t="s">
        <v>138</v>
      </c>
      <c r="B788" s="258" t="s">
        <v>139</v>
      </c>
      <c r="C788" s="258" t="s">
        <v>17</v>
      </c>
      <c r="D788" s="258" t="s">
        <v>13</v>
      </c>
      <c r="E788" s="259">
        <v>42592</v>
      </c>
      <c r="F788" s="260">
        <v>5.72</v>
      </c>
      <c r="G788" s="261" t="s">
        <v>14</v>
      </c>
      <c r="H788" s="258" t="s">
        <v>16</v>
      </c>
      <c r="I788" s="261">
        <v>801</v>
      </c>
      <c r="J788" s="261" t="s">
        <v>129</v>
      </c>
      <c r="K788" s="261" t="s">
        <v>123</v>
      </c>
      <c r="L788" s="258" t="s">
        <v>140</v>
      </c>
      <c r="M788" s="258" t="s">
        <v>133</v>
      </c>
    </row>
    <row r="789" spans="1:14" x14ac:dyDescent="0.2">
      <c r="A789" s="258" t="s">
        <v>138</v>
      </c>
      <c r="B789" s="258" t="s">
        <v>139</v>
      </c>
      <c r="C789" s="258" t="s">
        <v>17</v>
      </c>
      <c r="D789" s="258" t="s">
        <v>13</v>
      </c>
      <c r="E789" s="259">
        <v>42592</v>
      </c>
      <c r="F789" s="262">
        <v>711.75561600000003</v>
      </c>
      <c r="G789" s="261" t="s">
        <v>15</v>
      </c>
      <c r="H789" s="258" t="s">
        <v>16</v>
      </c>
      <c r="I789" s="261">
        <v>801</v>
      </c>
      <c r="J789" s="261" t="s">
        <v>129</v>
      </c>
      <c r="K789" s="261" t="s">
        <v>123</v>
      </c>
      <c r="L789" s="258" t="s">
        <v>140</v>
      </c>
      <c r="M789" s="258" t="s">
        <v>133</v>
      </c>
    </row>
    <row r="790" spans="1:14" x14ac:dyDescent="0.2">
      <c r="A790" s="258" t="s">
        <v>138</v>
      </c>
      <c r="B790" s="258" t="s">
        <v>139</v>
      </c>
      <c r="C790" s="258" t="s">
        <v>17</v>
      </c>
      <c r="D790" s="258" t="s">
        <v>13</v>
      </c>
      <c r="E790" s="259">
        <v>42584</v>
      </c>
      <c r="F790" s="260">
        <v>8.74</v>
      </c>
      <c r="G790" s="261" t="s">
        <v>14</v>
      </c>
      <c r="H790" s="258" t="s">
        <v>128</v>
      </c>
      <c r="I790" s="261">
        <v>801</v>
      </c>
      <c r="J790" s="261" t="s">
        <v>129</v>
      </c>
      <c r="K790" s="261" t="s">
        <v>123</v>
      </c>
      <c r="L790" s="258" t="s">
        <v>140</v>
      </c>
      <c r="M790" s="258" t="s">
        <v>128</v>
      </c>
    </row>
    <row r="791" spans="1:14" x14ac:dyDescent="0.2">
      <c r="A791" s="258" t="s">
        <v>138</v>
      </c>
      <c r="B791" s="258" t="s">
        <v>139</v>
      </c>
      <c r="C791" s="258" t="s">
        <v>17</v>
      </c>
      <c r="D791" s="258" t="s">
        <v>13</v>
      </c>
      <c r="E791" s="259">
        <v>42584</v>
      </c>
      <c r="F791" s="262">
        <v>1132.7354640000001</v>
      </c>
      <c r="G791" s="261" t="s">
        <v>15</v>
      </c>
      <c r="H791" s="258" t="s">
        <v>128</v>
      </c>
      <c r="I791" s="261">
        <v>801</v>
      </c>
      <c r="J791" s="261" t="s">
        <v>129</v>
      </c>
      <c r="K791" s="261" t="s">
        <v>123</v>
      </c>
      <c r="L791" s="258" t="s">
        <v>140</v>
      </c>
      <c r="M791" s="258" t="s">
        <v>128</v>
      </c>
    </row>
    <row r="792" spans="1:14" x14ac:dyDescent="0.2">
      <c r="A792" s="258" t="s">
        <v>138</v>
      </c>
      <c r="B792" s="258" t="s">
        <v>139</v>
      </c>
      <c r="C792" s="258" t="s">
        <v>17</v>
      </c>
      <c r="D792" s="258" t="s">
        <v>13</v>
      </c>
      <c r="E792" s="259">
        <v>42584</v>
      </c>
      <c r="F792" s="260">
        <v>6.24</v>
      </c>
      <c r="G792" s="261" t="s">
        <v>14</v>
      </c>
      <c r="H792" s="258" t="s">
        <v>16</v>
      </c>
      <c r="I792" s="261">
        <v>801</v>
      </c>
      <c r="J792" s="261" t="s">
        <v>129</v>
      </c>
      <c r="K792" s="261" t="s">
        <v>123</v>
      </c>
      <c r="L792" s="258" t="s">
        <v>140</v>
      </c>
      <c r="M792" s="258" t="s">
        <v>133</v>
      </c>
    </row>
    <row r="793" spans="1:14" x14ac:dyDescent="0.2">
      <c r="A793" s="258" t="s">
        <v>138</v>
      </c>
      <c r="B793" s="258" t="s">
        <v>139</v>
      </c>
      <c r="C793" s="258" t="s">
        <v>17</v>
      </c>
      <c r="D793" s="258" t="s">
        <v>13</v>
      </c>
      <c r="E793" s="259">
        <v>42584</v>
      </c>
      <c r="F793" s="262">
        <v>798.83856000000003</v>
      </c>
      <c r="G793" s="261" t="s">
        <v>15</v>
      </c>
      <c r="H793" s="258" t="s">
        <v>16</v>
      </c>
      <c r="I793" s="261">
        <v>801</v>
      </c>
      <c r="J793" s="261" t="s">
        <v>129</v>
      </c>
      <c r="K793" s="261" t="s">
        <v>123</v>
      </c>
      <c r="L793" s="258" t="s">
        <v>140</v>
      </c>
      <c r="M793" s="258" t="s">
        <v>133</v>
      </c>
    </row>
    <row r="794" spans="1:14" x14ac:dyDescent="0.2">
      <c r="A794" s="258" t="s">
        <v>138</v>
      </c>
      <c r="B794" s="258" t="s">
        <v>139</v>
      </c>
      <c r="C794" s="258" t="s">
        <v>17</v>
      </c>
      <c r="D794" s="258" t="s">
        <v>13</v>
      </c>
      <c r="E794" s="259">
        <v>42577</v>
      </c>
      <c r="F794" s="260">
        <v>9.1108750000000001</v>
      </c>
      <c r="G794" s="261" t="s">
        <v>14</v>
      </c>
      <c r="H794" s="258" t="s">
        <v>128</v>
      </c>
      <c r="I794" s="261">
        <v>801</v>
      </c>
      <c r="J794" s="261" t="s">
        <v>129</v>
      </c>
      <c r="K794" s="261" t="s">
        <v>123</v>
      </c>
      <c r="L794" s="258" t="s">
        <v>140</v>
      </c>
      <c r="M794" s="258" t="s">
        <v>128</v>
      </c>
    </row>
    <row r="795" spans="1:14" x14ac:dyDescent="0.2">
      <c r="A795" s="258" t="s">
        <v>138</v>
      </c>
      <c r="B795" s="258" t="s">
        <v>139</v>
      </c>
      <c r="C795" s="258" t="s">
        <v>17</v>
      </c>
      <c r="D795" s="258" t="s">
        <v>13</v>
      </c>
      <c r="E795" s="259">
        <v>42577</v>
      </c>
      <c r="F795" s="262">
        <v>1458.9061919999999</v>
      </c>
      <c r="G795" s="261" t="s">
        <v>15</v>
      </c>
      <c r="H795" s="258" t="s">
        <v>128</v>
      </c>
      <c r="I795" s="261">
        <v>801</v>
      </c>
      <c r="J795" s="261" t="s">
        <v>129</v>
      </c>
      <c r="K795" s="261" t="s">
        <v>123</v>
      </c>
      <c r="L795" s="258" t="s">
        <v>140</v>
      </c>
      <c r="M795" s="258" t="s">
        <v>128</v>
      </c>
    </row>
    <row r="796" spans="1:14" x14ac:dyDescent="0.2">
      <c r="A796" s="258" t="s">
        <v>138</v>
      </c>
      <c r="B796" s="258" t="s">
        <v>139</v>
      </c>
      <c r="C796" s="258" t="s">
        <v>17</v>
      </c>
      <c r="D796" s="258" t="s">
        <v>13</v>
      </c>
      <c r="E796" s="259">
        <v>42577</v>
      </c>
      <c r="F796" s="260">
        <v>3.87</v>
      </c>
      <c r="G796" s="261" t="s">
        <v>14</v>
      </c>
      <c r="H796" s="258" t="s">
        <v>16</v>
      </c>
      <c r="I796" s="261">
        <v>801</v>
      </c>
      <c r="J796" s="261" t="s">
        <v>129</v>
      </c>
      <c r="K796" s="261" t="s">
        <v>123</v>
      </c>
      <c r="L796" s="258" t="s">
        <v>140</v>
      </c>
      <c r="M796" s="258" t="s">
        <v>133</v>
      </c>
    </row>
    <row r="797" spans="1:14" x14ac:dyDescent="0.2">
      <c r="A797" s="258" t="s">
        <v>138</v>
      </c>
      <c r="B797" s="258" t="s">
        <v>139</v>
      </c>
      <c r="C797" s="258" t="s">
        <v>17</v>
      </c>
      <c r="D797" s="258" t="s">
        <v>13</v>
      </c>
      <c r="E797" s="259">
        <v>42577</v>
      </c>
      <c r="F797" s="262">
        <v>607.75331400000005</v>
      </c>
      <c r="G797" s="261" t="s">
        <v>15</v>
      </c>
      <c r="H797" s="258" t="s">
        <v>16</v>
      </c>
      <c r="I797" s="261">
        <v>801</v>
      </c>
      <c r="J797" s="261" t="s">
        <v>129</v>
      </c>
      <c r="K797" s="261" t="s">
        <v>123</v>
      </c>
      <c r="L797" s="258" t="s">
        <v>140</v>
      </c>
      <c r="M797" s="258" t="s">
        <v>133</v>
      </c>
    </row>
    <row r="798" spans="1:14" x14ac:dyDescent="0.2">
      <c r="A798" s="258" t="s">
        <v>138</v>
      </c>
      <c r="B798" s="258" t="s">
        <v>139</v>
      </c>
      <c r="C798" s="258" t="s">
        <v>17</v>
      </c>
      <c r="D798" s="258" t="s">
        <v>13</v>
      </c>
      <c r="E798" s="259">
        <v>42570</v>
      </c>
      <c r="F798" s="260">
        <v>7.6173232000000004</v>
      </c>
      <c r="G798" s="261" t="s">
        <v>14</v>
      </c>
      <c r="H798" s="258" t="s">
        <v>128</v>
      </c>
      <c r="I798" s="261">
        <v>801</v>
      </c>
      <c r="J798" s="261" t="s">
        <v>129</v>
      </c>
      <c r="K798" s="261" t="s">
        <v>123</v>
      </c>
      <c r="L798" s="258" t="s">
        <v>140</v>
      </c>
      <c r="M798" s="258" t="s">
        <v>128</v>
      </c>
    </row>
    <row r="799" spans="1:14" x14ac:dyDescent="0.2">
      <c r="A799" s="258" t="s">
        <v>138</v>
      </c>
      <c r="B799" s="258" t="s">
        <v>139</v>
      </c>
      <c r="C799" s="258" t="s">
        <v>17</v>
      </c>
      <c r="D799" s="258" t="s">
        <v>13</v>
      </c>
      <c r="E799" s="259">
        <v>42570</v>
      </c>
      <c r="F799" s="262">
        <v>1257.86382</v>
      </c>
      <c r="G799" s="261" t="s">
        <v>15</v>
      </c>
      <c r="H799" s="258" t="s">
        <v>128</v>
      </c>
      <c r="I799" s="261">
        <v>801</v>
      </c>
      <c r="J799" s="261" t="s">
        <v>129</v>
      </c>
      <c r="K799" s="261" t="s">
        <v>123</v>
      </c>
      <c r="L799" s="258" t="s">
        <v>140</v>
      </c>
      <c r="M799" s="258" t="s">
        <v>128</v>
      </c>
    </row>
    <row r="800" spans="1:14" x14ac:dyDescent="0.2">
      <c r="A800" s="258" t="s">
        <v>138</v>
      </c>
      <c r="B800" s="258" t="s">
        <v>139</v>
      </c>
      <c r="C800" s="258" t="s">
        <v>17</v>
      </c>
      <c r="D800" s="258" t="s">
        <v>13</v>
      </c>
      <c r="E800" s="259">
        <v>42570</v>
      </c>
      <c r="F800" s="260">
        <v>5.67</v>
      </c>
      <c r="G800" s="261" t="s">
        <v>14</v>
      </c>
      <c r="H800" s="258" t="s">
        <v>16</v>
      </c>
      <c r="I800" s="261">
        <v>11</v>
      </c>
      <c r="J800" s="261" t="s">
        <v>129</v>
      </c>
      <c r="K800" s="261" t="s">
        <v>123</v>
      </c>
      <c r="L800" s="258" t="s">
        <v>142</v>
      </c>
      <c r="M800" s="258" t="s">
        <v>133</v>
      </c>
      <c r="N800" s="258"/>
    </row>
    <row r="801" spans="1:14" x14ac:dyDescent="0.2">
      <c r="A801" s="258" t="s">
        <v>138</v>
      </c>
      <c r="B801" s="258" t="s">
        <v>139</v>
      </c>
      <c r="C801" s="258" t="s">
        <v>17</v>
      </c>
      <c r="D801" s="258" t="s">
        <v>13</v>
      </c>
      <c r="E801" s="259">
        <v>42570</v>
      </c>
      <c r="F801" s="262">
        <v>929.20527000000004</v>
      </c>
      <c r="G801" s="261" t="s">
        <v>15</v>
      </c>
      <c r="H801" s="258" t="s">
        <v>16</v>
      </c>
      <c r="I801" s="261">
        <v>11</v>
      </c>
      <c r="J801" s="261" t="s">
        <v>129</v>
      </c>
      <c r="K801" s="261" t="s">
        <v>123</v>
      </c>
      <c r="L801" s="258" t="s">
        <v>142</v>
      </c>
      <c r="M801" s="258" t="s">
        <v>133</v>
      </c>
      <c r="N801" s="258"/>
    </row>
    <row r="802" spans="1:14" x14ac:dyDescent="0.2">
      <c r="A802" s="258" t="s">
        <v>138</v>
      </c>
      <c r="B802" s="258" t="s">
        <v>139</v>
      </c>
      <c r="C802" s="258" t="s">
        <v>17</v>
      </c>
      <c r="D802" s="258" t="s">
        <v>13</v>
      </c>
      <c r="E802" s="259">
        <v>42563</v>
      </c>
      <c r="F802" s="260">
        <v>8.9138397999999999</v>
      </c>
      <c r="G802" s="261" t="s">
        <v>14</v>
      </c>
      <c r="H802" s="258" t="s">
        <v>128</v>
      </c>
      <c r="I802" s="261">
        <v>801</v>
      </c>
      <c r="J802" s="261" t="s">
        <v>129</v>
      </c>
      <c r="K802" s="261" t="s">
        <v>123</v>
      </c>
      <c r="L802" s="258" t="s">
        <v>140</v>
      </c>
      <c r="M802" s="258" t="s">
        <v>128</v>
      </c>
    </row>
    <row r="803" spans="1:14" x14ac:dyDescent="0.2">
      <c r="A803" s="258" t="s">
        <v>138</v>
      </c>
      <c r="B803" s="258" t="s">
        <v>139</v>
      </c>
      <c r="C803" s="258" t="s">
        <v>17</v>
      </c>
      <c r="D803" s="258" t="s">
        <v>13</v>
      </c>
      <c r="E803" s="259">
        <v>42563</v>
      </c>
      <c r="F803" s="262">
        <v>1448.170944</v>
      </c>
      <c r="G803" s="261" t="s">
        <v>15</v>
      </c>
      <c r="H803" s="258" t="s">
        <v>128</v>
      </c>
      <c r="I803" s="261">
        <v>801</v>
      </c>
      <c r="J803" s="261" t="s">
        <v>129</v>
      </c>
      <c r="K803" s="261" t="s">
        <v>123</v>
      </c>
      <c r="L803" s="258" t="s">
        <v>140</v>
      </c>
      <c r="M803" s="258" t="s">
        <v>128</v>
      </c>
    </row>
    <row r="804" spans="1:14" x14ac:dyDescent="0.2">
      <c r="A804" s="258" t="s">
        <v>138</v>
      </c>
      <c r="B804" s="258" t="s">
        <v>139</v>
      </c>
      <c r="C804" s="258" t="s">
        <v>17</v>
      </c>
      <c r="D804" s="258" t="s">
        <v>13</v>
      </c>
      <c r="E804" s="259">
        <v>42563</v>
      </c>
      <c r="F804" s="260">
        <v>5.03</v>
      </c>
      <c r="G804" s="261" t="s">
        <v>14</v>
      </c>
      <c r="H804" s="258" t="s">
        <v>16</v>
      </c>
      <c r="I804" s="261">
        <v>801</v>
      </c>
      <c r="J804" s="261" t="s">
        <v>129</v>
      </c>
      <c r="K804" s="261" t="s">
        <v>123</v>
      </c>
      <c r="L804" s="258" t="s">
        <v>140</v>
      </c>
      <c r="M804" s="258" t="s">
        <v>133</v>
      </c>
    </row>
    <row r="805" spans="1:14" x14ac:dyDescent="0.2">
      <c r="A805" s="258" t="s">
        <v>138</v>
      </c>
      <c r="B805" s="258" t="s">
        <v>139</v>
      </c>
      <c r="C805" s="258" t="s">
        <v>17</v>
      </c>
      <c r="D805" s="258" t="s">
        <v>13</v>
      </c>
      <c r="E805" s="259">
        <v>42563</v>
      </c>
      <c r="F805" s="262">
        <v>803.34632999999997</v>
      </c>
      <c r="G805" s="261" t="s">
        <v>15</v>
      </c>
      <c r="H805" s="258" t="s">
        <v>16</v>
      </c>
      <c r="I805" s="261">
        <v>801</v>
      </c>
      <c r="J805" s="261" t="s">
        <v>129</v>
      </c>
      <c r="K805" s="261" t="s">
        <v>123</v>
      </c>
      <c r="L805" s="258" t="s">
        <v>140</v>
      </c>
      <c r="M805" s="258" t="s">
        <v>133</v>
      </c>
    </row>
    <row r="806" spans="1:14" x14ac:dyDescent="0.2">
      <c r="A806" s="258" t="s">
        <v>138</v>
      </c>
      <c r="B806" s="258" t="s">
        <v>139</v>
      </c>
      <c r="C806" s="258" t="s">
        <v>17</v>
      </c>
      <c r="D806" s="258" t="s">
        <v>13</v>
      </c>
      <c r="E806" s="259">
        <v>42556</v>
      </c>
      <c r="F806" s="260">
        <v>8.147437</v>
      </c>
      <c r="G806" s="261" t="s">
        <v>14</v>
      </c>
      <c r="H806" s="258" t="s">
        <v>128</v>
      </c>
      <c r="I806" s="261">
        <v>801</v>
      </c>
      <c r="J806" s="261" t="s">
        <v>129</v>
      </c>
      <c r="K806" s="261" t="s">
        <v>123</v>
      </c>
      <c r="L806" s="258" t="s">
        <v>140</v>
      </c>
      <c r="M806" s="258" t="s">
        <v>128</v>
      </c>
    </row>
    <row r="807" spans="1:14" x14ac:dyDescent="0.2">
      <c r="A807" s="258" t="s">
        <v>138</v>
      </c>
      <c r="B807" s="258" t="s">
        <v>139</v>
      </c>
      <c r="C807" s="258" t="s">
        <v>17</v>
      </c>
      <c r="D807" s="258" t="s">
        <v>13</v>
      </c>
      <c r="E807" s="259">
        <v>42556</v>
      </c>
      <c r="F807" s="262">
        <v>1161.259098</v>
      </c>
      <c r="G807" s="261" t="s">
        <v>15</v>
      </c>
      <c r="H807" s="258" t="s">
        <v>128</v>
      </c>
      <c r="I807" s="261">
        <v>801</v>
      </c>
      <c r="J807" s="261" t="s">
        <v>129</v>
      </c>
      <c r="K807" s="261" t="s">
        <v>123</v>
      </c>
      <c r="L807" s="258" t="s">
        <v>140</v>
      </c>
      <c r="M807" s="258" t="s">
        <v>128</v>
      </c>
    </row>
    <row r="808" spans="1:14" x14ac:dyDescent="0.2">
      <c r="A808" s="258" t="s">
        <v>138</v>
      </c>
      <c r="B808" s="258" t="s">
        <v>139</v>
      </c>
      <c r="C808" s="258" t="s">
        <v>17</v>
      </c>
      <c r="D808" s="258" t="s">
        <v>13</v>
      </c>
      <c r="E808" s="259">
        <v>42556</v>
      </c>
      <c r="F808" s="260">
        <v>4.97</v>
      </c>
      <c r="G808" s="261" t="s">
        <v>14</v>
      </c>
      <c r="H808" s="258" t="s">
        <v>16</v>
      </c>
      <c r="I808" s="261">
        <v>801</v>
      </c>
      <c r="J808" s="261" t="s">
        <v>129</v>
      </c>
      <c r="K808" s="261" t="s">
        <v>123</v>
      </c>
      <c r="L808" s="258" t="s">
        <v>140</v>
      </c>
      <c r="M808" s="258" t="s">
        <v>133</v>
      </c>
    </row>
    <row r="809" spans="1:14" x14ac:dyDescent="0.2">
      <c r="A809" s="258" t="s">
        <v>138</v>
      </c>
      <c r="B809" s="258" t="s">
        <v>139</v>
      </c>
      <c r="C809" s="258" t="s">
        <v>17</v>
      </c>
      <c r="D809" s="258" t="s">
        <v>13</v>
      </c>
      <c r="E809" s="259">
        <v>42556</v>
      </c>
      <c r="F809" s="262">
        <v>691.38266399999998</v>
      </c>
      <c r="G809" s="261" t="s">
        <v>15</v>
      </c>
      <c r="H809" s="258" t="s">
        <v>16</v>
      </c>
      <c r="I809" s="261">
        <v>801</v>
      </c>
      <c r="J809" s="261" t="s">
        <v>129</v>
      </c>
      <c r="K809" s="261" t="s">
        <v>123</v>
      </c>
      <c r="L809" s="258" t="s">
        <v>140</v>
      </c>
      <c r="M809" s="258" t="s">
        <v>133</v>
      </c>
    </row>
    <row r="810" spans="1:14" x14ac:dyDescent="0.2">
      <c r="A810" s="258" t="s">
        <v>138</v>
      </c>
      <c r="B810" s="258" t="s">
        <v>139</v>
      </c>
      <c r="C810" s="258" t="s">
        <v>17</v>
      </c>
      <c r="D810" s="258" t="s">
        <v>13</v>
      </c>
      <c r="E810" s="259">
        <v>42549</v>
      </c>
      <c r="F810" s="260">
        <v>7.9846507999999998</v>
      </c>
      <c r="G810" s="261" t="s">
        <v>14</v>
      </c>
      <c r="H810" s="258" t="s">
        <v>128</v>
      </c>
      <c r="I810" s="261">
        <v>801</v>
      </c>
      <c r="J810" s="261" t="s">
        <v>129</v>
      </c>
      <c r="K810" s="261" t="s">
        <v>123</v>
      </c>
      <c r="L810" s="258" t="s">
        <v>140</v>
      </c>
      <c r="M810" s="258" t="s">
        <v>128</v>
      </c>
    </row>
    <row r="811" spans="1:14" x14ac:dyDescent="0.2">
      <c r="A811" s="258" t="s">
        <v>138</v>
      </c>
      <c r="B811" s="258" t="s">
        <v>139</v>
      </c>
      <c r="C811" s="258" t="s">
        <v>17</v>
      </c>
      <c r="D811" s="258" t="s">
        <v>13</v>
      </c>
      <c r="E811" s="259">
        <v>42549</v>
      </c>
      <c r="F811" s="262">
        <v>1401.761346</v>
      </c>
      <c r="G811" s="261" t="s">
        <v>15</v>
      </c>
      <c r="H811" s="258" t="s">
        <v>128</v>
      </c>
      <c r="I811" s="261">
        <v>801</v>
      </c>
      <c r="J811" s="261" t="s">
        <v>129</v>
      </c>
      <c r="K811" s="261" t="s">
        <v>123</v>
      </c>
      <c r="L811" s="258" t="s">
        <v>140</v>
      </c>
      <c r="M811" s="258" t="s">
        <v>128</v>
      </c>
    </row>
    <row r="812" spans="1:14" x14ac:dyDescent="0.2">
      <c r="A812" s="258" t="s">
        <v>138</v>
      </c>
      <c r="B812" s="258" t="s">
        <v>139</v>
      </c>
      <c r="C812" s="258" t="s">
        <v>17</v>
      </c>
      <c r="D812" s="258" t="s">
        <v>13</v>
      </c>
      <c r="E812" s="259">
        <v>42549</v>
      </c>
      <c r="F812" s="260">
        <v>6.27</v>
      </c>
      <c r="G812" s="261" t="s">
        <v>14</v>
      </c>
      <c r="H812" s="258" t="s">
        <v>16</v>
      </c>
      <c r="I812" s="261">
        <v>801</v>
      </c>
      <c r="J812" s="261" t="s">
        <v>129</v>
      </c>
      <c r="K812" s="261" t="s">
        <v>123</v>
      </c>
      <c r="L812" s="258" t="s">
        <v>140</v>
      </c>
      <c r="M812" s="258" t="s">
        <v>133</v>
      </c>
    </row>
    <row r="813" spans="1:14" x14ac:dyDescent="0.2">
      <c r="A813" s="258" t="s">
        <v>138</v>
      </c>
      <c r="B813" s="258" t="s">
        <v>139</v>
      </c>
      <c r="C813" s="258" t="s">
        <v>17</v>
      </c>
      <c r="D813" s="258" t="s">
        <v>13</v>
      </c>
      <c r="E813" s="259">
        <v>42549</v>
      </c>
      <c r="F813" s="262">
        <v>1047.927672</v>
      </c>
      <c r="G813" s="261" t="s">
        <v>15</v>
      </c>
      <c r="H813" s="258" t="s">
        <v>16</v>
      </c>
      <c r="I813" s="261">
        <v>801</v>
      </c>
      <c r="J813" s="261" t="s">
        <v>129</v>
      </c>
      <c r="K813" s="261" t="s">
        <v>123</v>
      </c>
      <c r="L813" s="258" t="s">
        <v>140</v>
      </c>
      <c r="M813" s="258" t="s">
        <v>133</v>
      </c>
    </row>
    <row r="814" spans="1:14" x14ac:dyDescent="0.2">
      <c r="A814" s="258" t="s">
        <v>138</v>
      </c>
      <c r="B814" s="258" t="s">
        <v>139</v>
      </c>
      <c r="C814" s="258" t="s">
        <v>17</v>
      </c>
      <c r="D814" s="258" t="s">
        <v>13</v>
      </c>
      <c r="E814" s="259">
        <v>42542</v>
      </c>
      <c r="F814" s="260">
        <v>9.8358974000000003</v>
      </c>
      <c r="G814" s="261" t="s">
        <v>14</v>
      </c>
      <c r="H814" s="258" t="s">
        <v>128</v>
      </c>
      <c r="I814" s="261">
        <v>801</v>
      </c>
      <c r="J814" s="261" t="s">
        <v>129</v>
      </c>
      <c r="K814" s="261" t="s">
        <v>123</v>
      </c>
      <c r="L814" s="258" t="s">
        <v>140</v>
      </c>
      <c r="M814" s="258" t="s">
        <v>128</v>
      </c>
    </row>
    <row r="815" spans="1:14" x14ac:dyDescent="0.2">
      <c r="A815" s="258" t="s">
        <v>138</v>
      </c>
      <c r="B815" s="258" t="s">
        <v>139</v>
      </c>
      <c r="C815" s="258" t="s">
        <v>17</v>
      </c>
      <c r="D815" s="258" t="s">
        <v>13</v>
      </c>
      <c r="E815" s="259">
        <v>42542</v>
      </c>
      <c r="F815" s="262">
        <v>1439.6507999999999</v>
      </c>
      <c r="G815" s="261" t="s">
        <v>15</v>
      </c>
      <c r="H815" s="258" t="s">
        <v>128</v>
      </c>
      <c r="I815" s="261">
        <v>801</v>
      </c>
      <c r="J815" s="261" t="s">
        <v>129</v>
      </c>
      <c r="K815" s="261" t="s">
        <v>123</v>
      </c>
      <c r="L815" s="258" t="s">
        <v>140</v>
      </c>
      <c r="M815" s="258" t="s">
        <v>128</v>
      </c>
    </row>
    <row r="816" spans="1:14" x14ac:dyDescent="0.2">
      <c r="A816" s="258" t="s">
        <v>138</v>
      </c>
      <c r="B816" s="258" t="s">
        <v>139</v>
      </c>
      <c r="C816" s="258" t="s">
        <v>17</v>
      </c>
      <c r="D816" s="258" t="s">
        <v>13</v>
      </c>
      <c r="E816" s="259">
        <v>42542</v>
      </c>
      <c r="F816" s="260">
        <v>6.93</v>
      </c>
      <c r="G816" s="261" t="s">
        <v>14</v>
      </c>
      <c r="H816" s="258" t="s">
        <v>16</v>
      </c>
      <c r="I816" s="261">
        <v>801</v>
      </c>
      <c r="J816" s="261" t="s">
        <v>129</v>
      </c>
      <c r="K816" s="261" t="s">
        <v>123</v>
      </c>
      <c r="L816" s="258" t="s">
        <v>140</v>
      </c>
      <c r="M816" s="258" t="s">
        <v>133</v>
      </c>
    </row>
    <row r="817" spans="1:14" x14ac:dyDescent="0.2">
      <c r="A817" s="258" t="s">
        <v>138</v>
      </c>
      <c r="B817" s="258" t="s">
        <v>139</v>
      </c>
      <c r="C817" s="258" t="s">
        <v>17</v>
      </c>
      <c r="D817" s="258" t="s">
        <v>13</v>
      </c>
      <c r="E817" s="259">
        <v>42542</v>
      </c>
      <c r="F817" s="262">
        <v>934.56455400000004</v>
      </c>
      <c r="G817" s="261" t="s">
        <v>15</v>
      </c>
      <c r="H817" s="258" t="s">
        <v>16</v>
      </c>
      <c r="I817" s="261">
        <v>801</v>
      </c>
      <c r="J817" s="261" t="s">
        <v>129</v>
      </c>
      <c r="K817" s="261" t="s">
        <v>123</v>
      </c>
      <c r="L817" s="258" t="s">
        <v>140</v>
      </c>
      <c r="M817" s="258" t="s">
        <v>133</v>
      </c>
    </row>
    <row r="818" spans="1:14" x14ac:dyDescent="0.2">
      <c r="A818" s="258" t="s">
        <v>138</v>
      </c>
      <c r="B818" s="258" t="s">
        <v>139</v>
      </c>
      <c r="C818" s="258" t="s">
        <v>17</v>
      </c>
      <c r="D818" s="258" t="s">
        <v>13</v>
      </c>
      <c r="E818" s="259">
        <v>42536</v>
      </c>
      <c r="F818" s="260">
        <v>9.7442157999999992</v>
      </c>
      <c r="G818" s="261" t="s">
        <v>14</v>
      </c>
      <c r="H818" s="258" t="s">
        <v>128</v>
      </c>
      <c r="I818" s="261">
        <v>801</v>
      </c>
      <c r="J818" s="261" t="s">
        <v>129</v>
      </c>
      <c r="K818" s="261" t="s">
        <v>123</v>
      </c>
      <c r="L818" s="258" t="s">
        <v>140</v>
      </c>
      <c r="M818" s="258" t="s">
        <v>128</v>
      </c>
    </row>
    <row r="819" spans="1:14" x14ac:dyDescent="0.2">
      <c r="A819" s="258" t="s">
        <v>138</v>
      </c>
      <c r="B819" s="258" t="s">
        <v>139</v>
      </c>
      <c r="C819" s="258" t="s">
        <v>17</v>
      </c>
      <c r="D819" s="258" t="s">
        <v>13</v>
      </c>
      <c r="E819" s="259">
        <v>42536</v>
      </c>
      <c r="F819" s="262">
        <v>1445.735664</v>
      </c>
      <c r="G819" s="261" t="s">
        <v>15</v>
      </c>
      <c r="H819" s="258" t="s">
        <v>128</v>
      </c>
      <c r="I819" s="261">
        <v>801</v>
      </c>
      <c r="J819" s="261" t="s">
        <v>129</v>
      </c>
      <c r="K819" s="261" t="s">
        <v>123</v>
      </c>
      <c r="L819" s="258" t="s">
        <v>140</v>
      </c>
      <c r="M819" s="258" t="s">
        <v>128</v>
      </c>
    </row>
    <row r="820" spans="1:14" x14ac:dyDescent="0.2">
      <c r="A820" s="258" t="s">
        <v>138</v>
      </c>
      <c r="B820" s="258" t="s">
        <v>139</v>
      </c>
      <c r="C820" s="258" t="s">
        <v>17</v>
      </c>
      <c r="D820" s="258" t="s">
        <v>13</v>
      </c>
      <c r="E820" s="259">
        <v>42536</v>
      </c>
      <c r="F820" s="260">
        <v>6.63</v>
      </c>
      <c r="G820" s="261" t="s">
        <v>14</v>
      </c>
      <c r="H820" s="258" t="s">
        <v>16</v>
      </c>
      <c r="I820" s="261">
        <v>11</v>
      </c>
      <c r="J820" s="261" t="s">
        <v>129</v>
      </c>
      <c r="K820" s="261" t="s">
        <v>123</v>
      </c>
      <c r="L820" s="258" t="s">
        <v>142</v>
      </c>
      <c r="M820" s="258" t="s">
        <v>133</v>
      </c>
      <c r="N820" s="258"/>
    </row>
    <row r="821" spans="1:14" x14ac:dyDescent="0.2">
      <c r="A821" s="258" t="s">
        <v>138</v>
      </c>
      <c r="B821" s="258" t="s">
        <v>139</v>
      </c>
      <c r="C821" s="258" t="s">
        <v>17</v>
      </c>
      <c r="D821" s="258" t="s">
        <v>13</v>
      </c>
      <c r="E821" s="259">
        <v>42536</v>
      </c>
      <c r="F821" s="262">
        <v>992.53089</v>
      </c>
      <c r="G821" s="261" t="s">
        <v>15</v>
      </c>
      <c r="H821" s="258" t="s">
        <v>16</v>
      </c>
      <c r="I821" s="261">
        <v>11</v>
      </c>
      <c r="J821" s="261" t="s">
        <v>129</v>
      </c>
      <c r="K821" s="261" t="s">
        <v>123</v>
      </c>
      <c r="L821" s="258" t="s">
        <v>142</v>
      </c>
      <c r="M821" s="258" t="s">
        <v>133</v>
      </c>
      <c r="N821" s="258"/>
    </row>
    <row r="822" spans="1:14" x14ac:dyDescent="0.2">
      <c r="A822" s="258" t="s">
        <v>138</v>
      </c>
      <c r="B822" s="258" t="s">
        <v>139</v>
      </c>
      <c r="C822" s="258" t="s">
        <v>17</v>
      </c>
      <c r="D822" s="258" t="s">
        <v>13</v>
      </c>
      <c r="E822" s="259">
        <v>42528</v>
      </c>
      <c r="F822" s="260">
        <v>10.7069226</v>
      </c>
      <c r="G822" s="261" t="s">
        <v>14</v>
      </c>
      <c r="H822" s="258" t="s">
        <v>128</v>
      </c>
      <c r="I822" s="261">
        <v>801</v>
      </c>
      <c r="J822" s="261" t="s">
        <v>129</v>
      </c>
      <c r="K822" s="261" t="s">
        <v>123</v>
      </c>
      <c r="L822" s="258" t="s">
        <v>140</v>
      </c>
      <c r="M822" s="258" t="s">
        <v>128</v>
      </c>
    </row>
    <row r="823" spans="1:14" x14ac:dyDescent="0.2">
      <c r="A823" s="258" t="s">
        <v>138</v>
      </c>
      <c r="B823" s="258" t="s">
        <v>139</v>
      </c>
      <c r="C823" s="258" t="s">
        <v>17</v>
      </c>
      <c r="D823" s="258" t="s">
        <v>13</v>
      </c>
      <c r="E823" s="259">
        <v>42528</v>
      </c>
      <c r="F823" s="262">
        <v>1488.559896</v>
      </c>
      <c r="G823" s="261" t="s">
        <v>15</v>
      </c>
      <c r="H823" s="258" t="s">
        <v>128</v>
      </c>
      <c r="I823" s="261">
        <v>801</v>
      </c>
      <c r="J823" s="261" t="s">
        <v>129</v>
      </c>
      <c r="K823" s="261" t="s">
        <v>123</v>
      </c>
      <c r="L823" s="258" t="s">
        <v>140</v>
      </c>
      <c r="M823" s="258" t="s">
        <v>128</v>
      </c>
    </row>
    <row r="824" spans="1:14" x14ac:dyDescent="0.2">
      <c r="A824" s="258" t="s">
        <v>138</v>
      </c>
      <c r="B824" s="258" t="s">
        <v>139</v>
      </c>
      <c r="C824" s="258" t="s">
        <v>17</v>
      </c>
      <c r="D824" s="258" t="s">
        <v>13</v>
      </c>
      <c r="E824" s="259">
        <v>42528</v>
      </c>
      <c r="F824" s="260">
        <v>6.52</v>
      </c>
      <c r="G824" s="261" t="s">
        <v>14</v>
      </c>
      <c r="H824" s="258" t="s">
        <v>16</v>
      </c>
      <c r="I824" s="261">
        <v>801</v>
      </c>
      <c r="J824" s="261" t="s">
        <v>129</v>
      </c>
      <c r="K824" s="261" t="s">
        <v>123</v>
      </c>
      <c r="L824" s="258" t="s">
        <v>140</v>
      </c>
      <c r="M824" s="258" t="s">
        <v>133</v>
      </c>
    </row>
    <row r="825" spans="1:14" x14ac:dyDescent="0.2">
      <c r="A825" s="258" t="s">
        <v>138</v>
      </c>
      <c r="B825" s="258" t="s">
        <v>139</v>
      </c>
      <c r="C825" s="258" t="s">
        <v>17</v>
      </c>
      <c r="D825" s="258" t="s">
        <v>13</v>
      </c>
      <c r="E825" s="259">
        <v>42528</v>
      </c>
      <c r="F825" s="262">
        <v>904.82995200000005</v>
      </c>
      <c r="G825" s="261" t="s">
        <v>15</v>
      </c>
      <c r="H825" s="258" t="s">
        <v>16</v>
      </c>
      <c r="I825" s="261">
        <v>801</v>
      </c>
      <c r="J825" s="261" t="s">
        <v>129</v>
      </c>
      <c r="K825" s="261" t="s">
        <v>123</v>
      </c>
      <c r="L825" s="258" t="s">
        <v>140</v>
      </c>
      <c r="M825" s="258" t="s">
        <v>133</v>
      </c>
    </row>
    <row r="826" spans="1:14" x14ac:dyDescent="0.2">
      <c r="A826" s="258" t="s">
        <v>138</v>
      </c>
      <c r="B826" s="258" t="s">
        <v>139</v>
      </c>
      <c r="C826" s="258" t="s">
        <v>17</v>
      </c>
      <c r="D826" s="258" t="s">
        <v>13</v>
      </c>
      <c r="E826" s="259">
        <v>42521</v>
      </c>
      <c r="F826" s="260">
        <v>6.6748555999999999</v>
      </c>
      <c r="G826" s="261" t="s">
        <v>14</v>
      </c>
      <c r="H826" s="258" t="s">
        <v>128</v>
      </c>
      <c r="I826" s="261">
        <v>801</v>
      </c>
      <c r="J826" s="261" t="s">
        <v>129</v>
      </c>
      <c r="K826" s="261" t="s">
        <v>123</v>
      </c>
      <c r="L826" s="258" t="s">
        <v>140</v>
      </c>
      <c r="M826" s="258" t="s">
        <v>128</v>
      </c>
    </row>
    <row r="827" spans="1:14" x14ac:dyDescent="0.2">
      <c r="A827" s="258" t="s">
        <v>138</v>
      </c>
      <c r="B827" s="258" t="s">
        <v>139</v>
      </c>
      <c r="C827" s="258" t="s">
        <v>17</v>
      </c>
      <c r="D827" s="258" t="s">
        <v>13</v>
      </c>
      <c r="E827" s="259">
        <v>42521</v>
      </c>
      <c r="F827" s="262">
        <v>1079.964948</v>
      </c>
      <c r="G827" s="261" t="s">
        <v>15</v>
      </c>
      <c r="H827" s="258" t="s">
        <v>128</v>
      </c>
      <c r="I827" s="261">
        <v>801</v>
      </c>
      <c r="J827" s="261" t="s">
        <v>129</v>
      </c>
      <c r="K827" s="261" t="s">
        <v>123</v>
      </c>
      <c r="L827" s="258" t="s">
        <v>140</v>
      </c>
      <c r="M827" s="258" t="s">
        <v>128</v>
      </c>
    </row>
    <row r="828" spans="1:14" x14ac:dyDescent="0.2">
      <c r="A828" s="258" t="s">
        <v>138</v>
      </c>
      <c r="B828" s="258" t="s">
        <v>139</v>
      </c>
      <c r="C828" s="258" t="s">
        <v>17</v>
      </c>
      <c r="D828" s="258" t="s">
        <v>13</v>
      </c>
      <c r="E828" s="259">
        <v>42521</v>
      </c>
      <c r="F828" s="260">
        <v>5</v>
      </c>
      <c r="G828" s="261" t="s">
        <v>14</v>
      </c>
      <c r="H828" s="258" t="s">
        <v>16</v>
      </c>
      <c r="I828" s="261">
        <v>801</v>
      </c>
      <c r="J828" s="261" t="s">
        <v>129</v>
      </c>
      <c r="K828" s="261" t="s">
        <v>123</v>
      </c>
      <c r="L828" s="258" t="s">
        <v>140</v>
      </c>
      <c r="M828" s="258" t="s">
        <v>133</v>
      </c>
    </row>
    <row r="829" spans="1:14" x14ac:dyDescent="0.2">
      <c r="A829" s="258" t="s">
        <v>138</v>
      </c>
      <c r="B829" s="258" t="s">
        <v>139</v>
      </c>
      <c r="C829" s="258" t="s">
        <v>17</v>
      </c>
      <c r="D829" s="258" t="s">
        <v>13</v>
      </c>
      <c r="E829" s="259">
        <v>42521</v>
      </c>
      <c r="F829" s="262">
        <v>834.83399999999995</v>
      </c>
      <c r="G829" s="261" t="s">
        <v>15</v>
      </c>
      <c r="H829" s="258" t="s">
        <v>16</v>
      </c>
      <c r="I829" s="261">
        <v>801</v>
      </c>
      <c r="J829" s="261" t="s">
        <v>129</v>
      </c>
      <c r="K829" s="261" t="s">
        <v>123</v>
      </c>
      <c r="L829" s="258" t="s">
        <v>140</v>
      </c>
      <c r="M829" s="258" t="s">
        <v>133</v>
      </c>
    </row>
    <row r="830" spans="1:14" x14ac:dyDescent="0.2">
      <c r="A830" s="258" t="s">
        <v>138</v>
      </c>
      <c r="B830" s="258" t="s">
        <v>139</v>
      </c>
      <c r="C830" s="258" t="s">
        <v>17</v>
      </c>
      <c r="D830" s="258" t="s">
        <v>13</v>
      </c>
      <c r="E830" s="259">
        <v>42514</v>
      </c>
      <c r="F830" s="260">
        <v>10.45767</v>
      </c>
      <c r="G830" s="261" t="s">
        <v>14</v>
      </c>
      <c r="H830" s="258" t="s">
        <v>128</v>
      </c>
      <c r="I830" s="261">
        <v>801</v>
      </c>
      <c r="J830" s="261" t="s">
        <v>129</v>
      </c>
      <c r="K830" s="261" t="s">
        <v>123</v>
      </c>
      <c r="L830" s="258" t="s">
        <v>140</v>
      </c>
      <c r="M830" s="258" t="s">
        <v>128</v>
      </c>
    </row>
    <row r="831" spans="1:14" x14ac:dyDescent="0.2">
      <c r="A831" s="258" t="s">
        <v>138</v>
      </c>
      <c r="B831" s="258" t="s">
        <v>139</v>
      </c>
      <c r="C831" s="258" t="s">
        <v>17</v>
      </c>
      <c r="D831" s="258" t="s">
        <v>13</v>
      </c>
      <c r="E831" s="259">
        <v>42514</v>
      </c>
      <c r="F831" s="262">
        <v>1205.3385000000001</v>
      </c>
      <c r="G831" s="261" t="s">
        <v>15</v>
      </c>
      <c r="H831" s="258" t="s">
        <v>128</v>
      </c>
      <c r="I831" s="261">
        <v>801</v>
      </c>
      <c r="J831" s="261" t="s">
        <v>129</v>
      </c>
      <c r="K831" s="261" t="s">
        <v>123</v>
      </c>
      <c r="L831" s="258" t="s">
        <v>140</v>
      </c>
      <c r="M831" s="258" t="s">
        <v>128</v>
      </c>
    </row>
    <row r="832" spans="1:14" x14ac:dyDescent="0.2">
      <c r="A832" s="258" t="s">
        <v>138</v>
      </c>
      <c r="B832" s="258" t="s">
        <v>139</v>
      </c>
      <c r="C832" s="258" t="s">
        <v>17</v>
      </c>
      <c r="D832" s="258" t="s">
        <v>13</v>
      </c>
      <c r="E832" s="259">
        <v>42514</v>
      </c>
      <c r="F832" s="260">
        <v>8.36</v>
      </c>
      <c r="G832" s="261" t="s">
        <v>14</v>
      </c>
      <c r="H832" s="258" t="s">
        <v>16</v>
      </c>
      <c r="I832" s="261">
        <v>801</v>
      </c>
      <c r="J832" s="261" t="s">
        <v>129</v>
      </c>
      <c r="K832" s="261" t="s">
        <v>123</v>
      </c>
      <c r="L832" s="258" t="s">
        <v>140</v>
      </c>
      <c r="M832" s="258" t="s">
        <v>133</v>
      </c>
    </row>
    <row r="833" spans="1:13" x14ac:dyDescent="0.2">
      <c r="A833" s="258" t="s">
        <v>138</v>
      </c>
      <c r="B833" s="258" t="s">
        <v>139</v>
      </c>
      <c r="C833" s="258" t="s">
        <v>17</v>
      </c>
      <c r="D833" s="258" t="s">
        <v>13</v>
      </c>
      <c r="E833" s="259">
        <v>42514</v>
      </c>
      <c r="F833" s="262">
        <v>914.06066399999997</v>
      </c>
      <c r="G833" s="261" t="s">
        <v>15</v>
      </c>
      <c r="H833" s="258" t="s">
        <v>16</v>
      </c>
      <c r="I833" s="261">
        <v>801</v>
      </c>
      <c r="J833" s="261" t="s">
        <v>129</v>
      </c>
      <c r="K833" s="261" t="s">
        <v>123</v>
      </c>
      <c r="L833" s="258" t="s">
        <v>140</v>
      </c>
      <c r="M833" s="258" t="s">
        <v>133</v>
      </c>
    </row>
    <row r="834" spans="1:13" x14ac:dyDescent="0.2">
      <c r="A834" s="258" t="s">
        <v>138</v>
      </c>
      <c r="B834" s="258" t="s">
        <v>139</v>
      </c>
      <c r="C834" s="258" t="s">
        <v>17</v>
      </c>
      <c r="D834" s="258" t="s">
        <v>13</v>
      </c>
      <c r="E834" s="259">
        <v>42507</v>
      </c>
      <c r="F834" s="260">
        <v>12.37851</v>
      </c>
      <c r="G834" s="261" t="s">
        <v>14</v>
      </c>
      <c r="H834" s="258" t="s">
        <v>128</v>
      </c>
      <c r="I834" s="261">
        <v>801</v>
      </c>
      <c r="J834" s="261" t="s">
        <v>129</v>
      </c>
      <c r="K834" s="261" t="s">
        <v>123</v>
      </c>
      <c r="L834" s="258" t="s">
        <v>140</v>
      </c>
      <c r="M834" s="258" t="s">
        <v>128</v>
      </c>
    </row>
    <row r="835" spans="1:13" x14ac:dyDescent="0.2">
      <c r="A835" s="258" t="s">
        <v>138</v>
      </c>
      <c r="B835" s="258" t="s">
        <v>139</v>
      </c>
      <c r="C835" s="258" t="s">
        <v>17</v>
      </c>
      <c r="D835" s="258" t="s">
        <v>13</v>
      </c>
      <c r="E835" s="259">
        <v>42507</v>
      </c>
      <c r="F835" s="262">
        <v>1441.1853599999999</v>
      </c>
      <c r="G835" s="261" t="s">
        <v>15</v>
      </c>
      <c r="H835" s="258" t="s">
        <v>128</v>
      </c>
      <c r="I835" s="261">
        <v>801</v>
      </c>
      <c r="J835" s="261" t="s">
        <v>129</v>
      </c>
      <c r="K835" s="261" t="s">
        <v>123</v>
      </c>
      <c r="L835" s="258" t="s">
        <v>140</v>
      </c>
      <c r="M835" s="258" t="s">
        <v>128</v>
      </c>
    </row>
    <row r="836" spans="1:13" x14ac:dyDescent="0.2">
      <c r="A836" s="258" t="s">
        <v>138</v>
      </c>
      <c r="B836" s="258" t="s">
        <v>139</v>
      </c>
      <c r="C836" s="258" t="s">
        <v>17</v>
      </c>
      <c r="D836" s="258" t="s">
        <v>13</v>
      </c>
      <c r="E836" s="259">
        <v>42507</v>
      </c>
      <c r="F836" s="260">
        <v>7.61</v>
      </c>
      <c r="G836" s="261" t="s">
        <v>14</v>
      </c>
      <c r="H836" s="258" t="s">
        <v>16</v>
      </c>
      <c r="I836" s="261">
        <v>801</v>
      </c>
      <c r="J836" s="261" t="s">
        <v>129</v>
      </c>
      <c r="K836" s="261" t="s">
        <v>123</v>
      </c>
      <c r="L836" s="258" t="s">
        <v>140</v>
      </c>
      <c r="M836" s="258" t="s">
        <v>133</v>
      </c>
    </row>
    <row r="837" spans="1:13" x14ac:dyDescent="0.2">
      <c r="A837" s="258" t="s">
        <v>138</v>
      </c>
      <c r="B837" s="258" t="s">
        <v>139</v>
      </c>
      <c r="C837" s="258" t="s">
        <v>17</v>
      </c>
      <c r="D837" s="258" t="s">
        <v>13</v>
      </c>
      <c r="E837" s="259">
        <v>42507</v>
      </c>
      <c r="F837" s="262">
        <v>877.754142</v>
      </c>
      <c r="G837" s="261" t="s">
        <v>15</v>
      </c>
      <c r="H837" s="258" t="s">
        <v>16</v>
      </c>
      <c r="I837" s="261">
        <v>801</v>
      </c>
      <c r="J837" s="261" t="s">
        <v>129</v>
      </c>
      <c r="K837" s="261" t="s">
        <v>123</v>
      </c>
      <c r="L837" s="258" t="s">
        <v>140</v>
      </c>
      <c r="M837" s="258" t="s">
        <v>133</v>
      </c>
    </row>
    <row r="838" spans="1:13" x14ac:dyDescent="0.2">
      <c r="A838" s="258" t="s">
        <v>138</v>
      </c>
      <c r="B838" s="258" t="s">
        <v>139</v>
      </c>
      <c r="C838" s="258" t="s">
        <v>17</v>
      </c>
      <c r="D838" s="258" t="s">
        <v>13</v>
      </c>
      <c r="E838" s="259">
        <v>42500</v>
      </c>
      <c r="F838" s="260">
        <v>9.1269980000000004</v>
      </c>
      <c r="G838" s="261" t="s">
        <v>14</v>
      </c>
      <c r="H838" s="258" t="s">
        <v>128</v>
      </c>
      <c r="I838" s="261">
        <v>801</v>
      </c>
      <c r="J838" s="261" t="s">
        <v>129</v>
      </c>
      <c r="K838" s="261" t="s">
        <v>123</v>
      </c>
      <c r="L838" s="258" t="s">
        <v>140</v>
      </c>
      <c r="M838" s="258" t="s">
        <v>128</v>
      </c>
    </row>
    <row r="839" spans="1:13" x14ac:dyDescent="0.2">
      <c r="A839" s="258" t="s">
        <v>138</v>
      </c>
      <c r="B839" s="258" t="s">
        <v>139</v>
      </c>
      <c r="C839" s="258" t="s">
        <v>17</v>
      </c>
      <c r="D839" s="258" t="s">
        <v>13</v>
      </c>
      <c r="E839" s="259">
        <v>42500</v>
      </c>
      <c r="F839" s="262">
        <v>1156.250094</v>
      </c>
      <c r="G839" s="261" t="s">
        <v>15</v>
      </c>
      <c r="H839" s="258" t="s">
        <v>128</v>
      </c>
      <c r="I839" s="261">
        <v>801</v>
      </c>
      <c r="J839" s="261" t="s">
        <v>129</v>
      </c>
      <c r="K839" s="261" t="s">
        <v>123</v>
      </c>
      <c r="L839" s="258" t="s">
        <v>140</v>
      </c>
      <c r="M839" s="258" t="s">
        <v>128</v>
      </c>
    </row>
    <row r="840" spans="1:13" x14ac:dyDescent="0.2">
      <c r="A840" s="258" t="s">
        <v>138</v>
      </c>
      <c r="B840" s="258" t="s">
        <v>139</v>
      </c>
      <c r="C840" s="258" t="s">
        <v>17</v>
      </c>
      <c r="D840" s="258" t="s">
        <v>13</v>
      </c>
      <c r="E840" s="259">
        <v>42500</v>
      </c>
      <c r="F840" s="260">
        <v>7.14</v>
      </c>
      <c r="G840" s="261" t="s">
        <v>14</v>
      </c>
      <c r="H840" s="258" t="s">
        <v>16</v>
      </c>
      <c r="I840" s="261">
        <v>801</v>
      </c>
      <c r="J840" s="261" t="s">
        <v>129</v>
      </c>
      <c r="K840" s="261" t="s">
        <v>123</v>
      </c>
      <c r="L840" s="258" t="s">
        <v>140</v>
      </c>
      <c r="M840" s="258" t="s">
        <v>133</v>
      </c>
    </row>
    <row r="841" spans="1:13" x14ac:dyDescent="0.2">
      <c r="A841" s="258" t="s">
        <v>138</v>
      </c>
      <c r="B841" s="258" t="s">
        <v>139</v>
      </c>
      <c r="C841" s="258" t="s">
        <v>17</v>
      </c>
      <c r="D841" s="258" t="s">
        <v>13</v>
      </c>
      <c r="E841" s="259">
        <v>42500</v>
      </c>
      <c r="F841" s="262">
        <v>913.46018400000003</v>
      </c>
      <c r="G841" s="261" t="s">
        <v>15</v>
      </c>
      <c r="H841" s="258" t="s">
        <v>16</v>
      </c>
      <c r="I841" s="261">
        <v>801</v>
      </c>
      <c r="J841" s="261" t="s">
        <v>129</v>
      </c>
      <c r="K841" s="261" t="s">
        <v>123</v>
      </c>
      <c r="L841" s="258" t="s">
        <v>140</v>
      </c>
      <c r="M841" s="258" t="s">
        <v>133</v>
      </c>
    </row>
    <row r="842" spans="1:13" x14ac:dyDescent="0.2">
      <c r="A842" s="258" t="s">
        <v>138</v>
      </c>
      <c r="B842" s="258" t="s">
        <v>139</v>
      </c>
      <c r="C842" s="258" t="s">
        <v>17</v>
      </c>
      <c r="D842" s="258" t="s">
        <v>13</v>
      </c>
      <c r="E842" s="259">
        <v>42493</v>
      </c>
      <c r="F842" s="260">
        <v>10.1240568</v>
      </c>
      <c r="G842" s="261" t="s">
        <v>14</v>
      </c>
      <c r="H842" s="258" t="s">
        <v>128</v>
      </c>
      <c r="I842" s="261">
        <v>801</v>
      </c>
      <c r="J842" s="261" t="s">
        <v>129</v>
      </c>
      <c r="K842" s="261" t="s">
        <v>123</v>
      </c>
      <c r="L842" s="258" t="s">
        <v>140</v>
      </c>
      <c r="M842" s="258" t="s">
        <v>128</v>
      </c>
    </row>
    <row r="843" spans="1:13" x14ac:dyDescent="0.2">
      <c r="A843" s="258" t="s">
        <v>138</v>
      </c>
      <c r="B843" s="258" t="s">
        <v>139</v>
      </c>
      <c r="C843" s="258" t="s">
        <v>17</v>
      </c>
      <c r="D843" s="258" t="s">
        <v>13</v>
      </c>
      <c r="E843" s="259">
        <v>42493</v>
      </c>
      <c r="F843" s="262">
        <v>1486.0495559999999</v>
      </c>
      <c r="G843" s="261" t="s">
        <v>15</v>
      </c>
      <c r="H843" s="258" t="s">
        <v>128</v>
      </c>
      <c r="I843" s="261">
        <v>801</v>
      </c>
      <c r="J843" s="261" t="s">
        <v>129</v>
      </c>
      <c r="K843" s="261" t="s">
        <v>123</v>
      </c>
      <c r="L843" s="258" t="s">
        <v>140</v>
      </c>
      <c r="M843" s="258" t="s">
        <v>128</v>
      </c>
    </row>
    <row r="844" spans="1:13" x14ac:dyDescent="0.2">
      <c r="A844" s="258" t="s">
        <v>138</v>
      </c>
      <c r="B844" s="258" t="s">
        <v>139</v>
      </c>
      <c r="C844" s="258" t="s">
        <v>17</v>
      </c>
      <c r="D844" s="258" t="s">
        <v>13</v>
      </c>
      <c r="E844" s="259">
        <v>42493</v>
      </c>
      <c r="F844" s="260">
        <v>5.89</v>
      </c>
      <c r="G844" s="261" t="s">
        <v>14</v>
      </c>
      <c r="H844" s="258" t="s">
        <v>16</v>
      </c>
      <c r="I844" s="261">
        <v>801</v>
      </c>
      <c r="J844" s="261" t="s">
        <v>129</v>
      </c>
      <c r="K844" s="261" t="s">
        <v>123</v>
      </c>
      <c r="L844" s="258" t="s">
        <v>140</v>
      </c>
      <c r="M844" s="258" t="s">
        <v>133</v>
      </c>
    </row>
    <row r="845" spans="1:13" x14ac:dyDescent="0.2">
      <c r="A845" s="258" t="s">
        <v>138</v>
      </c>
      <c r="B845" s="258" t="s">
        <v>139</v>
      </c>
      <c r="C845" s="258" t="s">
        <v>17</v>
      </c>
      <c r="D845" s="258" t="s">
        <v>13</v>
      </c>
      <c r="E845" s="259">
        <v>42493</v>
      </c>
      <c r="F845" s="262">
        <v>856.69814399999996</v>
      </c>
      <c r="G845" s="261" t="s">
        <v>15</v>
      </c>
      <c r="H845" s="258" t="s">
        <v>16</v>
      </c>
      <c r="I845" s="261">
        <v>801</v>
      </c>
      <c r="J845" s="261" t="s">
        <v>129</v>
      </c>
      <c r="K845" s="261" t="s">
        <v>123</v>
      </c>
      <c r="L845" s="258" t="s">
        <v>140</v>
      </c>
      <c r="M845" s="258" t="s">
        <v>133</v>
      </c>
    </row>
    <row r="846" spans="1:13" x14ac:dyDescent="0.2">
      <c r="A846" s="258" t="s">
        <v>138</v>
      </c>
      <c r="B846" s="258" t="s">
        <v>139</v>
      </c>
      <c r="C846" s="258" t="s">
        <v>17</v>
      </c>
      <c r="D846" s="258" t="s">
        <v>13</v>
      </c>
      <c r="E846" s="259">
        <v>42486</v>
      </c>
      <c r="F846" s="260">
        <v>14.071249999999999</v>
      </c>
      <c r="G846" s="261" t="s">
        <v>14</v>
      </c>
      <c r="H846" s="258" t="s">
        <v>128</v>
      </c>
      <c r="I846" s="261">
        <v>801</v>
      </c>
      <c r="J846" s="261" t="s">
        <v>129</v>
      </c>
      <c r="K846" s="261" t="s">
        <v>123</v>
      </c>
      <c r="L846" s="258" t="s">
        <v>140</v>
      </c>
      <c r="M846" s="258" t="s">
        <v>128</v>
      </c>
    </row>
    <row r="847" spans="1:13" x14ac:dyDescent="0.2">
      <c r="A847" s="258" t="s">
        <v>138</v>
      </c>
      <c r="B847" s="258" t="s">
        <v>139</v>
      </c>
      <c r="C847" s="258" t="s">
        <v>17</v>
      </c>
      <c r="D847" s="258" t="s">
        <v>13</v>
      </c>
      <c r="E847" s="259">
        <v>42486</v>
      </c>
      <c r="F847" s="262">
        <v>1689.90084</v>
      </c>
      <c r="G847" s="261" t="s">
        <v>15</v>
      </c>
      <c r="H847" s="258" t="s">
        <v>128</v>
      </c>
      <c r="I847" s="261">
        <v>801</v>
      </c>
      <c r="J847" s="261" t="s">
        <v>129</v>
      </c>
      <c r="K847" s="261" t="s">
        <v>123</v>
      </c>
      <c r="L847" s="258" t="s">
        <v>140</v>
      </c>
      <c r="M847" s="258" t="s">
        <v>128</v>
      </c>
    </row>
    <row r="848" spans="1:13" x14ac:dyDescent="0.2">
      <c r="A848" s="258" t="s">
        <v>138</v>
      </c>
      <c r="B848" s="258" t="s">
        <v>139</v>
      </c>
      <c r="C848" s="258" t="s">
        <v>17</v>
      </c>
      <c r="D848" s="258" t="s">
        <v>13</v>
      </c>
      <c r="E848" s="259">
        <v>42486</v>
      </c>
      <c r="F848" s="260">
        <v>10.6</v>
      </c>
      <c r="G848" s="261" t="s">
        <v>14</v>
      </c>
      <c r="H848" s="258" t="s">
        <v>16</v>
      </c>
      <c r="I848" s="261">
        <v>801</v>
      </c>
      <c r="J848" s="261" t="s">
        <v>129</v>
      </c>
      <c r="K848" s="261" t="s">
        <v>123</v>
      </c>
      <c r="L848" s="258" t="s">
        <v>140</v>
      </c>
      <c r="M848" s="258" t="s">
        <v>133</v>
      </c>
    </row>
    <row r="849" spans="1:13" x14ac:dyDescent="0.2">
      <c r="A849" s="258" t="s">
        <v>138</v>
      </c>
      <c r="B849" s="258" t="s">
        <v>139</v>
      </c>
      <c r="C849" s="258" t="s">
        <v>17</v>
      </c>
      <c r="D849" s="258" t="s">
        <v>13</v>
      </c>
      <c r="E849" s="259">
        <v>42486</v>
      </c>
      <c r="F849" s="262">
        <v>1108.5861600000001</v>
      </c>
      <c r="G849" s="261" t="s">
        <v>15</v>
      </c>
      <c r="H849" s="258" t="s">
        <v>16</v>
      </c>
      <c r="I849" s="261">
        <v>801</v>
      </c>
      <c r="J849" s="261" t="s">
        <v>129</v>
      </c>
      <c r="K849" s="261" t="s">
        <v>123</v>
      </c>
      <c r="L849" s="258" t="s">
        <v>140</v>
      </c>
      <c r="M849" s="258" t="s">
        <v>133</v>
      </c>
    </row>
    <row r="850" spans="1:13" x14ac:dyDescent="0.2">
      <c r="A850" s="258" t="s">
        <v>138</v>
      </c>
      <c r="B850" s="258" t="s">
        <v>139</v>
      </c>
      <c r="C850" s="258" t="s">
        <v>17</v>
      </c>
      <c r="D850" s="258" t="s">
        <v>13</v>
      </c>
      <c r="E850" s="259">
        <v>42479</v>
      </c>
      <c r="F850" s="260">
        <v>13.5902665</v>
      </c>
      <c r="G850" s="261" t="s">
        <v>14</v>
      </c>
      <c r="H850" s="258" t="s">
        <v>128</v>
      </c>
      <c r="I850" s="261">
        <v>801</v>
      </c>
      <c r="J850" s="261" t="s">
        <v>129</v>
      </c>
      <c r="K850" s="261" t="s">
        <v>123</v>
      </c>
      <c r="L850" s="258" t="s">
        <v>140</v>
      </c>
      <c r="M850" s="258" t="s">
        <v>128</v>
      </c>
    </row>
    <row r="851" spans="1:13" x14ac:dyDescent="0.2">
      <c r="A851" s="258" t="s">
        <v>138</v>
      </c>
      <c r="B851" s="258" t="s">
        <v>139</v>
      </c>
      <c r="C851" s="258" t="s">
        <v>17</v>
      </c>
      <c r="D851" s="258" t="s">
        <v>13</v>
      </c>
      <c r="E851" s="259">
        <v>42479</v>
      </c>
      <c r="F851" s="262">
        <v>1828.21974</v>
      </c>
      <c r="G851" s="261" t="s">
        <v>15</v>
      </c>
      <c r="H851" s="258" t="s">
        <v>128</v>
      </c>
      <c r="I851" s="261">
        <v>801</v>
      </c>
      <c r="J851" s="261" t="s">
        <v>129</v>
      </c>
      <c r="K851" s="261" t="s">
        <v>123</v>
      </c>
      <c r="L851" s="258" t="s">
        <v>140</v>
      </c>
      <c r="M851" s="258" t="s">
        <v>128</v>
      </c>
    </row>
    <row r="852" spans="1:13" x14ac:dyDescent="0.2">
      <c r="A852" s="258" t="s">
        <v>138</v>
      </c>
      <c r="B852" s="258" t="s">
        <v>139</v>
      </c>
      <c r="C852" s="258" t="s">
        <v>17</v>
      </c>
      <c r="D852" s="258" t="s">
        <v>13</v>
      </c>
      <c r="E852" s="259">
        <v>42479</v>
      </c>
      <c r="F852" s="260">
        <v>7.45</v>
      </c>
      <c r="G852" s="261" t="s">
        <v>14</v>
      </c>
      <c r="H852" s="258" t="s">
        <v>16</v>
      </c>
      <c r="I852" s="261">
        <v>801</v>
      </c>
      <c r="J852" s="261" t="s">
        <v>129</v>
      </c>
      <c r="K852" s="261" t="s">
        <v>123</v>
      </c>
      <c r="L852" s="258" t="s">
        <v>140</v>
      </c>
      <c r="M852" s="258" t="s">
        <v>133</v>
      </c>
    </row>
    <row r="853" spans="1:13" x14ac:dyDescent="0.2">
      <c r="A853" s="258" t="s">
        <v>138</v>
      </c>
      <c r="B853" s="258" t="s">
        <v>139</v>
      </c>
      <c r="C853" s="258" t="s">
        <v>17</v>
      </c>
      <c r="D853" s="258" t="s">
        <v>13</v>
      </c>
      <c r="E853" s="259">
        <v>42479</v>
      </c>
      <c r="F853" s="262">
        <v>700.86023999999998</v>
      </c>
      <c r="G853" s="261" t="s">
        <v>15</v>
      </c>
      <c r="H853" s="258" t="s">
        <v>16</v>
      </c>
      <c r="I853" s="261">
        <v>801</v>
      </c>
      <c r="J853" s="261" t="s">
        <v>129</v>
      </c>
      <c r="K853" s="261" t="s">
        <v>123</v>
      </c>
      <c r="L853" s="258" t="s">
        <v>140</v>
      </c>
      <c r="M853" s="258" t="s">
        <v>133</v>
      </c>
    </row>
    <row r="854" spans="1:13" x14ac:dyDescent="0.2">
      <c r="A854" s="258" t="s">
        <v>138</v>
      </c>
      <c r="B854" s="258" t="s">
        <v>139</v>
      </c>
      <c r="C854" s="258" t="s">
        <v>17</v>
      </c>
      <c r="D854" s="258" t="s">
        <v>13</v>
      </c>
      <c r="E854" s="259">
        <v>42472</v>
      </c>
      <c r="F854" s="260">
        <v>11.783680199999999</v>
      </c>
      <c r="G854" s="261" t="s">
        <v>14</v>
      </c>
      <c r="H854" s="258" t="s">
        <v>128</v>
      </c>
      <c r="I854" s="261">
        <v>801</v>
      </c>
      <c r="J854" s="261" t="s">
        <v>129</v>
      </c>
      <c r="K854" s="261" t="s">
        <v>123</v>
      </c>
      <c r="L854" s="258" t="s">
        <v>140</v>
      </c>
      <c r="M854" s="258" t="s">
        <v>128</v>
      </c>
    </row>
    <row r="855" spans="1:13" x14ac:dyDescent="0.2">
      <c r="A855" s="258" t="s">
        <v>138</v>
      </c>
      <c r="B855" s="258" t="s">
        <v>139</v>
      </c>
      <c r="C855" s="258" t="s">
        <v>17</v>
      </c>
      <c r="D855" s="258" t="s">
        <v>13</v>
      </c>
      <c r="E855" s="259">
        <v>42472</v>
      </c>
      <c r="F855" s="262">
        <v>1586.172924</v>
      </c>
      <c r="G855" s="261" t="s">
        <v>15</v>
      </c>
      <c r="H855" s="258" t="s">
        <v>128</v>
      </c>
      <c r="I855" s="261">
        <v>801</v>
      </c>
      <c r="J855" s="261" t="s">
        <v>129</v>
      </c>
      <c r="K855" s="261" t="s">
        <v>123</v>
      </c>
      <c r="L855" s="258" t="s">
        <v>140</v>
      </c>
      <c r="M855" s="258" t="s">
        <v>128</v>
      </c>
    </row>
    <row r="856" spans="1:13" x14ac:dyDescent="0.2">
      <c r="A856" s="258" t="s">
        <v>138</v>
      </c>
      <c r="B856" s="258" t="s">
        <v>139</v>
      </c>
      <c r="C856" s="258" t="s">
        <v>17</v>
      </c>
      <c r="D856" s="258" t="s">
        <v>13</v>
      </c>
      <c r="E856" s="259">
        <v>42472</v>
      </c>
      <c r="F856" s="260">
        <v>5.91</v>
      </c>
      <c r="G856" s="261" t="s">
        <v>14</v>
      </c>
      <c r="H856" s="258" t="s">
        <v>16</v>
      </c>
      <c r="I856" s="261">
        <v>801</v>
      </c>
      <c r="J856" s="261" t="s">
        <v>129</v>
      </c>
      <c r="K856" s="261" t="s">
        <v>123</v>
      </c>
      <c r="L856" s="258" t="s">
        <v>140</v>
      </c>
      <c r="M856" s="258" t="s">
        <v>133</v>
      </c>
    </row>
    <row r="857" spans="1:13" x14ac:dyDescent="0.2">
      <c r="A857" s="258" t="s">
        <v>138</v>
      </c>
      <c r="B857" s="258" t="s">
        <v>139</v>
      </c>
      <c r="C857" s="258" t="s">
        <v>17</v>
      </c>
      <c r="D857" s="258" t="s">
        <v>13</v>
      </c>
      <c r="E857" s="259">
        <v>42472</v>
      </c>
      <c r="F857" s="262">
        <v>680.68661399999996</v>
      </c>
      <c r="G857" s="261" t="s">
        <v>15</v>
      </c>
      <c r="H857" s="258" t="s">
        <v>16</v>
      </c>
      <c r="I857" s="261">
        <v>801</v>
      </c>
      <c r="J857" s="261" t="s">
        <v>129</v>
      </c>
      <c r="K857" s="261" t="s">
        <v>123</v>
      </c>
      <c r="L857" s="258" t="s">
        <v>140</v>
      </c>
      <c r="M857" s="258" t="s">
        <v>133</v>
      </c>
    </row>
    <row r="858" spans="1:13" x14ac:dyDescent="0.2">
      <c r="A858" s="258" t="s">
        <v>138</v>
      </c>
      <c r="B858" s="258" t="s">
        <v>139</v>
      </c>
      <c r="C858" s="258" t="s">
        <v>17</v>
      </c>
      <c r="D858" s="258" t="s">
        <v>13</v>
      </c>
      <c r="E858" s="259">
        <v>42466</v>
      </c>
      <c r="F858" s="260">
        <v>9.3138169000000008</v>
      </c>
      <c r="G858" s="261" t="s">
        <v>14</v>
      </c>
      <c r="H858" s="258" t="s">
        <v>128</v>
      </c>
      <c r="I858" s="261">
        <v>801</v>
      </c>
      <c r="J858" s="261" t="s">
        <v>129</v>
      </c>
      <c r="K858" s="261" t="s">
        <v>123</v>
      </c>
      <c r="L858" s="258" t="s">
        <v>140</v>
      </c>
      <c r="M858" s="258" t="s">
        <v>128</v>
      </c>
    </row>
    <row r="859" spans="1:13" x14ac:dyDescent="0.2">
      <c r="A859" s="258" t="s">
        <v>138</v>
      </c>
      <c r="B859" s="258" t="s">
        <v>139</v>
      </c>
      <c r="C859" s="258" t="s">
        <v>17</v>
      </c>
      <c r="D859" s="258" t="s">
        <v>13</v>
      </c>
      <c r="E859" s="259">
        <v>42466</v>
      </c>
      <c r="F859" s="262">
        <v>1552.7678880000001</v>
      </c>
      <c r="G859" s="261" t="s">
        <v>15</v>
      </c>
      <c r="H859" s="258" t="s">
        <v>128</v>
      </c>
      <c r="I859" s="261">
        <v>801</v>
      </c>
      <c r="J859" s="261" t="s">
        <v>129</v>
      </c>
      <c r="K859" s="261" t="s">
        <v>123</v>
      </c>
      <c r="L859" s="258" t="s">
        <v>140</v>
      </c>
      <c r="M859" s="258" t="s">
        <v>128</v>
      </c>
    </row>
    <row r="860" spans="1:13" x14ac:dyDescent="0.2">
      <c r="A860" s="258" t="s">
        <v>138</v>
      </c>
      <c r="B860" s="258" t="s">
        <v>139</v>
      </c>
      <c r="C860" s="258" t="s">
        <v>17</v>
      </c>
      <c r="D860" s="258" t="s">
        <v>13</v>
      </c>
      <c r="E860" s="259">
        <v>42466</v>
      </c>
      <c r="F860" s="260">
        <v>5.76</v>
      </c>
      <c r="G860" s="261" t="s">
        <v>14</v>
      </c>
      <c r="H860" s="258" t="s">
        <v>16</v>
      </c>
      <c r="I860" s="261">
        <v>801</v>
      </c>
      <c r="J860" s="261" t="s">
        <v>129</v>
      </c>
      <c r="K860" s="261" t="s">
        <v>123</v>
      </c>
      <c r="L860" s="258" t="s">
        <v>140</v>
      </c>
      <c r="M860" s="258" t="s">
        <v>133</v>
      </c>
    </row>
    <row r="861" spans="1:13" x14ac:dyDescent="0.2">
      <c r="A861" s="258" t="s">
        <v>138</v>
      </c>
      <c r="B861" s="258" t="s">
        <v>139</v>
      </c>
      <c r="C861" s="258" t="s">
        <v>17</v>
      </c>
      <c r="D861" s="258" t="s">
        <v>13</v>
      </c>
      <c r="E861" s="259">
        <v>42466</v>
      </c>
      <c r="F861" s="262">
        <v>812.80972799999995</v>
      </c>
      <c r="G861" s="261" t="s">
        <v>15</v>
      </c>
      <c r="H861" s="258" t="s">
        <v>16</v>
      </c>
      <c r="I861" s="261">
        <v>801</v>
      </c>
      <c r="J861" s="261" t="s">
        <v>129</v>
      </c>
      <c r="K861" s="261" t="s">
        <v>123</v>
      </c>
      <c r="L861" s="258" t="s">
        <v>140</v>
      </c>
      <c r="M861" s="258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J27" sqref="J27"/>
    </sheetView>
  </sheetViews>
  <sheetFormatPr defaultRowHeight="11.25" x14ac:dyDescent="0.2"/>
  <cols>
    <col min="1" max="1" width="11.85546875" style="8" customWidth="1"/>
    <col min="2" max="2" width="17" style="6" customWidth="1"/>
    <col min="3" max="4" width="6" style="7" customWidth="1"/>
    <col min="5" max="5" width="6" style="8" customWidth="1"/>
    <col min="6" max="6" width="7.28515625" style="8" customWidth="1"/>
    <col min="7" max="8" width="9" style="8" customWidth="1"/>
    <col min="9" max="11" width="6" style="8" customWidth="1"/>
    <col min="12" max="12" width="7.28515625" style="8" customWidth="1"/>
    <col min="13" max="13" width="9" style="8" customWidth="1"/>
    <col min="14" max="14" width="10.7109375" style="8" customWidth="1"/>
    <col min="15" max="16" width="7" style="8" customWidth="1"/>
    <col min="17" max="17" width="15" style="8" customWidth="1"/>
    <col min="18" max="18" width="3.28515625" style="8" customWidth="1"/>
    <col min="19" max="19" width="8.28515625" style="8" bestFit="1" customWidth="1"/>
    <col min="20" max="20" width="8.42578125" style="8" bestFit="1" customWidth="1"/>
    <col min="21" max="21" width="6" style="8" bestFit="1" customWidth="1"/>
    <col min="22" max="22" width="4" style="8" bestFit="1" customWidth="1"/>
    <col min="23" max="23" width="6" style="8" bestFit="1" customWidth="1"/>
    <col min="24" max="24" width="4.42578125" style="8" bestFit="1" customWidth="1"/>
    <col min="25" max="25" width="9" style="8" bestFit="1" customWidth="1"/>
    <col min="26" max="26" width="8.7109375" style="8" bestFit="1" customWidth="1"/>
    <col min="27" max="27" width="8.42578125" style="8" bestFit="1" customWidth="1"/>
    <col min="28" max="29" width="6.85546875" style="8" bestFit="1" customWidth="1"/>
    <col min="30" max="30" width="8.85546875" style="8" bestFit="1" customWidth="1"/>
    <col min="31" max="31" width="8.5703125" style="8" bestFit="1" customWidth="1"/>
    <col min="32" max="16384" width="9.140625" style="8"/>
  </cols>
  <sheetData>
    <row r="1" spans="1:17" ht="12.75" x14ac:dyDescent="0.2">
      <c r="A1" s="234" t="s">
        <v>143</v>
      </c>
      <c r="B1" s="235"/>
      <c r="C1" s="236" t="s">
        <v>18</v>
      </c>
      <c r="D1" s="236"/>
      <c r="E1" s="237">
        <v>42461</v>
      </c>
      <c r="F1" s="238"/>
      <c r="G1" s="6"/>
      <c r="L1" s="8" t="s">
        <v>144</v>
      </c>
    </row>
    <row r="2" spans="1:17" x14ac:dyDescent="0.2">
      <c r="A2" s="34" t="s">
        <v>19</v>
      </c>
      <c r="B2" s="9">
        <f>MIN(WaterlooNDD!E:E)</f>
        <v>42466</v>
      </c>
      <c r="C2" s="239" t="s">
        <v>38</v>
      </c>
      <c r="D2" s="239"/>
      <c r="E2" s="240">
        <f>(B3-B2)/30</f>
        <v>24.933333333333334</v>
      </c>
      <c r="F2" s="241"/>
    </row>
    <row r="3" spans="1:17" x14ac:dyDescent="0.2">
      <c r="A3" s="35" t="s">
        <v>20</v>
      </c>
      <c r="B3" s="36">
        <f>MAX(WaterlooNDD!E:E)</f>
        <v>43214</v>
      </c>
      <c r="C3" s="217"/>
      <c r="D3" s="217"/>
      <c r="E3" s="217"/>
      <c r="F3" s="218"/>
    </row>
    <row r="4" spans="1:17" ht="12" thickBot="1" x14ac:dyDescent="0.25"/>
    <row r="5" spans="1:17" ht="11.25" customHeight="1" x14ac:dyDescent="0.2">
      <c r="A5" s="242" t="s">
        <v>21</v>
      </c>
      <c r="B5" s="219" t="s">
        <v>21</v>
      </c>
      <c r="C5" s="222" t="s">
        <v>22</v>
      </c>
      <c r="D5" s="223"/>
      <c r="E5" s="223"/>
      <c r="F5" s="223"/>
      <c r="G5" s="223"/>
      <c r="H5" s="223"/>
      <c r="I5" s="224" t="s">
        <v>39</v>
      </c>
      <c r="J5" s="224"/>
      <c r="K5" s="224"/>
      <c r="L5" s="224"/>
      <c r="M5" s="224"/>
      <c r="N5" s="224"/>
      <c r="O5" s="225" t="s">
        <v>23</v>
      </c>
      <c r="P5" s="226"/>
      <c r="Q5" s="245" t="s">
        <v>24</v>
      </c>
    </row>
    <row r="6" spans="1:17" ht="11.25" customHeight="1" x14ac:dyDescent="0.2">
      <c r="A6" s="243"/>
      <c r="B6" s="220"/>
      <c r="C6" s="229" t="s">
        <v>25</v>
      </c>
      <c r="D6" s="230"/>
      <c r="E6" s="229" t="s">
        <v>26</v>
      </c>
      <c r="F6" s="231"/>
      <c r="G6" s="231"/>
      <c r="H6" s="230"/>
      <c r="I6" s="229" t="s">
        <v>25</v>
      </c>
      <c r="J6" s="230"/>
      <c r="K6" s="229" t="s">
        <v>26</v>
      </c>
      <c r="L6" s="231"/>
      <c r="M6" s="231"/>
      <c r="N6" s="231"/>
      <c r="O6" s="227"/>
      <c r="P6" s="228"/>
      <c r="Q6" s="246"/>
    </row>
    <row r="7" spans="1:17" ht="11.25" customHeight="1" x14ac:dyDescent="0.2">
      <c r="A7" s="243"/>
      <c r="B7" s="221"/>
      <c r="C7" s="10" t="s">
        <v>27</v>
      </c>
      <c r="D7" s="11" t="s">
        <v>28</v>
      </c>
      <c r="E7" s="10" t="s">
        <v>27</v>
      </c>
      <c r="F7" s="12" t="s">
        <v>29</v>
      </c>
      <c r="G7" s="13" t="s">
        <v>30</v>
      </c>
      <c r="H7" s="14" t="s">
        <v>40</v>
      </c>
      <c r="I7" s="10" t="s">
        <v>27</v>
      </c>
      <c r="J7" s="11" t="s">
        <v>28</v>
      </c>
      <c r="K7" s="10" t="s">
        <v>27</v>
      </c>
      <c r="L7" s="12" t="s">
        <v>29</v>
      </c>
      <c r="M7" s="15" t="s">
        <v>31</v>
      </c>
      <c r="N7" s="14" t="s">
        <v>41</v>
      </c>
      <c r="O7" s="16" t="s">
        <v>32</v>
      </c>
      <c r="P7" s="212" t="s">
        <v>33</v>
      </c>
      <c r="Q7" s="37" t="s">
        <v>42</v>
      </c>
    </row>
    <row r="8" spans="1:17" s="25" customFormat="1" x14ac:dyDescent="0.2">
      <c r="A8" s="243"/>
      <c r="B8" s="78" t="s">
        <v>34</v>
      </c>
      <c r="C8" s="38">
        <f>COUNTIFS(WaterlooNDD!C:C,"NITROGEN, TOTAL (AS N)",WaterlooNDD!G:G,"MG/L",WaterlooNDD!H:H,"RAW WASTE")</f>
        <v>107</v>
      </c>
      <c r="D8" s="39">
        <f>AVERAGEIFS(WaterlooNDD!F:F,(WaterlooNDD!C:C),("NITROGEN, TOTAL (AS N)"),(WaterlooNDD!H:H),("RAW WASTE"),(WaterlooNDD!G:G),("MG/L"))</f>
        <v>77.809383332710269</v>
      </c>
      <c r="E8" s="40">
        <f>COUNTIFS(WaterlooNDD!C:C,"NITROGEN, TOTAL (AS N)",WaterlooNDD!G:G,"LBS/DAY",WaterlooNDD!H:H,"RAW WASTE")</f>
        <v>107</v>
      </c>
      <c r="F8" s="42">
        <f>AVERAGEIFS(WaterlooNDD!F:F,(WaterlooNDD!C:C),("NITROGEN, TOTAL (AS N)"),(WaterlooNDD!H:H),("RAW WASTE"),(WaterlooNDD!G:G),("LBS/DAY"))</f>
        <v>9259.4293846317742</v>
      </c>
      <c r="G8" s="42">
        <f>(SUMIFS(WaterlooNDD!F:F,(WaterlooNDD!C:C),("NITROGEN, TOTAL (AS N)"),(WaterlooNDD!H:H),("RAW WASTE"),(WaterlooNDD!G:G),("LBS/DAY")))</f>
        <v>990758.94415559981</v>
      </c>
      <c r="H8" s="43">
        <f>F8*365</f>
        <v>3379691.7253905977</v>
      </c>
      <c r="I8" s="40">
        <f>COUNTIFS(WaterlooNDD!C:C,"NITROGEN, TOTAL (AS N)",WaterlooNDD!G:G,"MG/L",WaterlooNDD!H:H,"FINAL EFFLUENT")</f>
        <v>107</v>
      </c>
      <c r="J8" s="39">
        <f>(AVERAGEIFS(WaterlooNDD!F:F,(WaterlooNDD!C:C),("NITROGEN, TOTAL (AS N)"),(WaterlooNDD!H:H),("FINAL EFFLUENT"),(WaterlooNDD!G:G),("MG/L")))</f>
        <v>38.776074766355137</v>
      </c>
      <c r="K8" s="40">
        <f>COUNTIFS(WaterlooNDD!C:C,"NITROGEN, TOTAL (AS N)",WaterlooNDD!G:G,"LBS/DAY",WaterlooNDD!H:H,"FINAL EFFLUENT")</f>
        <v>107</v>
      </c>
      <c r="L8" s="42">
        <f>AVERAGEIFS(WaterlooNDD!F:F,(WaterlooNDD!C:C),("NITROGEN, TOTAL (AS N)"),(WaterlooNDD!H:H),("FINAL EFFLUENT"),(WaterlooNDD!G:G),("LBS/DAY"))</f>
        <v>4394.8290730654217</v>
      </c>
      <c r="M8" s="42">
        <f>SUMIFS(WaterlooNDD!F:F,(WaterlooNDD!C:C),("NITROGEN, TOTAL (AS N)"),(WaterlooNDD!H:H),("FINAL EFFLUENT"),(WaterlooNDD!G:G),("LBS/DAY"))</f>
        <v>470246.71081800008</v>
      </c>
      <c r="N8" s="43">
        <f>L8*365</f>
        <v>1604112.6116688789</v>
      </c>
      <c r="O8" s="44">
        <f>((D8-J8))/D8</f>
        <v>0.50165297415929944</v>
      </c>
      <c r="P8" s="45">
        <f>((F8-L8))/F8</f>
        <v>0.52536718079413336</v>
      </c>
      <c r="Q8" s="46">
        <f>(F8-L8)*365</f>
        <v>1775579.1137217188</v>
      </c>
    </row>
    <row r="9" spans="1:17" s="25" customFormat="1" ht="5.25" customHeight="1" x14ac:dyDescent="0.2">
      <c r="A9" s="243"/>
      <c r="B9" s="78"/>
      <c r="C9" s="17"/>
      <c r="D9" s="18"/>
      <c r="E9" s="19"/>
      <c r="F9" s="21"/>
      <c r="G9" s="21"/>
      <c r="H9" s="22"/>
      <c r="I9" s="19"/>
      <c r="J9" s="18"/>
      <c r="K9" s="19"/>
      <c r="L9" s="21"/>
      <c r="M9" s="20"/>
      <c r="N9" s="22"/>
      <c r="O9" s="23"/>
      <c r="P9" s="24"/>
      <c r="Q9" s="47"/>
    </row>
    <row r="10" spans="1:17" s="48" customFormat="1" x14ac:dyDescent="0.2">
      <c r="A10" s="243"/>
      <c r="B10" s="79" t="s">
        <v>46</v>
      </c>
      <c r="C10" s="80">
        <f>COUNTIFS(WaterlooNDD!$E:$E,"&gt;=5/1/2014",WaterlooNDD!$E:$E,"&lt;=4/30/2015",WaterlooNDD!$C:$C,"NITROGEN, TOTAL (AS N)",WaterlooNDD!$G:$G,"MG/L",WaterlooNDD!$H:$H,"RAW WASTE")</f>
        <v>0</v>
      </c>
      <c r="D10" s="81" t="e">
        <f>AVERAGEIFS(WaterlooNDD!$F:$F,WaterlooNDD!$E:$E,"&gt;=5/1/2014",WaterlooNDD!$E:$E,"&lt;=4/30/2015",(WaterlooNDD!$C:$C),("NITROGEN, TOTAL (AS N)"),(WaterlooNDD!$H:$H),("RAW WASTE"),(WaterlooNDD!$G:$G),("MG/L"))</f>
        <v>#DIV/0!</v>
      </c>
      <c r="E10" s="82">
        <f>COUNTIFS(WaterlooNDD!$E:$E,"&gt;=5/1/2014",WaterlooNDD!$E:$E,"&lt;=4/30/2015",WaterlooNDD!$C:$C,"NITROGEN, TOTAL (AS N)",WaterlooNDD!$G:$G,"LBS/DAY",WaterlooNDD!$H:$H,"RAW WASTE")</f>
        <v>0</v>
      </c>
      <c r="F10" s="84" t="e">
        <f>AVERAGEIFS(WaterlooNDD!$F:$F,WaterlooNDD!$E:$E,"&gt;=5/1/2014",WaterlooNDD!$E:$E,"&lt;=4/30/2015",(WaterlooNDD!$C:$C),("NITROGEN, TOTAL (AS N)"),(WaterlooNDD!$H:$H),("RAW WASTE"),(WaterlooNDD!$G:$G),("LBS/DAY"))</f>
        <v>#DIV/0!</v>
      </c>
      <c r="G10" s="84">
        <f>SUMIFS(WaterlooNDD!$F:$F,WaterlooNDD!$E:$E,"&gt;=5/1/2014",WaterlooNDD!$E:$E,"&lt;=4/30/2015",(WaterlooNDD!$C:$C),("NITROGEN, TOTAL (AS N)"),(WaterlooNDD!$H:$H),("RAW WASTE"),(WaterlooNDD!$G:$G),("LBS/DAY"))</f>
        <v>0</v>
      </c>
      <c r="H10" s="85" t="e">
        <f>F10*365</f>
        <v>#DIV/0!</v>
      </c>
      <c r="I10" s="82">
        <f>COUNTIFS(WaterlooNDD!$E:$E,"&gt;=5/1/2014",WaterlooNDD!$E:$E,"&lt;=4/30/2015",WaterlooNDD!$C:$C,"NITROGEN, TOTAL (AS N)",WaterlooNDD!$G:$G,"MG/L",WaterlooNDD!$H:$H,"FINAL EFFLUENT")</f>
        <v>0</v>
      </c>
      <c r="J10" s="81" t="e">
        <f>AVERAGEIFS(WaterlooNDD!$F:$F,WaterlooNDD!$E:$E,"&gt;=5/1/2014",WaterlooNDD!$E:$E,"&lt;=4/30/2015",(WaterlooNDD!$C:$C),("NITROGEN, TOTAL (AS N)"),(WaterlooNDD!$H:$H),("FINAL EFFLUENT"),(WaterlooNDD!$G:$G),("MG/L"))</f>
        <v>#DIV/0!</v>
      </c>
      <c r="K10" s="82">
        <f>COUNTIFS(WaterlooNDD!$E:$E,"&gt;=5/1/2014",WaterlooNDD!$E:$E,"&lt;=4/30/2015",WaterlooNDD!$C:$C,"NITROGEN, TOTAL (AS N)",WaterlooNDD!$G:$G,"LBS/DAY",WaterlooNDD!$H:$H,"FINAL EFFLUENT")</f>
        <v>0</v>
      </c>
      <c r="L10" s="84" t="e">
        <f>AVERAGEIFS((WaterlooNDD!$F:$F),WaterlooNDD!$E:$E,"&gt;=5/1/2014",WaterlooNDD!$E:$E,"&lt;=4/30/2015",(WaterlooNDD!$C:$C),("NITROGEN, TOTAL (AS N)"),(WaterlooNDD!$H:$H),("FINAL EFFLUENT"),(WaterlooNDD!$G:$G),("LBS/DAY"))</f>
        <v>#DIV/0!</v>
      </c>
      <c r="M10" s="84">
        <f>SUMIFS(WaterlooNDD!$F:$F,WaterlooNDD!$E:$E,"&gt;=5/1/2014",WaterlooNDD!$E:$E,"&lt;=4/30/2015",(WaterlooNDD!$C:$C),("NITROGEN, TOTAL (AS N)"),(WaterlooNDD!$H:$H),("FINAL EFFLUENT"),(WaterlooNDD!$G:$G),("LBS/DAY"))</f>
        <v>0</v>
      </c>
      <c r="N10" s="85" t="e">
        <f>L10*365</f>
        <v>#DIV/0!</v>
      </c>
      <c r="O10" s="86" t="e">
        <f>((D10-J10))/D10</f>
        <v>#DIV/0!</v>
      </c>
      <c r="P10" s="87" t="e">
        <f>((F10-L10))/F10</f>
        <v>#DIV/0!</v>
      </c>
      <c r="Q10" s="88" t="s">
        <v>118</v>
      </c>
    </row>
    <row r="11" spans="1:17" s="25" customFormat="1" ht="5.25" customHeight="1" x14ac:dyDescent="0.2">
      <c r="A11" s="243"/>
      <c r="B11" s="78"/>
      <c r="C11" s="17"/>
      <c r="D11" s="18"/>
      <c r="E11" s="19"/>
      <c r="F11" s="21"/>
      <c r="G11" s="21"/>
      <c r="H11" s="22"/>
      <c r="I11" s="19"/>
      <c r="J11" s="18"/>
      <c r="K11" s="19"/>
      <c r="L11" s="21"/>
      <c r="M11" s="20"/>
      <c r="N11" s="22"/>
      <c r="O11" s="23"/>
      <c r="P11" s="24"/>
      <c r="Q11" s="47"/>
    </row>
    <row r="12" spans="1:17" s="58" customFormat="1" x14ac:dyDescent="0.2">
      <c r="A12" s="243"/>
      <c r="B12" s="89" t="s">
        <v>43</v>
      </c>
      <c r="C12" s="49">
        <f>COUNTIFS(WaterlooNDD!$E:$E,"&gt;=1/1/2015",WaterlooNDD!$E:$E,"&lt;=12/31/2015",WaterlooNDD!$C:$C,"NITROGEN, TOTAL (AS N)",WaterlooNDD!$G:$G,"MG/L",WaterlooNDD!$H:$H,"RAW WASTE")</f>
        <v>0</v>
      </c>
      <c r="D12" s="50" t="e">
        <f>AVERAGEIFS(WaterlooNDD!$F:$F,WaterlooNDD!$E:$E,"&gt;=1/1/2015",WaterlooNDD!$E:$E,"&lt;=12/31/2015",(WaterlooNDD!$C:$C),("NITROGEN, TOTAL (AS N)"),(WaterlooNDD!$H:$H),("RAW WASTE"),(WaterlooNDD!$G:$G),("MG/L"))</f>
        <v>#DIV/0!</v>
      </c>
      <c r="E12" s="49">
        <f>COUNTIFS(WaterlooNDD!$E:$E,"&gt;=1/1/2015",WaterlooNDD!$E:$E,"&lt;=12/31/2015",WaterlooNDD!$C:$C,"NITROGEN, TOTAL (AS N)",WaterlooNDD!$G:$G,"LBS/DAY",WaterlooNDD!$H:$H,"RAW WASTE")</f>
        <v>0</v>
      </c>
      <c r="F12" s="51" t="e">
        <f>AVERAGEIFS(WaterlooNDD!$F:$F,WaterlooNDD!$E:$E,"&gt;=1/1/2015",WaterlooNDD!$E:$E,"&lt;=12/31/2015",(WaterlooNDD!$C:$C),("NITROGEN, TOTAL (AS N)"),(WaterlooNDD!$H:$H),("RAW WASTE"),(WaterlooNDD!$G:$G),("LBS/DAY"))</f>
        <v>#DIV/0!</v>
      </c>
      <c r="G12" s="51">
        <f>SUMIFS(WaterlooNDD!$F:$F,WaterlooNDD!$E:$E,"&gt;=1/1/2015",WaterlooNDD!$E:$E,"&lt;=12/31/2015",(WaterlooNDD!$C:$C),("NITROGEN, TOTAL (AS N)"),(WaterlooNDD!$H:$H),("RAW WASTE"),(WaterlooNDD!$G:$G),("LBS/DAY"))</f>
        <v>0</v>
      </c>
      <c r="H12" s="52" t="e">
        <f>F12*365</f>
        <v>#DIV/0!</v>
      </c>
      <c r="I12" s="49">
        <f>COUNTIFS(WaterlooNDD!$E:$E,"&gt;=1/1/2015",WaterlooNDD!$E:$E,"&lt;=12/31/2015",WaterlooNDD!$C:$C,"NITROGEN, TOTAL (AS N)",WaterlooNDD!$G:$G,"MG/L",WaterlooNDD!$H:$H,"FINAL EFFLUENT")</f>
        <v>0</v>
      </c>
      <c r="J12" s="53" t="e">
        <f>AVERAGEIFS(WaterlooNDD!$F:$F,WaterlooNDD!$E:$E,"&gt;=1/1/2015",WaterlooNDD!$E:$E,"&lt;=12/31/2015",(WaterlooNDD!$C:$C),("NITROGEN, TOTAL (AS N)"),(WaterlooNDD!$H:$H),("FINAL EFFLUENT"),(WaterlooNDD!$G:$G),("MG/L"))</f>
        <v>#DIV/0!</v>
      </c>
      <c r="K12" s="49">
        <f>COUNTIFS(WaterlooNDD!$E:$E,"&gt;=1/1/2015",WaterlooNDD!$E:$E,"&lt;=12/31/2015",WaterlooNDD!$C:$C,"NITROGEN, TOTAL (AS N)",WaterlooNDD!$G:$G,"LBS/DAY",WaterlooNDD!$H:$H,"FINAL EFFLUENT")</f>
        <v>0</v>
      </c>
      <c r="L12" s="265" t="e">
        <f>AVERAGEIFS((WaterlooNDD!$F:$F),WaterlooNDD!$E:$E,"&gt;=1/1/2015",WaterlooNDD!$E:$E,"&lt;=12/31/2015",(WaterlooNDD!$C:$C),("NITROGEN, TOTAL (AS N)"),(WaterlooNDD!$H:$H),("FINAL EFFLUENT"),(WaterlooNDD!$G:$G),("LBS/DAY"))</f>
        <v>#DIV/0!</v>
      </c>
      <c r="M12" s="51">
        <f>SUMIFS(WaterlooNDD!$F:$F,WaterlooNDD!$E:$E,"&gt;=1/1/2015",WaterlooNDD!$E:$E,"&lt;=12/31/2015",(WaterlooNDD!$C:$C),("NITROGEN, TOTAL (AS N)"),(WaterlooNDD!$H:$H),("FINAL EFFLUENT"),(WaterlooNDD!$G:$G),("LBS/DAY"))</f>
        <v>0</v>
      </c>
      <c r="N12" s="54" t="e">
        <f>L12*365</f>
        <v>#DIV/0!</v>
      </c>
      <c r="O12" s="55" t="e">
        <f>((D12-J12))/D12</f>
        <v>#DIV/0!</v>
      </c>
      <c r="P12" s="56" t="e">
        <f>((F12-L12))/F12</f>
        <v>#DIV/0!</v>
      </c>
      <c r="Q12" s="57" t="s">
        <v>118</v>
      </c>
    </row>
    <row r="13" spans="1:17" s="48" customFormat="1" x14ac:dyDescent="0.2">
      <c r="A13" s="243"/>
      <c r="B13" s="92" t="s">
        <v>47</v>
      </c>
      <c r="C13" s="59">
        <f>COUNTIFS(WaterlooNDD!$E:$E,"&gt;=5/1/2015",WaterlooNDD!$E:$E,"&lt;=4/30/2016",WaterlooNDD!$C:$C,"NITROGEN, TOTAL (AS N)",WaterlooNDD!$G:$G,"MG/L",WaterlooNDD!$H:$H,"RAW WASTE")</f>
        <v>4</v>
      </c>
      <c r="D13" s="60">
        <f>AVERAGEIFS(WaterlooNDD!$F:$F,WaterlooNDD!$E:$E,"&gt;=5/1/2015",WaterlooNDD!$E:$E,"&lt;=4/30/2016",(WaterlooNDD!$C:$C),("NITROGEN, TOTAL (AS N)"),(WaterlooNDD!$H:$H),("RAW WASTE"),(WaterlooNDD!$G:$G),("MG/L"))</f>
        <v>66.756022649999991</v>
      </c>
      <c r="E13" s="59">
        <f>COUNTIFS(WaterlooNDD!$E:$E,"&gt;=5/1/2015",WaterlooNDD!$E:$E,"&lt;=4/30/2016",WaterlooNDD!$C:$C,"NITROGEN, TOTAL (AS N)",WaterlooNDD!$G:$G,"LBS/DAY",WaterlooNDD!$H:$H,"RAW WASTE")</f>
        <v>4</v>
      </c>
      <c r="F13" s="61">
        <f>AVERAGEIFS(WaterlooNDD!$F:$F,WaterlooNDD!$E:$E,"&gt;=5/1/2015",WaterlooNDD!$E:$E,"&lt;=4/30/2016",(WaterlooNDD!$C:$C),("NITROGEN, TOTAL (AS N)"),(WaterlooNDD!$H:$H),("RAW WASTE"),(WaterlooNDD!$G:$G),("LBS/DAY"))</f>
        <v>9209.0125710000011</v>
      </c>
      <c r="G13" s="61">
        <f>SUMIFS(WaterlooNDD!$F:$F,WaterlooNDD!$E:$E,"&gt;=5/1/2015",WaterlooNDD!$E:$E,"&lt;=4/30/2016",(WaterlooNDD!$C:$C),("NITROGEN, TOTAL (AS N)"),(WaterlooNDD!$H:$H),("RAW WASTE"),(WaterlooNDD!$G:$G),("LBS/DAY"))</f>
        <v>36836.050284000004</v>
      </c>
      <c r="H13" s="62">
        <f>F13*365</f>
        <v>3361289.5884150006</v>
      </c>
      <c r="I13" s="59">
        <f>COUNTIFS(WaterlooNDD!$E:$E,"&gt;=5/1/2015",WaterlooNDD!$E:$E,"&lt;=4/30/2016",WaterlooNDD!$C:$C,"NITROGEN, TOTAL (AS N)",WaterlooNDD!$G:$G,"MG/L",WaterlooNDD!$H:$H,"FINAL EFFLUENT")</f>
        <v>4</v>
      </c>
      <c r="J13" s="60">
        <f>AVERAGEIFS(WaterlooNDD!$F:$F,WaterlooNDD!$E:$E,"&gt;=5/1/2015",WaterlooNDD!$E:$E,"&lt;=4/30/2016",(WaterlooNDD!$C:$C),("NITROGEN, TOTAL (AS N)"),(WaterlooNDD!$H:$H),("FINAL EFFLUENT"),(WaterlooNDD!$G:$G),("MG/L"))</f>
        <v>30.774999999999999</v>
      </c>
      <c r="K13" s="59">
        <f>COUNTIFS(WaterlooNDD!$E:$E,"&gt;=5/1/2015",WaterlooNDD!$E:$E,"&lt;=4/30/2016",WaterlooNDD!$C:$C,"NITROGEN, TOTAL (AS N)",WaterlooNDD!$G:$G,"LBS/DAY",WaterlooNDD!$H:$H,"FINAL EFFLUENT")</f>
        <v>4</v>
      </c>
      <c r="L13" s="61">
        <f>AVERAGEIFS((WaterlooNDD!$F:$F),WaterlooNDD!$E:$E,"&gt;=5/1/2015",WaterlooNDD!$E:$E,"&lt;=4/30/2016",(WaterlooNDD!$C:$C),("NITROGEN, TOTAL (AS N)"),(WaterlooNDD!$H:$H),("FINAL EFFLUENT"),(WaterlooNDD!$G:$G),("LBS/DAY"))</f>
        <v>3435.2042999999999</v>
      </c>
      <c r="M13" s="61">
        <f>SUMIFS(WaterlooNDD!$F:$F,WaterlooNDD!$E:$E,"&gt;=5/1/2015",WaterlooNDD!$E:$E,"&lt;=4/30/2016",(WaterlooNDD!$C:$C),("NITROGEN, TOTAL (AS N)"),(WaterlooNDD!$H:$H),("FINAL EFFLUENT"),(WaterlooNDD!$G:$G),("LBS/DAY"))</f>
        <v>13740.8172</v>
      </c>
      <c r="N13" s="62">
        <f>L13*365</f>
        <v>1253849.5695</v>
      </c>
      <c r="O13" s="63">
        <f>((D13-J13))/D13</f>
        <v>0.53899290613294193</v>
      </c>
      <c r="P13" s="64">
        <f>((F13-L13))/F13</f>
        <v>0.62697365504551894</v>
      </c>
      <c r="Q13" s="65">
        <f>(F13-L13)*365</f>
        <v>2107440.0189150008</v>
      </c>
    </row>
    <row r="14" spans="1:17" s="75" customFormat="1" ht="5.25" customHeight="1" x14ac:dyDescent="0.2">
      <c r="A14" s="243"/>
      <c r="B14" s="94"/>
      <c r="C14" s="66"/>
      <c r="D14" s="67"/>
      <c r="E14" s="66"/>
      <c r="F14" s="68"/>
      <c r="G14" s="68"/>
      <c r="H14" s="69"/>
      <c r="I14" s="66"/>
      <c r="J14" s="70"/>
      <c r="K14" s="66"/>
      <c r="L14" s="266"/>
      <c r="M14" s="68"/>
      <c r="N14" s="71"/>
      <c r="O14" s="72"/>
      <c r="P14" s="73"/>
      <c r="Q14" s="74"/>
    </row>
    <row r="15" spans="1:17" s="75" customFormat="1" x14ac:dyDescent="0.2">
      <c r="A15" s="243"/>
      <c r="B15" s="97" t="s">
        <v>44</v>
      </c>
      <c r="C15" s="26">
        <f>COUNTIFS(WaterlooNDD!$E:$E,"&gt;=1/1/2016",WaterlooNDD!$E:$E,"&lt;=12/31/2016",WaterlooNDD!$C:$C,"NITROGEN, TOTAL (AS N)",WaterlooNDD!$G:$G,"MG/L",WaterlooNDD!$H:$H,"RAW WASTE")</f>
        <v>39</v>
      </c>
      <c r="D15" s="27">
        <f>AVERAGEIFS(WaterlooNDD!$F:$F,WaterlooNDD!$E:$E,"&gt;=1/1/2016",WaterlooNDD!$E:$E,"&lt;=12/31/2016",(WaterlooNDD!$C:$C),("NITROGEN, TOTAL (AS N)"),(WaterlooNDD!$H:$H),("RAW WASTE"),(WaterlooNDD!$G:$G),("MG/L"))</f>
        <v>68.069314538461541</v>
      </c>
      <c r="E15" s="26">
        <f>COUNTIFS(WaterlooNDD!$E:$E,"&gt;=1/1/2016",WaterlooNDD!$E:$E,"&lt;=12/31/2016",WaterlooNDD!$C:$C,"NITROGEN, TOTAL (AS N)",WaterlooNDD!$G:$G,"LBS/DAY",WaterlooNDD!$H:$H,"RAW WASTE")</f>
        <v>39</v>
      </c>
      <c r="F15" s="28">
        <f>AVERAGEIFS(WaterlooNDD!$F:$F,WaterlooNDD!$E:$E,"&gt;=1/1/2016",WaterlooNDD!$E:$E,"&lt;=12/31/2016",(WaterlooNDD!$C:$C),("NITROGEN, TOTAL (AS N)"),(WaterlooNDD!$H:$H),("RAW WASTE"),(WaterlooNDD!$G:$G),("LBS/DAY"))</f>
        <v>9435.237955784618</v>
      </c>
      <c r="G15" s="28">
        <f>SUMIFS(WaterlooNDD!$F:$F,WaterlooNDD!$E:$E,"&gt;=1/1/2016",WaterlooNDD!$E:$E,"&lt;=12/31/2016",(WaterlooNDD!$C:$C),("NITROGEN, TOTAL (AS N)"),(WaterlooNDD!$H:$H),("RAW WASTE"),(WaterlooNDD!$G:$G),("LBS/DAY"))</f>
        <v>367974.28027560009</v>
      </c>
      <c r="H15" s="29">
        <f>F15*365</f>
        <v>3443861.8538613855</v>
      </c>
      <c r="I15" s="26">
        <f>COUNTIFS(WaterlooNDD!$E:$E,"&gt;=1/1/2016",WaterlooNDD!$E:$E,"&lt;=12/31/2016",WaterlooNDD!$C:$C,"NITROGEN, TOTAL (AS N)",WaterlooNDD!$G:$G,"MG/L",WaterlooNDD!$H:$H,"FINAL EFFLUENT")</f>
        <v>39</v>
      </c>
      <c r="J15" s="30">
        <f>AVERAGEIFS(WaterlooNDD!$F:$F,WaterlooNDD!$E:$E,"&gt;=1/1/2016",WaterlooNDD!$E:$E,"&lt;=12/31/2016",(WaterlooNDD!$C:$C),("NITROGEN, TOTAL (AS N)"),(WaterlooNDD!$H:$H),("FINAL EFFLUENT"),(WaterlooNDD!$G:$G),("MG/L"))</f>
        <v>33.87282051282051</v>
      </c>
      <c r="K15" s="26">
        <f>COUNTIFS(WaterlooNDD!$E:$E,"&gt;=1/1/2016",WaterlooNDD!$E:$E,"&lt;=12/31/2016",WaterlooNDD!$C:$C,"NITROGEN, TOTAL (AS N)",WaterlooNDD!$G:$G,"LBS/DAY",WaterlooNDD!$H:$H,"FINAL EFFLUENT")</f>
        <v>39</v>
      </c>
      <c r="L15" s="267">
        <f>AVERAGEIFS((WaterlooNDD!$F:$F),WaterlooNDD!$E:$E,"&gt;=1/1/2016",WaterlooNDD!$E:$E,"&lt;=12/31/2016",(WaterlooNDD!$C:$C),("NITROGEN, TOTAL (AS N)"),(WaterlooNDD!$H:$H),("FINAL EFFLUENT"),(WaterlooNDD!$G:$G),("LBS/DAY"))</f>
        <v>4484.3959524615384</v>
      </c>
      <c r="M15" s="28">
        <f>SUMIFS(WaterlooNDD!$F:$F,WaterlooNDD!$E:$E,"&gt;=1/1/2016",WaterlooNDD!$E:$E,"&lt;=12/31/2016",(WaterlooNDD!$C:$C),("NITROGEN, TOTAL (AS N)"),(WaterlooNDD!$H:$H),("FINAL EFFLUENT"),(WaterlooNDD!$G:$G),("LBS/DAY"))</f>
        <v>174891.44214599999</v>
      </c>
      <c r="N15" s="31">
        <f>L15*365</f>
        <v>1636804.5226484616</v>
      </c>
      <c r="O15" s="32">
        <f>((D15-J15))/D15</f>
        <v>0.50237752881026609</v>
      </c>
      <c r="P15" s="33">
        <f>((F15-L15))/F15</f>
        <v>0.52471829820548244</v>
      </c>
      <c r="Q15" s="76">
        <f>(F15-L15)*365</f>
        <v>1807057.3312129241</v>
      </c>
    </row>
    <row r="16" spans="1:17" s="48" customFormat="1" x14ac:dyDescent="0.2">
      <c r="A16" s="243"/>
      <c r="B16" s="100" t="s">
        <v>48</v>
      </c>
      <c r="C16" s="101">
        <f>COUNTIFS(WaterlooNDD!$E:$E,"&gt;=5/1/2016",WaterlooNDD!$E:$E,"&lt;=4/30/2017",WaterlooNDD!$C:$C,"NITROGEN, TOTAL (AS N)",WaterlooNDD!$G:$G,"MG/L",WaterlooNDD!$H:$H,"RAW WASTE")</f>
        <v>51</v>
      </c>
      <c r="D16" s="102">
        <f>AVERAGEIFS(WaterlooNDD!$F:$F,WaterlooNDD!$E:$E,"&gt;=5/1/2016",WaterlooNDD!$E:$E,"&lt;=4/30/2017",(WaterlooNDD!$C:$C),("NITROGEN, TOTAL (AS N)"),(WaterlooNDD!$H:$H),("RAW WASTE"),(WaterlooNDD!$G:$G),("MG/L"))</f>
        <v>66.552532870588195</v>
      </c>
      <c r="E16" s="101">
        <f>COUNTIFS(WaterlooNDD!$E:$E,"&gt;=5/1/2016",WaterlooNDD!$E:$E,"&lt;=4/30/2017",WaterlooNDD!$C:$C,"NITROGEN, TOTAL (AS N)",WaterlooNDD!$G:$G,"LBS/DAY",WaterlooNDD!$H:$H,"RAW WASTE")</f>
        <v>51</v>
      </c>
      <c r="F16" s="104">
        <f>AVERAGEIFS(WaterlooNDD!$F:$F,WaterlooNDD!$E:$E,"&gt;=5/1/2016",WaterlooNDD!$E:$E,"&lt;=4/30/2017",(WaterlooNDD!$C:$C),("NITROGEN, TOTAL (AS N)"),(WaterlooNDD!$H:$H),("RAW WASTE"),(WaterlooNDD!$G:$G),("LBS/DAY"))</f>
        <v>9188.7540552470618</v>
      </c>
      <c r="G16" s="104">
        <f>SUMIFS(WaterlooNDD!$F:$F,WaterlooNDD!$E:$E,"&gt;=5/1/2016",WaterlooNDD!$E:$E,"&lt;=4/30/2017",(WaterlooNDD!$C:$C),("NITROGEN, TOTAL (AS N)"),(WaterlooNDD!$H:$H),("RAW WASTE"),(WaterlooNDD!$G:$G),("LBS/DAY"))</f>
        <v>468626.45681760012</v>
      </c>
      <c r="H16" s="105">
        <f>F16*365</f>
        <v>3353895.2301651775</v>
      </c>
      <c r="I16" s="101">
        <f>COUNTIFS(WaterlooNDD!$E:$E,"&gt;=5/1/2016",WaterlooNDD!$E:$E,"&lt;=4/30/2017",WaterlooNDD!$C:$C,"NITROGEN, TOTAL (AS N)",WaterlooNDD!$G:$G,"MG/L",WaterlooNDD!$H:$H,"FINAL EFFLUENT")</f>
        <v>51</v>
      </c>
      <c r="J16" s="102">
        <f>AVERAGEIFS(WaterlooNDD!$F:$F,WaterlooNDD!$E:$E,"&gt;=5/1/2016",WaterlooNDD!$E:$E,"&lt;=4/30/2017",(WaterlooNDD!$C:$C),("NITROGEN, TOTAL (AS N)"),(WaterlooNDD!$H:$H),("FINAL EFFLUENT"),(WaterlooNDD!$G:$G),("MG/L"))</f>
        <v>34.31254901960785</v>
      </c>
      <c r="K16" s="101">
        <f>COUNTIFS(WaterlooNDD!$E:$E,"&gt;=5/1/2016",WaterlooNDD!$E:$E,"&lt;=4/30/2017",WaterlooNDD!$C:$C,"NITROGEN, TOTAL (AS N)",WaterlooNDD!$G:$G,"LBS/DAY",WaterlooNDD!$H:$H,"FINAL EFFLUENT")</f>
        <v>51</v>
      </c>
      <c r="L16" s="104">
        <f>AVERAGEIFS((WaterlooNDD!$F:$F),WaterlooNDD!$E:$E,"&gt;=5/1/2016",WaterlooNDD!$E:$E,"&lt;=4/30/2017",(WaterlooNDD!$C:$C),("NITROGEN, TOTAL (AS N)"),(WaterlooNDD!$H:$H),("FINAL EFFLUENT"),(WaterlooNDD!$G:$G),("LBS/DAY"))</f>
        <v>4507.5927177647063</v>
      </c>
      <c r="M16" s="104">
        <f>SUMIFS(WaterlooNDD!$F:$F,WaterlooNDD!$E:$E,"&gt;=5/1/2016",WaterlooNDD!$E:$E,"&lt;=4/30/2017",(WaterlooNDD!$C:$C),("NITROGEN, TOTAL (AS N)"),(WaterlooNDD!$H:$H),("FINAL EFFLUENT"),(WaterlooNDD!$G:$G),("LBS/DAY"))</f>
        <v>229887.22860600002</v>
      </c>
      <c r="N16" s="105">
        <f>L16*365</f>
        <v>1645271.3419841179</v>
      </c>
      <c r="O16" s="106">
        <f>((D16-J16))/D16</f>
        <v>0.48442910375283821</v>
      </c>
      <c r="P16" s="107">
        <f>((F16-L16))/F16</f>
        <v>0.50944462212581132</v>
      </c>
      <c r="Q16" s="108">
        <f>(F16-L16)*365</f>
        <v>1708623.8881810599</v>
      </c>
    </row>
    <row r="17" spans="1:17" s="48" customFormat="1" ht="5.25" customHeight="1" x14ac:dyDescent="0.2">
      <c r="A17" s="243"/>
      <c r="B17" s="109"/>
      <c r="C17" s="110"/>
      <c r="D17" s="111"/>
      <c r="E17" s="110"/>
      <c r="F17" s="112"/>
      <c r="G17" s="112"/>
      <c r="H17" s="112"/>
      <c r="I17" s="110"/>
      <c r="J17" s="111"/>
      <c r="K17" s="110"/>
      <c r="L17" s="112"/>
      <c r="M17" s="112"/>
      <c r="N17" s="112"/>
      <c r="O17" s="113"/>
      <c r="P17" s="113"/>
      <c r="Q17" s="114"/>
    </row>
    <row r="18" spans="1:17" s="126" customFormat="1" x14ac:dyDescent="0.2">
      <c r="A18" s="243"/>
      <c r="B18" s="115" t="s">
        <v>49</v>
      </c>
      <c r="C18" s="116">
        <f>COUNTIFS(WaterlooNDD!$E:$E,"&gt;=1/1/2017",WaterlooNDD!$E:$E,"&lt;=12/31/2017",WaterlooNDD!$C:$C,"NITROGEN, TOTAL (AS N)",WaterlooNDD!$G:$G,"MG/L",WaterlooNDD!$H:$H,"RAW WASTE")</f>
        <v>51</v>
      </c>
      <c r="D18" s="117">
        <f>AVERAGEIFS(WaterlooNDD!$F:$F,WaterlooNDD!$E:$E,"&gt;=1/1/2017",WaterlooNDD!$E:$E,"&lt;=12/31/2017",(WaterlooNDD!$C:$C),("NITROGEN, TOTAL (AS N)"),(WaterlooNDD!$H:$H),("RAW WASTE"),(WaterlooNDD!$G:$G),("MG/L"))</f>
        <v>79.641486566666657</v>
      </c>
      <c r="E18" s="116">
        <f>COUNTIFS(WaterlooNDD!$E:$E,"&gt;=1/1/2017",WaterlooNDD!$E:$E,"&lt;=12/31/2017",WaterlooNDD!$C:$C,"NITROGEN, TOTAL (AS N)",WaterlooNDD!$G:$G,"LBS/DAY",WaterlooNDD!$H:$H,"RAW WASTE")</f>
        <v>51</v>
      </c>
      <c r="F18" s="119">
        <f>AVERAGEIFS(WaterlooNDD!$F:$F,WaterlooNDD!$E:$E,"&gt;=1/1/2017",WaterlooNDD!$E:$E,"&lt;=12/31/2017",(WaterlooNDD!$C:$C),("NITROGEN, TOTAL (AS N)"),(WaterlooNDD!$H:$H),("RAW WASTE"),(WaterlooNDD!$G:$G),("LBS/DAY"))</f>
        <v>8922.4769832823513</v>
      </c>
      <c r="G18" s="119">
        <f>SUMIFS(WaterlooNDD!$F:$F,WaterlooNDD!$E:$E,"&gt;=1/1/2017",WaterlooNDD!$E:$E,"&lt;=12/31/2017",(WaterlooNDD!$C:$C),("NITROGEN, TOTAL (AS N)"),(WaterlooNDD!$H:$H),("RAW WASTE"),(WaterlooNDD!$G:$G),("LBS/DAY"))</f>
        <v>455046.3261473999</v>
      </c>
      <c r="H18" s="120">
        <f>F18*365</f>
        <v>3256704.0988980583</v>
      </c>
      <c r="I18" s="116">
        <f>COUNTIFS(WaterlooNDD!$E:$E,"&gt;=1/1/2017",WaterlooNDD!$E:$E,"&lt;=12/31/2017",WaterlooNDD!$C:$C,"NITROGEN, TOTAL (AS N)",WaterlooNDD!$G:$G,"MG/L",WaterlooNDD!$H:$H,"FINAL EFFLUENT")</f>
        <v>51</v>
      </c>
      <c r="J18" s="121">
        <f>AVERAGEIFS(WaterlooNDD!$F:$F,WaterlooNDD!$E:$E,"&gt;=1/1/2017",WaterlooNDD!$E:$E,"&lt;=12/31/2017",(WaterlooNDD!$C:$C),("NITROGEN, TOTAL (AS N)"),(WaterlooNDD!$H:$H),("FINAL EFFLUENT"),(WaterlooNDD!$G:$G),("MG/L"))</f>
        <v>43.052941176470583</v>
      </c>
      <c r="K18" s="116">
        <f>COUNTIFS(WaterlooNDD!$E:$E,"&gt;=1/1/2017",WaterlooNDD!$E:$E,"&lt;=12/31/2017",WaterlooNDD!$C:$C,"NITROGEN, TOTAL (AS N)",WaterlooNDD!$G:$G,"LBS/DAY",WaterlooNDD!$H:$H,"FINAL EFFLUENT")</f>
        <v>51</v>
      </c>
      <c r="L18" s="268">
        <f>AVERAGEIFS((WaterlooNDD!$F:$F),WaterlooNDD!$E:$E,"&gt;=1/1/2017",WaterlooNDD!$E:$E,"&lt;=12/31/2017",(WaterlooNDD!$C:$C),("NITROGEN, TOTAL (AS N)"),(WaterlooNDD!$H:$H),("FINAL EFFLUENT"),(WaterlooNDD!$G:$G),("LBS/DAY"))</f>
        <v>4557.5143388235292</v>
      </c>
      <c r="M18" s="119">
        <f>SUMIFS(WaterlooNDD!$F:$F,WaterlooNDD!$E:$E,"&gt;=1/1/2017",WaterlooNDD!$E:$E,"&lt;=12/31/2017",(WaterlooNDD!$C:$C),("NITROGEN, TOTAL (AS N)"),(WaterlooNDD!$H:$H),("FINAL EFFLUENT"),(WaterlooNDD!$G:$G),("LBS/DAY"))</f>
        <v>232433.23128000001</v>
      </c>
      <c r="N18" s="213">
        <f>L18*365</f>
        <v>1663492.7336705881</v>
      </c>
      <c r="O18" s="123">
        <f>((D18-J18))/D18</f>
        <v>0.45941565090662101</v>
      </c>
      <c r="P18" s="124">
        <f>((F18-L18))/F18</f>
        <v>0.48920973992281053</v>
      </c>
      <c r="Q18" s="125">
        <f>(F18-L18)*365</f>
        <v>1593211.3652274699</v>
      </c>
    </row>
    <row r="19" spans="1:17" s="48" customFormat="1" x14ac:dyDescent="0.2">
      <c r="A19" s="243"/>
      <c r="B19" s="269" t="s">
        <v>50</v>
      </c>
      <c r="C19" s="174">
        <f>COUNTIFS(WaterlooNDD!$E:$E,"&gt;=5/1/2017",WaterlooNDD!$E:$E,"&lt;=4/30/2018",WaterlooNDD!$C:$C,"NITROGEN, TOTAL (AS N)",WaterlooNDD!$G:$G,"MG/L",WaterlooNDD!$H:$H,"RAW WASTE")</f>
        <v>52</v>
      </c>
      <c r="D19" s="175">
        <f>AVERAGEIFS(WaterlooNDD!$F:$F,WaterlooNDD!$E:$E,"&gt;=5/1/2017",WaterlooNDD!$E:$E,"&lt;=4/30/2018",(WaterlooNDD!$C:$C),("NITROGEN, TOTAL (AS N)"),(WaterlooNDD!$H:$H),("RAW WASTE"),(WaterlooNDD!$G:$G),("MG/L"))</f>
        <v>89.700014415384629</v>
      </c>
      <c r="E19" s="174">
        <f>COUNTIFS(WaterlooNDD!$E:$E,"&gt;=5/1/2017",WaterlooNDD!$E:$E,"&lt;=4/30/2018",WaterlooNDD!$C:$C,"NITROGEN, TOTAL (AS N)",WaterlooNDD!$G:$G,"LBS/DAY",WaterlooNDD!$H:$H,"RAW WASTE")</f>
        <v>52</v>
      </c>
      <c r="F19" s="177">
        <f>AVERAGEIFS(WaterlooNDD!$F:$F,WaterlooNDD!$E:$E,"&gt;=5/1/2017",WaterlooNDD!$E:$E,"&lt;=4/30/2018",(WaterlooNDD!$C:$C),("NITROGEN, TOTAL (AS N)"),(WaterlooNDD!$H:$H),("RAW WASTE"),(WaterlooNDD!$G:$G),("LBS/DAY"))</f>
        <v>9332.6237895000013</v>
      </c>
      <c r="G19" s="177">
        <f>SUMIFS(WaterlooNDD!$F:$F,WaterlooNDD!$E:$E,"&gt;=5/1/2017",WaterlooNDD!$E:$E,"&lt;=4/30/2018",(WaterlooNDD!$C:$C),("NITROGEN, TOTAL (AS N)"),(WaterlooNDD!$H:$H),("RAW WASTE"),(WaterlooNDD!$G:$G),("LBS/DAY"))</f>
        <v>485296.43705400004</v>
      </c>
      <c r="H19" s="178">
        <f>F19*365</f>
        <v>3406407.6831675004</v>
      </c>
      <c r="I19" s="174">
        <f>COUNTIFS(WaterlooNDD!$E:$E,"&gt;=5/1/2017",WaterlooNDD!$E:$E,"&lt;=4/30/2018",WaterlooNDD!$C:$C,"NITROGEN, TOTAL (AS N)",WaterlooNDD!$G:$G,"MG/L",WaterlooNDD!$H:$H,"FINAL EFFLUENT")</f>
        <v>52</v>
      </c>
      <c r="J19" s="175">
        <f>AVERAGEIFS(WaterlooNDD!$F:$F,WaterlooNDD!$E:$E,"&gt;=5/1/2017",WaterlooNDD!$E:$E,"&lt;=4/30/2018",(WaterlooNDD!$C:$C),("NITROGEN, TOTAL (AS N)"),(WaterlooNDD!$H:$H),("FINAL EFFLUENT"),(WaterlooNDD!$G:$G),("MG/L"))</f>
        <v>43.769230769230781</v>
      </c>
      <c r="K19" s="174">
        <f>COUNTIFS(WaterlooNDD!$E:$E,"&gt;=5/1/2017",WaterlooNDD!$E:$E,"&lt;=4/30/2018",WaterlooNDD!$C:$C,"NITROGEN, TOTAL (AS N)",WaterlooNDD!$G:$G,"LBS/DAY",WaterlooNDD!$H:$H,"FINAL EFFLUENT")</f>
        <v>52</v>
      </c>
      <c r="L19" s="177">
        <f>AVERAGEIFS((WaterlooNDD!$F:$F),WaterlooNDD!$E:$E,"&gt;=5/1/2017",WaterlooNDD!$E:$E,"&lt;=4/30/2018",(WaterlooNDD!$C:$C),("NITROGEN, TOTAL (AS N)"),(WaterlooNDD!$H:$H),("FINAL EFFLUENT"),(WaterlooNDD!$G:$G),("LBS/DAY"))</f>
        <v>4358.0512502307702</v>
      </c>
      <c r="M19" s="177">
        <f>SUMIFS(WaterlooNDD!$F:$F,WaterlooNDD!$E:$E,"&gt;=5/1/2017",WaterlooNDD!$E:$E,"&lt;=4/30/2018",(WaterlooNDD!$C:$C),("NITROGEN, TOTAL (AS N)"),(WaterlooNDD!$H:$H),("FINAL EFFLUENT"),(WaterlooNDD!$G:$G),("LBS/DAY"))</f>
        <v>226618.66501200004</v>
      </c>
      <c r="N19" s="178">
        <f>L19*365</f>
        <v>1590688.7063342312</v>
      </c>
      <c r="O19" s="179">
        <f>((D19-J19))/D19</f>
        <v>0.51204878779011842</v>
      </c>
      <c r="P19" s="180">
        <f>((F19-L19))/F19</f>
        <v>0.53303043725667476</v>
      </c>
      <c r="Q19" s="181">
        <f>(F19-L19)*365</f>
        <v>1815718.9768332695</v>
      </c>
    </row>
    <row r="20" spans="1:17" s="48" customFormat="1" ht="5.25" customHeight="1" x14ac:dyDescent="0.2">
      <c r="A20" s="243"/>
      <c r="B20" s="109"/>
      <c r="C20" s="110"/>
      <c r="D20" s="111"/>
      <c r="E20" s="110"/>
      <c r="F20" s="112"/>
      <c r="G20" s="112"/>
      <c r="H20" s="112"/>
      <c r="I20" s="110"/>
      <c r="J20" s="111"/>
      <c r="K20" s="110"/>
      <c r="L20" s="112"/>
      <c r="M20" s="112"/>
      <c r="N20" s="112"/>
      <c r="O20" s="113"/>
      <c r="P20" s="113"/>
      <c r="Q20" s="114"/>
    </row>
    <row r="21" spans="1:17" s="159" customFormat="1" x14ac:dyDescent="0.2">
      <c r="A21" s="243"/>
      <c r="B21" s="149" t="s">
        <v>62</v>
      </c>
      <c r="C21" s="150">
        <f>COUNTIFS(WaterlooNDD!$E:$E,"&gt;=1/1/2018",WaterlooNDD!$E:$E,"&lt;=12/31/2018",WaterlooNDD!$C:$C,"NITROGEN, TOTAL (AS N)",WaterlooNDD!$G:$G,"MG/L",WaterlooNDD!$H:$H,"RAW WASTE")</f>
        <v>17</v>
      </c>
      <c r="D21" s="151">
        <f>AVERAGEIFS(WaterlooNDD!$F:$F,WaterlooNDD!$E:$E,"&gt;=1/1/2018",WaterlooNDD!$E:$E,"&lt;=12/31/2018",(WaterlooNDD!$C:$C),("NITROGEN, TOTAL (AS N)"),(WaterlooNDD!$H:$H),("RAW WASTE"),(WaterlooNDD!$G:$G),("MG/L"))</f>
        <v>94.657937335294136</v>
      </c>
      <c r="E21" s="150">
        <f>COUNTIFS(WaterlooNDD!$E:$E,"&gt;=1/1/2018",WaterlooNDD!$E:$E,"&lt;=12/31/2018",WaterlooNDD!$C:$C,"NITROGEN, TOTAL (AS N)",WaterlooNDD!$G:$G,"LBS/DAY",WaterlooNDD!$H:$H,"RAW WASTE")</f>
        <v>17</v>
      </c>
      <c r="F21" s="152">
        <f>AVERAGEIFS(WaterlooNDD!$F:$F,WaterlooNDD!$E:$E,"&gt;=1/1/2018",WaterlooNDD!$E:$E,"&lt;=12/31/2018",(WaterlooNDD!$C:$C),("NITROGEN, TOTAL (AS N)"),(WaterlooNDD!$H:$H),("RAW WASTE"),(WaterlooNDD!$G:$G),("LBS/DAY"))</f>
        <v>9866.9610430941175</v>
      </c>
      <c r="G21" s="152">
        <f>SUMIFS(WaterlooNDD!$F:$F,WaterlooNDD!$E:$E,"&gt;=1/1/2018",WaterlooNDD!$E:$E,"&lt;=12/31/2018",(WaterlooNDD!$C:$C),("NITROGEN, TOTAL (AS N)"),(WaterlooNDD!$H:$H),("RAW WASTE"),(WaterlooNDD!$G:$G),("LBS/DAY"))</f>
        <v>167738.33773259999</v>
      </c>
      <c r="H21" s="153">
        <f>F21*365</f>
        <v>3601440.780729353</v>
      </c>
      <c r="I21" s="150">
        <f>COUNTIFS(WaterlooNDD!$E:$E,"&gt;=1/1/2018",WaterlooNDD!$E:$E,"&lt;=12/31/2018",WaterlooNDD!$C:$C,"NITROGEN, TOTAL (AS N)",WaterlooNDD!$G:$G,"MG/L",WaterlooNDD!$H:$H,"FINAL EFFLUENT")</f>
        <v>17</v>
      </c>
      <c r="J21" s="154">
        <f>AVERAGEIFS(WaterlooNDD!$F:$F,WaterlooNDD!$E:$E,"&gt;=1/1/2018",WaterlooNDD!$E:$E,"&lt;=12/31/2018",(WaterlooNDD!$C:$C),("NITROGEN, TOTAL (AS N)"),(WaterlooNDD!$H:$H),("FINAL EFFLUENT"),(WaterlooNDD!$G:$G),("MG/L"))</f>
        <v>37.194117647058818</v>
      </c>
      <c r="K21" s="150">
        <f>COUNTIFS(WaterlooNDD!$E:$E,"&gt;=1/1/2018",WaterlooNDD!$E:$E,"&lt;=12/31/2018",WaterlooNDD!$C:$C,"NITROGEN, TOTAL (AS N)",WaterlooNDD!$G:$G,"LBS/DAY",WaterlooNDD!$H:$H,"FINAL EFFLUENT")</f>
        <v>17</v>
      </c>
      <c r="L21" s="270">
        <f>AVERAGEIFS((WaterlooNDD!$F:$F),WaterlooNDD!$E:$E,"&gt;=1/1/2018",WaterlooNDD!$E:$E,"&lt;=12/31/2018",(WaterlooNDD!$C:$C),("NITROGEN, TOTAL (AS N)"),(WaterlooNDD!$H:$H),("FINAL EFFLUENT"),(WaterlooNDD!$G:$G),("LBS/DAY"))</f>
        <v>3701.29631717647</v>
      </c>
      <c r="M21" s="152">
        <f>SUMIFS(WaterlooNDD!$F:$F,WaterlooNDD!$E:$E,"&gt;=1/1/2018",WaterlooNDD!$E:$E,"&lt;=12/31/2018",(WaterlooNDD!$C:$C),("NITROGEN, TOTAL (AS N)"),(WaterlooNDD!$H:$H),("FINAL EFFLUENT"),(WaterlooNDD!$G:$G),("LBS/DAY"))</f>
        <v>62922.037391999991</v>
      </c>
      <c r="N21" s="155">
        <f>L21*365</f>
        <v>1350973.1557694115</v>
      </c>
      <c r="O21" s="156">
        <f>((D21-J21))/D21</f>
        <v>0.60706815831713012</v>
      </c>
      <c r="P21" s="157">
        <f>((F21-L21))/F21</f>
        <v>0.62487980838162871</v>
      </c>
      <c r="Q21" s="158">
        <f>(F21-L21)*365</f>
        <v>2250467.6249599415</v>
      </c>
    </row>
    <row r="22" spans="1:17" s="48" customFormat="1" ht="12" thickBot="1" x14ac:dyDescent="0.25">
      <c r="A22" s="244"/>
      <c r="B22" s="160" t="s">
        <v>63</v>
      </c>
      <c r="C22" s="161">
        <f>COUNTIFS(WaterlooNDD!$E:$E,"&gt;=5/1/2018",WaterlooNDD!$E:$E,"&lt;=4/30/2019",WaterlooNDD!$C:$C,"NITROGEN, TOTAL (AS N)",WaterlooNDD!$G:$G,"MG/L",WaterlooNDD!$H:$H,"RAW WASTE")</f>
        <v>0</v>
      </c>
      <c r="D22" s="162" t="e">
        <f>AVERAGEIFS(WaterlooNDD!$F:$F,WaterlooNDD!$E:$E,"&gt;=5/1/2018",WaterlooNDD!$E:$E,"&lt;=4/30/2019",(WaterlooNDD!$C:$C),("NITROGEN, TOTAL (AS N)"),(WaterlooNDD!$H:$H),("RAW WASTE"),(WaterlooNDD!$G:$G),("MG/L"))</f>
        <v>#DIV/0!</v>
      </c>
      <c r="E22" s="161">
        <f>COUNTIFS(WaterlooNDD!$E:$E,"&gt;=5/1/2018",WaterlooNDD!$E:$E,"&lt;=4/30/2019",WaterlooNDD!$C:$C,"NITROGEN, TOTAL (AS N)",WaterlooNDD!$G:$G,"LBS/DAY",WaterlooNDD!$H:$H,"RAW WASTE")</f>
        <v>0</v>
      </c>
      <c r="F22" s="163" t="e">
        <f>AVERAGEIFS(WaterlooNDD!$F:$F,WaterlooNDD!$E:$E,"&gt;=5/1/2018",WaterlooNDD!$E:$E,"&lt;=4/30/2019",(WaterlooNDD!$C:$C),("NITROGEN, TOTAL (AS N)"),(WaterlooNDD!$H:$H),("RAW WASTE"),(WaterlooNDD!$G:$G),("LBS/DAY"))</f>
        <v>#DIV/0!</v>
      </c>
      <c r="G22" s="163">
        <f>SUMIFS(WaterlooNDD!$F:$F,WaterlooNDD!$E:$E,"&gt;=5/1/2018",WaterlooNDD!$E:$E,"&lt;=4/30/2019",(WaterlooNDD!$C:$C),("NITROGEN, TOTAL (AS N)"),(WaterlooNDD!$H:$H),("RAW WASTE"),(WaterlooNDD!$G:$G),("LBS/DAY"))</f>
        <v>0</v>
      </c>
      <c r="H22" s="164" t="e">
        <f>F22*365</f>
        <v>#DIV/0!</v>
      </c>
      <c r="I22" s="161">
        <f>COUNTIFS(WaterlooNDD!$E:$E,"&gt;=5/1/2018",WaterlooNDD!$E:$E,"&lt;=4/30/2019",WaterlooNDD!$C:$C,"NITROGEN, TOTAL (AS N)",WaterlooNDD!$G:$G,"MG/L",WaterlooNDD!$H:$H,"FINAL EFFLUENT")</f>
        <v>0</v>
      </c>
      <c r="J22" s="162" t="e">
        <f>AVERAGEIFS(WaterlooNDD!$F:$F,WaterlooNDD!$E:$E,"&gt;=5/1/2018",WaterlooNDD!$E:$E,"&lt;=4/30/2019",(WaterlooNDD!$C:$C),("NITROGEN, TOTAL (AS N)"),(WaterlooNDD!$H:$H),("FINAL EFFLUENT"),(WaterlooNDD!$G:$G),("MG/L"))</f>
        <v>#DIV/0!</v>
      </c>
      <c r="K22" s="161">
        <f>COUNTIFS(WaterlooNDD!$E:$E,"&gt;=5/1/2018",WaterlooNDD!$E:$E,"&lt;=4/30/2019",WaterlooNDD!$C:$C,"NITROGEN, TOTAL (AS N)",WaterlooNDD!$G:$G,"LBS/DAY",WaterlooNDD!$H:$H,"FINAL EFFLUENT")</f>
        <v>0</v>
      </c>
      <c r="L22" s="163" t="e">
        <f>AVERAGEIFS((WaterlooNDD!$F:$F),WaterlooNDD!$E:$E,"&gt;=5/1/2018",WaterlooNDD!$E:$E,"&lt;=4/30/2019",(WaterlooNDD!$C:$C),("NITROGEN, TOTAL (AS N)"),(WaterlooNDD!$H:$H),("FINAL EFFLUENT"),(WaterlooNDD!$G:$G),("LBS/DAY"))</f>
        <v>#DIV/0!</v>
      </c>
      <c r="M22" s="163">
        <f>SUMIFS(WaterlooNDD!$F:$F,WaterlooNDD!$E:$E,"&gt;=5/1/2018",WaterlooNDD!$E:$E,"&lt;=4/30/2019",(WaterlooNDD!$C:$C),("NITROGEN, TOTAL (AS N)"),(WaterlooNDD!$H:$H),("FINAL EFFLUENT"),(WaterlooNDD!$G:$G),("LBS/DAY"))</f>
        <v>0</v>
      </c>
      <c r="N22" s="164" t="e">
        <f>L22*365</f>
        <v>#DIV/0!</v>
      </c>
      <c r="O22" s="165" t="e">
        <f>((D22-J22))/D22</f>
        <v>#DIV/0!</v>
      </c>
      <c r="P22" s="166" t="e">
        <f>((F22-L22))/F22</f>
        <v>#DIV/0!</v>
      </c>
      <c r="Q22" s="167" t="e">
        <f>(F22-L22)*365</f>
        <v>#DIV/0!</v>
      </c>
    </row>
    <row r="23" spans="1:17" s="48" customFormat="1" ht="11.25" customHeight="1" x14ac:dyDescent="0.2">
      <c r="A23" s="132"/>
      <c r="B23" s="109"/>
      <c r="C23" s="110"/>
      <c r="D23" s="111"/>
      <c r="E23" s="110"/>
      <c r="F23" s="111"/>
      <c r="G23" s="112"/>
      <c r="H23" s="112"/>
      <c r="I23" s="110"/>
      <c r="J23" s="111"/>
      <c r="K23" s="110"/>
      <c r="L23" s="111"/>
      <c r="M23" s="112"/>
      <c r="N23" s="112"/>
      <c r="O23" s="113"/>
      <c r="P23" s="129" t="s">
        <v>51</v>
      </c>
      <c r="Q23" s="112">
        <f>_xlfn.STDEV.P(Q16,Q19)</f>
        <v>53547.544326104806</v>
      </c>
    </row>
    <row r="24" spans="1:17" s="48" customFormat="1" ht="11.25" customHeight="1" x14ac:dyDescent="0.2">
      <c r="A24" s="132"/>
      <c r="B24" s="109"/>
      <c r="C24" s="110"/>
      <c r="D24" s="111"/>
      <c r="E24" s="110"/>
      <c r="F24" s="111"/>
      <c r="G24" s="112"/>
      <c r="H24" s="112"/>
      <c r="I24" s="110"/>
      <c r="J24" s="111"/>
      <c r="K24" s="110"/>
      <c r="L24" s="111"/>
      <c r="M24" s="112"/>
      <c r="N24" s="112"/>
      <c r="O24" s="113"/>
      <c r="P24" s="129" t="s">
        <v>52</v>
      </c>
      <c r="Q24" s="130">
        <f>(Q23/(AVERAGE(Q16,Q19)))</f>
        <v>3.0387250263113709E-2</v>
      </c>
    </row>
    <row r="25" spans="1:17" s="48" customFormat="1" ht="11.25" customHeight="1" x14ac:dyDescent="0.2">
      <c r="A25" s="132"/>
      <c r="B25" s="109"/>
      <c r="C25" s="110"/>
      <c r="D25" s="111"/>
      <c r="E25" s="110"/>
      <c r="F25" s="111"/>
      <c r="G25" s="112"/>
      <c r="H25" s="112"/>
      <c r="I25" s="110"/>
      <c r="J25" s="111"/>
      <c r="K25" s="110"/>
      <c r="L25" s="111"/>
      <c r="M25" s="112"/>
      <c r="N25" s="112"/>
      <c r="O25" s="113"/>
      <c r="P25" s="129" t="s">
        <v>53</v>
      </c>
      <c r="Q25" s="112">
        <f>_xlfn.STDEV.P(Q18)</f>
        <v>0</v>
      </c>
    </row>
    <row r="26" spans="1:17" s="48" customFormat="1" ht="11.25" customHeight="1" x14ac:dyDescent="0.2">
      <c r="A26" s="132"/>
      <c r="B26" s="109"/>
      <c r="C26" s="110"/>
      <c r="D26" s="111"/>
      <c r="E26" s="110"/>
      <c r="F26" s="111"/>
      <c r="G26" s="112"/>
      <c r="H26" s="112"/>
      <c r="I26" s="110"/>
      <c r="J26" s="111"/>
      <c r="K26" s="110"/>
      <c r="L26" s="111"/>
      <c r="M26" s="112"/>
      <c r="N26" s="112"/>
      <c r="O26" s="113"/>
      <c r="P26" s="129" t="s">
        <v>54</v>
      </c>
      <c r="Q26" s="130">
        <f>Q25/(AVERAGE(Q18))</f>
        <v>0</v>
      </c>
    </row>
    <row r="27" spans="1:17" s="48" customFormat="1" ht="11.25" customHeight="1" x14ac:dyDescent="0.2">
      <c r="A27" s="132"/>
      <c r="B27" s="109"/>
      <c r="C27" s="110"/>
      <c r="D27" s="111"/>
      <c r="E27" s="110"/>
      <c r="F27" s="111"/>
      <c r="G27" s="112"/>
      <c r="H27" s="112"/>
      <c r="I27" s="110"/>
      <c r="J27" s="111"/>
      <c r="K27" s="110"/>
      <c r="L27" s="111"/>
      <c r="M27" s="112"/>
      <c r="N27" s="112"/>
      <c r="O27" s="113"/>
      <c r="P27" s="129" t="s">
        <v>55</v>
      </c>
      <c r="Q27" s="131">
        <f>_xlfn.STDEV.P(Q16:Q19)</f>
        <v>90859.504297358202</v>
      </c>
    </row>
    <row r="28" spans="1:17" s="48" customFormat="1" ht="11.25" customHeight="1" x14ac:dyDescent="0.2">
      <c r="A28" s="132"/>
      <c r="B28" s="109"/>
      <c r="C28" s="110"/>
      <c r="D28" s="111"/>
      <c r="E28" s="110"/>
      <c r="F28" s="111"/>
      <c r="G28" s="112"/>
      <c r="H28" s="112"/>
      <c r="I28" s="110"/>
      <c r="J28" s="111"/>
      <c r="K28" s="110"/>
      <c r="L28" s="111"/>
      <c r="M28" s="112"/>
      <c r="N28" s="112"/>
      <c r="O28" s="113"/>
      <c r="P28" s="129" t="s">
        <v>56</v>
      </c>
      <c r="Q28" s="113">
        <f>Q27/(AVERAGE(Q16:Q19))</f>
        <v>5.3263434177461669E-2</v>
      </c>
    </row>
    <row r="29" spans="1:17" s="48" customFormat="1" ht="11.25" customHeight="1" x14ac:dyDescent="0.2">
      <c r="A29" s="132"/>
      <c r="B29" s="109"/>
      <c r="C29" s="110"/>
      <c r="D29" s="111"/>
      <c r="E29" s="110"/>
      <c r="F29" s="111"/>
      <c r="G29" s="112"/>
      <c r="H29" s="112"/>
      <c r="I29" s="110"/>
      <c r="J29" s="111"/>
      <c r="K29" s="110"/>
      <c r="L29" s="111"/>
      <c r="M29" s="112"/>
      <c r="N29" s="112"/>
      <c r="O29" s="113"/>
      <c r="P29" s="113"/>
      <c r="Q29" s="112"/>
    </row>
    <row r="30" spans="1:17" ht="11.25" customHeight="1" thickBot="1" x14ac:dyDescent="0.25"/>
    <row r="31" spans="1:17" ht="11.25" customHeight="1" x14ac:dyDescent="0.2">
      <c r="A31" s="242" t="s">
        <v>35</v>
      </c>
      <c r="B31" s="219" t="s">
        <v>35</v>
      </c>
      <c r="C31" s="222" t="s">
        <v>36</v>
      </c>
      <c r="D31" s="223"/>
      <c r="E31" s="223"/>
      <c r="F31" s="223"/>
      <c r="G31" s="223"/>
      <c r="H31" s="223"/>
      <c r="I31" s="224" t="s">
        <v>45</v>
      </c>
      <c r="J31" s="224"/>
      <c r="K31" s="224"/>
      <c r="L31" s="224"/>
      <c r="M31" s="224"/>
      <c r="N31" s="224"/>
      <c r="O31" s="225" t="s">
        <v>37</v>
      </c>
      <c r="P31" s="226"/>
      <c r="Q31" s="245" t="s">
        <v>24</v>
      </c>
    </row>
    <row r="32" spans="1:17" ht="11.25" customHeight="1" x14ac:dyDescent="0.2">
      <c r="A32" s="243"/>
      <c r="B32" s="220"/>
      <c r="C32" s="229" t="s">
        <v>25</v>
      </c>
      <c r="D32" s="230"/>
      <c r="E32" s="229" t="s">
        <v>26</v>
      </c>
      <c r="F32" s="231"/>
      <c r="G32" s="231"/>
      <c r="H32" s="230"/>
      <c r="I32" s="229" t="s">
        <v>25</v>
      </c>
      <c r="J32" s="230"/>
      <c r="K32" s="229" t="s">
        <v>26</v>
      </c>
      <c r="L32" s="231"/>
      <c r="M32" s="231"/>
      <c r="N32" s="231"/>
      <c r="O32" s="227"/>
      <c r="P32" s="228"/>
      <c r="Q32" s="246"/>
    </row>
    <row r="33" spans="1:17" ht="11.25" customHeight="1" x14ac:dyDescent="0.2">
      <c r="A33" s="243"/>
      <c r="B33" s="221"/>
      <c r="C33" s="10" t="s">
        <v>27</v>
      </c>
      <c r="D33" s="11" t="s">
        <v>28</v>
      </c>
      <c r="E33" s="10" t="s">
        <v>27</v>
      </c>
      <c r="F33" s="12" t="s">
        <v>29</v>
      </c>
      <c r="G33" s="13" t="s">
        <v>30</v>
      </c>
      <c r="H33" s="14" t="s">
        <v>40</v>
      </c>
      <c r="I33" s="10" t="s">
        <v>27</v>
      </c>
      <c r="J33" s="11" t="s">
        <v>28</v>
      </c>
      <c r="K33" s="10" t="s">
        <v>27</v>
      </c>
      <c r="L33" s="12" t="s">
        <v>29</v>
      </c>
      <c r="M33" s="15" t="s">
        <v>31</v>
      </c>
      <c r="N33" s="14" t="s">
        <v>41</v>
      </c>
      <c r="O33" s="16" t="s">
        <v>32</v>
      </c>
      <c r="P33" s="212" t="s">
        <v>33</v>
      </c>
      <c r="Q33" s="37" t="s">
        <v>42</v>
      </c>
    </row>
    <row r="34" spans="1:17" s="25" customFormat="1" x14ac:dyDescent="0.2">
      <c r="A34" s="243"/>
      <c r="B34" s="78" t="s">
        <v>34</v>
      </c>
      <c r="C34" s="38">
        <f>COUNTIFS(WaterlooNDD!C:C,"PHOSPHORUS, TOTAL (AS P)",WaterlooNDD!G:G,"MG/L",WaterlooNDD!H:H,"RAW WASTE")</f>
        <v>108</v>
      </c>
      <c r="D34" s="39">
        <f>AVERAGEIFS(WaterlooNDD!F:F,(WaterlooNDD!C:C),("PHOSPHORUS, TOTAL (AS P)"),(WaterlooNDD!H:H),("RAW WASTE"),(WaterlooNDD!G:G),("MG/L"))</f>
        <v>12.892092817592594</v>
      </c>
      <c r="E34" s="40">
        <f>COUNTIFS(WaterlooNDD!C:C,"PHOSPHORUS, TOTAL (AS P)",WaterlooNDD!G:G,"LBS/DAY",WaterlooNDD!H:H,"RAW WASTE")</f>
        <v>108</v>
      </c>
      <c r="F34" s="42">
        <f>AVERAGEIFS(WaterlooNDD!F:F,(WaterlooNDD!C:C),("PHOSPHORUS, TOTAL (AS P)"),(WaterlooNDD!H:H),("RAW WASTE"),(WaterlooNDD!G:G),("LBS/DAY"))</f>
        <v>1521.1265527277787</v>
      </c>
      <c r="G34" s="42">
        <f>(SUMIFS(WaterlooNDD!F:F,(WaterlooNDD!C:C),("PHOSPHORUS, TOTAL (AS P)"),(WaterlooNDD!H:H),("RAW WASTE"),(WaterlooNDD!G:G),("LBS/DAY")))</f>
        <v>164281.6676946001</v>
      </c>
      <c r="H34" s="43">
        <f>F34*365</f>
        <v>555211.1917456392</v>
      </c>
      <c r="I34" s="40">
        <f>COUNTIFS(WaterlooNDD!C:C,"PHOSPHORUS, TOTAL (AS P)",WaterlooNDD!G:G,"MG/L",WaterlooNDD!H:H,"FINAL EFFLUENT")</f>
        <v>108</v>
      </c>
      <c r="J34" s="39">
        <f>(AVERAGEIFS(WaterlooNDD!F:F,(WaterlooNDD!C:C),("PHOSPHORUS, TOTAL (AS P)"),(WaterlooNDD!H:H),("FINAL EFFLUENT"),(WaterlooNDD!G:G),("MG/L")))</f>
        <v>8.5949074074074048</v>
      </c>
      <c r="K34" s="40">
        <f>COUNTIFS(WaterlooNDD!C:C,"PHOSPHORUS, TOTAL (AS P)",WaterlooNDD!G:G,"LBS/DAY",WaterlooNDD!H:H,"FINAL EFFLUENT")</f>
        <v>108</v>
      </c>
      <c r="L34" s="41">
        <f>AVERAGEIFS(WaterlooNDD!F:F,(WaterlooNDD!C:C),("PHOSPHORUS, TOTAL (AS P)"),(WaterlooNDD!H:H),("FINAL EFFLUENT"),(WaterlooNDD!G:G),("LBS/DAY"))</f>
        <v>964.11507366666672</v>
      </c>
      <c r="M34" s="42">
        <f>SUMIFS(WaterlooNDD!F:F,(WaterlooNDD!C:C),("PHOSPHORUS, TOTAL (AS P)"),(WaterlooNDD!H:H),("FINAL EFFLUENT"),(WaterlooNDD!G:G),("LBS/DAY"))</f>
        <v>104124.427956</v>
      </c>
      <c r="N34" s="43">
        <f>L34*365</f>
        <v>351902.00188833335</v>
      </c>
      <c r="O34" s="44">
        <f>((D34-J34))/D34</f>
        <v>0.3333194595311349</v>
      </c>
      <c r="P34" s="45">
        <f>((F34-L34))/F34</f>
        <v>0.36618352237836121</v>
      </c>
      <c r="Q34" s="46">
        <f>(F34-L34)*365</f>
        <v>203309.1898573059</v>
      </c>
    </row>
    <row r="35" spans="1:17" s="25" customFormat="1" ht="5.25" customHeight="1" x14ac:dyDescent="0.2">
      <c r="A35" s="243"/>
      <c r="B35" s="78"/>
      <c r="C35" s="17"/>
      <c r="D35" s="18"/>
      <c r="E35" s="19"/>
      <c r="F35" s="21"/>
      <c r="G35" s="21"/>
      <c r="H35" s="22"/>
      <c r="I35" s="19"/>
      <c r="J35" s="18"/>
      <c r="K35" s="19"/>
      <c r="L35" s="20"/>
      <c r="M35" s="20"/>
      <c r="N35" s="22"/>
      <c r="O35" s="23"/>
      <c r="P35" s="24"/>
      <c r="Q35" s="47"/>
    </row>
    <row r="36" spans="1:17" s="48" customFormat="1" x14ac:dyDescent="0.2">
      <c r="A36" s="243"/>
      <c r="B36" s="79" t="s">
        <v>46</v>
      </c>
      <c r="C36" s="80">
        <f>COUNTIFS(WaterlooNDD!$E:$E,"&gt;=5/1/2014",WaterlooNDD!$E:$E,"&lt;=4/30/2015",WaterlooNDD!$C:$C,"PHOSPHORUS, TOTAL (AS P)",WaterlooNDD!$G:$G,"MG/L",WaterlooNDD!$H:$H,"RAW WASTE")</f>
        <v>0</v>
      </c>
      <c r="D36" s="81" t="e">
        <f>AVERAGEIFS(WaterlooNDD!$F:$F,WaterlooNDD!$E:$E,"&gt;=5/1/2014",WaterlooNDD!$E:$E,"&lt;=4/30/2015",(WaterlooNDD!$C:$C),("PHOSPHORUS, TOTAL (AS P)"),(WaterlooNDD!$H:$H),("RAW WASTE"),(WaterlooNDD!$G:$G),("MG/L"))</f>
        <v>#DIV/0!</v>
      </c>
      <c r="E36" s="82">
        <f>COUNTIFS(WaterlooNDD!$E:$E,"&gt;=5/1/2014",WaterlooNDD!$E:$E,"&lt;=4/30/2015",WaterlooNDD!$C:$C,"PHOSPHORUS, TOTAL (AS P)",WaterlooNDD!$G:$G,"LBS/DAY",WaterlooNDD!$H:$H,"RAW WASTE")</f>
        <v>0</v>
      </c>
      <c r="F36" s="84" t="e">
        <f>AVERAGEIFS(WaterlooNDD!$F:$F,WaterlooNDD!$E:$E,"&gt;=5/1/2014",WaterlooNDD!$E:$E,"&lt;=4/30/2015",(WaterlooNDD!$C:$C),("PHOSPHORUS, TOTAL (AS P)"),(WaterlooNDD!$H:$H),("RAW WASTE"),(WaterlooNDD!$G:$G),("LBS/DAY"))</f>
        <v>#DIV/0!</v>
      </c>
      <c r="G36" s="84">
        <f>SUMIFS(WaterlooNDD!$F:$F,WaterlooNDD!$E:$E,"&gt;=5/1/2014",WaterlooNDD!$E:$E,"&lt;=4/30/2015",(WaterlooNDD!$C:$C),("PHOSPHORUS, TOTAL (AS P)"),(WaterlooNDD!$H:$H),("RAW WASTE"),(WaterlooNDD!$G:$G),("LBS/DAY"))</f>
        <v>0</v>
      </c>
      <c r="H36" s="85" t="e">
        <f>F36*365</f>
        <v>#DIV/0!</v>
      </c>
      <c r="I36" s="82">
        <f>COUNTIFS(WaterlooNDD!$E:$E,"&gt;=5/1/2014",WaterlooNDD!$E:$E,"&lt;=4/30/2015",WaterlooNDD!$C:$C,"PHOSPHORUS, TOTAL (AS P)",WaterlooNDD!$G:$G,"MG/L",WaterlooNDD!$H:$H,"FINAL EFFLUENT")</f>
        <v>0</v>
      </c>
      <c r="J36" s="81" t="e">
        <f>AVERAGEIFS(WaterlooNDD!$F:$F,WaterlooNDD!$E:$E,"&gt;=5/1/2014",WaterlooNDD!$E:$E,"&lt;=4/30/2015",(WaterlooNDD!$C:$C),("PHOSPHORUS, TOTAL (AS P)"),(WaterlooNDD!$H:$H),("FINAL EFFLUENT"),(WaterlooNDD!$G:$G),("MG/L"))</f>
        <v>#DIV/0!</v>
      </c>
      <c r="K36" s="82">
        <f>COUNTIFS(WaterlooNDD!$E:$E,"&gt;=5/1/2014",WaterlooNDD!$E:$E,"&lt;=4/30/2015",WaterlooNDD!$C:$C,"PHOSPHORUS, TOTAL (AS P)",WaterlooNDD!$G:$G,"LBS/DAY",WaterlooNDD!$H:$H,"FINAL EFFLUENT")</f>
        <v>0</v>
      </c>
      <c r="L36" s="83" t="e">
        <f>AVERAGEIFS((WaterlooNDD!$F:$F),WaterlooNDD!$E:$E,"&gt;=5/1/2014",WaterlooNDD!$E:$E,"&lt;=4/30/2015",(WaterlooNDD!$C:$C),("PHOSPHORUS, TOTAL (AS P)"),(WaterlooNDD!$H:$H),("FINAL EFFLUENT"),(WaterlooNDD!$G:$G),("LBS/DAY"))</f>
        <v>#DIV/0!</v>
      </c>
      <c r="M36" s="84">
        <f>SUMIFS(WaterlooNDD!$F:$F,WaterlooNDD!$E:$E,"&gt;=5/1/2014",WaterlooNDD!$E:$E,"&lt;=4/30/2015",(WaterlooNDD!$C:$C),("PHOSPHORUS, TOTAL (AS P)"),(WaterlooNDD!$H:$H),("FINAL EFFLUENT"),(WaterlooNDD!$G:$G),("LBS/DAY"))</f>
        <v>0</v>
      </c>
      <c r="N36" s="85" t="e">
        <f>L36*365</f>
        <v>#DIV/0!</v>
      </c>
      <c r="O36" s="86" t="e">
        <f>((D36-J36))/D36</f>
        <v>#DIV/0!</v>
      </c>
      <c r="P36" s="87" t="e">
        <f>((F36-L36))/F36</f>
        <v>#DIV/0!</v>
      </c>
      <c r="Q36" s="88" t="s">
        <v>118</v>
      </c>
    </row>
    <row r="37" spans="1:17" s="25" customFormat="1" ht="5.25" customHeight="1" x14ac:dyDescent="0.2">
      <c r="A37" s="243"/>
      <c r="B37" s="78"/>
      <c r="C37" s="17"/>
      <c r="D37" s="18"/>
      <c r="E37" s="19"/>
      <c r="F37" s="21"/>
      <c r="G37" s="21"/>
      <c r="H37" s="22"/>
      <c r="I37" s="19"/>
      <c r="J37" s="18"/>
      <c r="K37" s="19"/>
      <c r="L37" s="20"/>
      <c r="M37" s="20"/>
      <c r="N37" s="22"/>
      <c r="O37" s="23"/>
      <c r="P37" s="24"/>
      <c r="Q37" s="47"/>
    </row>
    <row r="38" spans="1:17" s="58" customFormat="1" x14ac:dyDescent="0.2">
      <c r="A38" s="243"/>
      <c r="B38" s="89" t="s">
        <v>43</v>
      </c>
      <c r="C38" s="49">
        <f>COUNTIFS(WaterlooNDD!$E:$E,"&gt;=1/1/2015",WaterlooNDD!$E:$E,"&lt;=12/31/2015",WaterlooNDD!$C:$C,"PHOSPHORUS, TOTAL (AS P)",WaterlooNDD!$G:$G,"MG/L",WaterlooNDD!$H:$H,"RAW WASTE")</f>
        <v>0</v>
      </c>
      <c r="D38" s="50" t="e">
        <f>AVERAGEIFS(WaterlooNDD!$F:$F,WaterlooNDD!$E:$E,"&gt;=1/1/2015",WaterlooNDD!$E:$E,"&lt;=12/31/2015",(WaterlooNDD!$C:$C),("PHOSPHORUS, TOTAL (AS P)"),(WaterlooNDD!$H:$H),("RAW WASTE"),(WaterlooNDD!$G:$G),("MG/L"))</f>
        <v>#DIV/0!</v>
      </c>
      <c r="E38" s="49">
        <f>COUNTIFS(WaterlooNDD!$E:$E,"&gt;=1/1/2015",WaterlooNDD!$E:$E,"&lt;=12/31/2015",WaterlooNDD!$C:$C,"PHOSPHORUS, TOTAL (AS P)",WaterlooNDD!$G:$G,"LBS/DAY",WaterlooNDD!$H:$H,"RAW WASTE")</f>
        <v>0</v>
      </c>
      <c r="F38" s="51" t="e">
        <f>AVERAGEIFS(WaterlooNDD!$F:$F,WaterlooNDD!$E:$E,"&gt;=1/1/2015",WaterlooNDD!$E:$E,"&lt;=12/31/2015",(WaterlooNDD!$C:$C),("PHOSPHORUS, TOTAL (AS P)"),(WaterlooNDD!$H:$H),("RAW WASTE"),(WaterlooNDD!$G:$G),("LBS/DAY"))</f>
        <v>#DIV/0!</v>
      </c>
      <c r="G38" s="51">
        <f>SUMIFS(WaterlooNDD!$F:$F,WaterlooNDD!$E:$E,"&gt;=1/1/2015",WaterlooNDD!$E:$E,"&lt;=12/31/2015",(WaterlooNDD!$C:$C),("PHOSPHORUS, TOTAL (AS P)"),(WaterlooNDD!$H:$H),("RAW WASTE"),(WaterlooNDD!$G:$G),("LBS/DAY"))</f>
        <v>0</v>
      </c>
      <c r="H38" s="52" t="e">
        <f>F38*365</f>
        <v>#DIV/0!</v>
      </c>
      <c r="I38" s="49">
        <f>COUNTIFS(WaterlooNDD!$E:$E,"&gt;=1/1/2015",WaterlooNDD!$E:$E,"&lt;=12/31/2015",WaterlooNDD!$C:$C,"PHOSPHORUS, TOTAL (AS P)",WaterlooNDD!$G:$G,"MG/L",WaterlooNDD!$H:$H,"FINAL EFFLUENT")</f>
        <v>0</v>
      </c>
      <c r="J38" s="53" t="e">
        <f>AVERAGEIFS(WaterlooNDD!$F:$F,WaterlooNDD!$E:$E,"&gt;=1/1/2015",WaterlooNDD!$E:$E,"&lt;=12/31/2015",(WaterlooNDD!$C:$C),("PHOSPHORUS, TOTAL (AS P)"),(WaterlooNDD!$H:$H),("FINAL EFFLUENT"),(WaterlooNDD!$G:$G),("MG/L"))</f>
        <v>#DIV/0!</v>
      </c>
      <c r="K38" s="49">
        <f>COUNTIFS(WaterlooNDD!$E:$E,"&gt;=1/1/2015",WaterlooNDD!$E:$E,"&lt;=12/31/2015",WaterlooNDD!$C:$C,"PHOSPHORUS, TOTAL (AS P)",WaterlooNDD!$G:$G,"LBS/DAY",WaterlooNDD!$H:$H,"FINAL EFFLUENT")</f>
        <v>0</v>
      </c>
      <c r="L38" s="91" t="e">
        <f>AVERAGEIFS((WaterlooNDD!$F:$F),WaterlooNDD!$E:$E,"&gt;=1/1/2015",WaterlooNDD!$E:$E,"&lt;=12/31/2015",(WaterlooNDD!$C:$C),("PHOSPHORUS, TOTAL (AS P)"),(WaterlooNDD!$H:$H),("FINAL EFFLUENT"),(WaterlooNDD!$G:$G),("LBS/DAY"))</f>
        <v>#DIV/0!</v>
      </c>
      <c r="M38" s="51">
        <f>SUMIFS(WaterlooNDD!$F:$F,WaterlooNDD!$E:$E,"&gt;=1/1/2015",WaterlooNDD!$E:$E,"&lt;=12/31/2015",(WaterlooNDD!$C:$C),("PHOSPHORUS, TOTAL (AS P)"),(WaterlooNDD!$H:$H),("FINAL EFFLUENT"),(WaterlooNDD!$G:$G),("LBS/DAY"))</f>
        <v>0</v>
      </c>
      <c r="N38" s="54" t="e">
        <f>L38*365</f>
        <v>#DIV/0!</v>
      </c>
      <c r="O38" s="55" t="e">
        <f>((D38-J38))/D38</f>
        <v>#DIV/0!</v>
      </c>
      <c r="P38" s="56" t="e">
        <f>((F38-L38))/F38</f>
        <v>#DIV/0!</v>
      </c>
      <c r="Q38" s="57" t="s">
        <v>118</v>
      </c>
    </row>
    <row r="39" spans="1:17" s="48" customFormat="1" x14ac:dyDescent="0.2">
      <c r="A39" s="243"/>
      <c r="B39" s="92" t="s">
        <v>47</v>
      </c>
      <c r="C39" s="59">
        <f>COUNTIFS(WaterlooNDD!$E:$E,"&gt;=5/1/2015",WaterlooNDD!$E:$E,"&lt;=4/30/2016",WaterlooNDD!$C:$C,"PHOSPHORUS, TOTAL (AS P)",WaterlooNDD!$G:$G,"MG/L",WaterlooNDD!$H:$H,"RAW WASTE")</f>
        <v>4</v>
      </c>
      <c r="D39" s="60">
        <f>AVERAGEIFS(WaterlooNDD!$F:$F,WaterlooNDD!$E:$E,"&gt;=5/1/2015",WaterlooNDD!$E:$E,"&lt;=4/30/2016",(WaterlooNDD!$C:$C),("PHOSPHORUS, TOTAL (AS P)"),(WaterlooNDD!$H:$H),("RAW WASTE"),(WaterlooNDD!$G:$G),("MG/L"))</f>
        <v>12.189753399999999</v>
      </c>
      <c r="E39" s="59">
        <f>COUNTIFS(WaterlooNDD!$E:$E,"&gt;=5/1/2015",WaterlooNDD!$E:$E,"&lt;=4/30/2016",WaterlooNDD!$C:$C,"PHOSPHORUS, TOTAL (AS P)",WaterlooNDD!$G:$G,"LBS/DAY",WaterlooNDD!$H:$H,"RAW WASTE")</f>
        <v>4</v>
      </c>
      <c r="F39" s="61">
        <f>AVERAGEIFS(WaterlooNDD!$F:$F,WaterlooNDD!$E:$E,"&gt;=5/1/2015",WaterlooNDD!$E:$E,"&lt;=4/30/2016",(WaterlooNDD!$C:$C),("PHOSPHORUS, TOTAL (AS P)"),(WaterlooNDD!$H:$H),("RAW WASTE"),(WaterlooNDD!$G:$G),("LBS/DAY"))</f>
        <v>1664.2653479999999</v>
      </c>
      <c r="G39" s="61">
        <f>SUMIFS(WaterlooNDD!$F:$F,WaterlooNDD!$E:$E,"&gt;=5/1/2015",WaterlooNDD!$E:$E,"&lt;=4/30/2016",(WaterlooNDD!$C:$C),("PHOSPHORUS, TOTAL (AS P)"),(WaterlooNDD!$H:$H),("RAW WASTE"),(WaterlooNDD!$G:$G),("LBS/DAY"))</f>
        <v>6657.0613919999996</v>
      </c>
      <c r="H39" s="62">
        <f>F39*365</f>
        <v>607456.85201999999</v>
      </c>
      <c r="I39" s="59">
        <f>COUNTIFS(WaterlooNDD!$E:$E,"&gt;=5/1/2015",WaterlooNDD!$E:$E,"&lt;=4/30/2016",WaterlooNDD!$C:$C,"PHOSPHORUS, TOTAL (AS P)",WaterlooNDD!$G:$G,"MG/L",WaterlooNDD!$H:$H,"FINAL EFFLUENT")</f>
        <v>4</v>
      </c>
      <c r="J39" s="60">
        <f>AVERAGEIFS(WaterlooNDD!$F:$F,WaterlooNDD!$E:$E,"&gt;=5/1/2015",WaterlooNDD!$E:$E,"&lt;=4/30/2016",(WaterlooNDD!$C:$C),("PHOSPHORUS, TOTAL (AS P)"),(WaterlooNDD!$H:$H),("FINAL EFFLUENT"),(WaterlooNDD!$G:$G),("MG/L"))</f>
        <v>7.43</v>
      </c>
      <c r="K39" s="59">
        <f>COUNTIFS(WaterlooNDD!$E:$E,"&gt;=5/1/2015",WaterlooNDD!$E:$E,"&lt;=4/30/2016",WaterlooNDD!$C:$C,"PHOSPHORUS, TOTAL (AS P)",WaterlooNDD!$G:$G,"LBS/DAY",WaterlooNDD!$H:$H,"FINAL EFFLUENT")</f>
        <v>4</v>
      </c>
      <c r="L39" s="93">
        <f>AVERAGEIFS((WaterlooNDD!$F:$F),WaterlooNDD!$E:$E,"&gt;=5/1/2015",WaterlooNDD!$E:$E,"&lt;=4/30/2016",(WaterlooNDD!$C:$C),("PHOSPHORUS, TOTAL (AS P)"),(WaterlooNDD!$H:$H),("FINAL EFFLUENT"),(WaterlooNDD!$G:$G),("LBS/DAY"))</f>
        <v>825.73568550000005</v>
      </c>
      <c r="M39" s="61">
        <f>SUMIFS(WaterlooNDD!$F:$F,WaterlooNDD!$E:$E,"&gt;=5/1/2015",WaterlooNDD!$E:$E,"&lt;=4/30/2016",(WaterlooNDD!$C:$C),("PHOSPHORUS, TOTAL (AS P)"),(WaterlooNDD!$H:$H),("FINAL EFFLUENT"),(WaterlooNDD!$G:$G),("LBS/DAY"))</f>
        <v>3302.9427420000002</v>
      </c>
      <c r="N39" s="62">
        <f>L39*365</f>
        <v>301393.52520750003</v>
      </c>
      <c r="O39" s="63">
        <f>((D39-J39))/D39</f>
        <v>0.39047167270832561</v>
      </c>
      <c r="P39" s="64">
        <f>((F39-L39))/F39</f>
        <v>0.50384373111396408</v>
      </c>
      <c r="Q39" s="65">
        <f>(F39-L39)*365</f>
        <v>306063.32681249996</v>
      </c>
    </row>
    <row r="40" spans="1:17" s="75" customFormat="1" ht="5.25" customHeight="1" x14ac:dyDescent="0.2">
      <c r="A40" s="243"/>
      <c r="B40" s="94"/>
      <c r="C40" s="66"/>
      <c r="D40" s="67"/>
      <c r="E40" s="66"/>
      <c r="F40" s="68"/>
      <c r="G40" s="68"/>
      <c r="H40" s="69"/>
      <c r="I40" s="66"/>
      <c r="J40" s="70"/>
      <c r="K40" s="66"/>
      <c r="L40" s="96"/>
      <c r="M40" s="68"/>
      <c r="N40" s="71"/>
      <c r="O40" s="72"/>
      <c r="P40" s="73"/>
      <c r="Q40" s="74"/>
    </row>
    <row r="41" spans="1:17" s="75" customFormat="1" x14ac:dyDescent="0.2">
      <c r="A41" s="243"/>
      <c r="B41" s="97" t="s">
        <v>44</v>
      </c>
      <c r="C41" s="26">
        <f>COUNTIFS(WaterlooNDD!$E:$E,"&gt;=1/1/2016",WaterlooNDD!$E:$E,"&lt;=12/31/2016",WaterlooNDD!$C:$C,"PHOSPHORUS, TOTAL (AS P)",WaterlooNDD!$G:$G,"MG/L",WaterlooNDD!$H:$H,"RAW WASTE")</f>
        <v>39</v>
      </c>
      <c r="D41" s="27">
        <f>AVERAGEIFS(WaterlooNDD!$F:$F,WaterlooNDD!$E:$E,"&gt;=1/1/2016",WaterlooNDD!$E:$E,"&lt;=12/31/2016",(WaterlooNDD!$C:$C),("PHOSPHORUS, TOTAL (AS P)"),(WaterlooNDD!$H:$H),("RAW WASTE"),(WaterlooNDD!$G:$G),("MG/L"))</f>
        <v>10.711318920512824</v>
      </c>
      <c r="E41" s="26">
        <f>COUNTIFS(WaterlooNDD!$E:$E,"&gt;=1/1/2016",WaterlooNDD!$E:$E,"&lt;=12/31/2016",WaterlooNDD!$C:$C,"PHOSPHORUS, TOTAL (AS P)",WaterlooNDD!$G:$G,"LBS/DAY",WaterlooNDD!$H:$H,"RAW WASTE")</f>
        <v>39</v>
      </c>
      <c r="F41" s="28">
        <f>AVERAGEIFS(WaterlooNDD!$F:$F,WaterlooNDD!$E:$E,"&gt;=1/1/2016",WaterlooNDD!$E:$E,"&lt;=12/31/2016",(WaterlooNDD!$C:$C),("PHOSPHORUS, TOTAL (AS P)"),(WaterlooNDD!$H:$H),("RAW WASTE"),(WaterlooNDD!$G:$G),("LBS/DAY"))</f>
        <v>1481.6072015384618</v>
      </c>
      <c r="G41" s="28">
        <f>SUMIFS(WaterlooNDD!$F:$F,WaterlooNDD!$E:$E,"&gt;=1/1/2016",WaterlooNDD!$E:$E,"&lt;=12/31/2016",(WaterlooNDD!$C:$C),("PHOSPHORUS, TOTAL (AS P)"),(WaterlooNDD!$H:$H),("RAW WASTE"),(WaterlooNDD!$G:$G),("LBS/DAY"))</f>
        <v>57782.680860000008</v>
      </c>
      <c r="H41" s="29">
        <f>F41*365</f>
        <v>540786.62856153853</v>
      </c>
      <c r="I41" s="26">
        <f>COUNTIFS(WaterlooNDD!$E:$E,"&gt;=1/1/2016",WaterlooNDD!$E:$E,"&lt;=12/31/2016",WaterlooNDD!$C:$C,"PHOSPHORUS, TOTAL (AS P)",WaterlooNDD!$G:$G,"MG/L",WaterlooNDD!$H:$H,"FINAL EFFLUENT")</f>
        <v>39</v>
      </c>
      <c r="J41" s="30">
        <f>AVERAGEIFS(WaterlooNDD!$F:$F,WaterlooNDD!$E:$E,"&gt;=1/1/2016",WaterlooNDD!$E:$E,"&lt;=12/31/2016",(WaterlooNDD!$C:$C),("PHOSPHORUS, TOTAL (AS P)"),(WaterlooNDD!$H:$H),("FINAL EFFLUENT"),(WaterlooNDD!$G:$G),("MG/L"))</f>
        <v>7.103076923076924</v>
      </c>
      <c r="K41" s="26">
        <f>COUNTIFS(WaterlooNDD!$E:$E,"&gt;=1/1/2016",WaterlooNDD!$E:$E,"&lt;=12/31/2016",WaterlooNDD!$C:$C,"PHOSPHORUS, TOTAL (AS P)",WaterlooNDD!$G:$G,"LBS/DAY",WaterlooNDD!$H:$H,"FINAL EFFLUENT")</f>
        <v>39</v>
      </c>
      <c r="L41" s="99">
        <f>AVERAGEIFS((WaterlooNDD!$F:$F),WaterlooNDD!$E:$E,"&gt;=1/1/2016",WaterlooNDD!$E:$E,"&lt;=12/31/2016",(WaterlooNDD!$C:$C),("PHOSPHORUS, TOTAL (AS P)"),(WaterlooNDD!$H:$H),("FINAL EFFLUENT"),(WaterlooNDD!$G:$G),("LBS/DAY"))</f>
        <v>931.77552969230771</v>
      </c>
      <c r="M41" s="28">
        <f>SUMIFS(WaterlooNDD!$F:$F,WaterlooNDD!$E:$E,"&gt;=1/1/2016",WaterlooNDD!$E:$E,"&lt;=12/31/2016",(WaterlooNDD!$C:$C),("PHOSPHORUS, TOTAL (AS P)"),(WaterlooNDD!$H:$H),("FINAL EFFLUENT"),(WaterlooNDD!$G:$G),("LBS/DAY"))</f>
        <v>36339.245658</v>
      </c>
      <c r="N41" s="31">
        <f>L41*365</f>
        <v>340098.0683376923</v>
      </c>
      <c r="O41" s="32">
        <f>((D41-J41))/D41</f>
        <v>0.33686253058210208</v>
      </c>
      <c r="P41" s="33">
        <f>((F41-L41))/F41</f>
        <v>0.37110488615013709</v>
      </c>
      <c r="Q41" s="76">
        <f>(F41-L41)*365</f>
        <v>200688.56022384626</v>
      </c>
    </row>
    <row r="42" spans="1:17" s="48" customFormat="1" x14ac:dyDescent="0.2">
      <c r="A42" s="243"/>
      <c r="B42" s="100" t="s">
        <v>48</v>
      </c>
      <c r="C42" s="101">
        <f>COUNTIFS(WaterlooNDD!$E:$E,"&gt;=5/1/2016",WaterlooNDD!$E:$E,"&lt;=4/30/2017",WaterlooNDD!$C:$C,"PHOSPHORUS, TOTAL (AS P)",WaterlooNDD!$G:$G,"MG/L",WaterlooNDD!$H:$H,"RAW WASTE")</f>
        <v>52</v>
      </c>
      <c r="D42" s="102">
        <f>AVERAGEIFS(WaterlooNDD!$F:$F,WaterlooNDD!$E:$E,"&gt;=5/1/2016",WaterlooNDD!$E:$E,"&lt;=4/30/2017",(WaterlooNDD!$C:$C),("PHOSPHORUS, TOTAL (AS P)"),(WaterlooNDD!$H:$H),("RAW WASTE"),(WaterlooNDD!$G:$G),("MG/L"))</f>
        <v>10.571392774999996</v>
      </c>
      <c r="E42" s="101">
        <f>COUNTIFS(WaterlooNDD!$E:$E,"&gt;=5/1/2016",WaterlooNDD!$E:$E,"&lt;=4/30/2017",WaterlooNDD!$C:$C,"PHOSPHORUS, TOTAL (AS P)",WaterlooNDD!$G:$G,"LBS/DAY",WaterlooNDD!$H:$H,"RAW WASTE")</f>
        <v>52</v>
      </c>
      <c r="F42" s="104">
        <f>AVERAGEIFS(WaterlooNDD!$F:$F,WaterlooNDD!$E:$E,"&gt;=5/1/2016",WaterlooNDD!$E:$E,"&lt;=4/30/2017",(WaterlooNDD!$C:$C),("PHOSPHORUS, TOTAL (AS P)"),(WaterlooNDD!$H:$H),("RAW WASTE"),(WaterlooNDD!$G:$G),("LBS/DAY"))</f>
        <v>1457.1495153461537</v>
      </c>
      <c r="G42" s="104">
        <f>SUMIFS(WaterlooNDD!$F:$F,WaterlooNDD!$E:$E,"&gt;=5/1/2016",WaterlooNDD!$E:$E,"&lt;=4/30/2017",(WaterlooNDD!$C:$C),("PHOSPHORUS, TOTAL (AS P)"),(WaterlooNDD!$H:$H),("RAW WASTE"),(WaterlooNDD!$G:$G),("LBS/DAY"))</f>
        <v>75771.774797999999</v>
      </c>
      <c r="H42" s="105">
        <f>F42*365</f>
        <v>531859.57310134615</v>
      </c>
      <c r="I42" s="101">
        <f>COUNTIFS(WaterlooNDD!$E:$E,"&gt;=5/1/2016",WaterlooNDD!$E:$E,"&lt;=4/30/2017",WaterlooNDD!$C:$C,"PHOSPHORUS, TOTAL (AS P)",WaterlooNDD!$G:$G,"MG/L",WaterlooNDD!$H:$H,"FINAL EFFLUENT")</f>
        <v>52</v>
      </c>
      <c r="J42" s="102">
        <f>AVERAGEIFS(WaterlooNDD!$F:$F,WaterlooNDD!$E:$E,"&gt;=5/1/2016",WaterlooNDD!$E:$E,"&lt;=4/30/2017",(WaterlooNDD!$C:$C),("PHOSPHORUS, TOTAL (AS P)"),(WaterlooNDD!$H:$H),("FINAL EFFLUENT"),(WaterlooNDD!$G:$G),("MG/L"))</f>
        <v>7.1648076923076918</v>
      </c>
      <c r="K42" s="101">
        <f>COUNTIFS(WaterlooNDD!$E:$E,"&gt;=5/1/2016",WaterlooNDD!$E:$E,"&lt;=4/30/2017",WaterlooNDD!$C:$C,"PHOSPHORUS, TOTAL (AS P)",WaterlooNDD!$G:$G,"LBS/DAY",WaterlooNDD!$H:$H,"FINAL EFFLUENT")</f>
        <v>52</v>
      </c>
      <c r="L42" s="103">
        <f>AVERAGEIFS((WaterlooNDD!$F:$F),WaterlooNDD!$E:$E,"&gt;=5/1/2016",WaterlooNDD!$E:$E,"&lt;=4/30/2017",(WaterlooNDD!$C:$C),("PHOSPHORUS, TOTAL (AS P)"),(WaterlooNDD!$H:$H),("FINAL EFFLUENT"),(WaterlooNDD!$G:$G),("LBS/DAY"))</f>
        <v>934.33305484615369</v>
      </c>
      <c r="M42" s="104">
        <f>SUMIFS(WaterlooNDD!$F:$F,WaterlooNDD!$E:$E,"&gt;=5/1/2016",WaterlooNDD!$E:$E,"&lt;=4/30/2017",(WaterlooNDD!$C:$C),("PHOSPHORUS, TOTAL (AS P)"),(WaterlooNDD!$H:$H),("FINAL EFFLUENT"),(WaterlooNDD!$G:$G),("LBS/DAY"))</f>
        <v>48585.318851999989</v>
      </c>
      <c r="N42" s="105">
        <f>L42*365</f>
        <v>341031.56501884607</v>
      </c>
      <c r="O42" s="106">
        <f>((D42-J42))/D42</f>
        <v>0.32224562602086321</v>
      </c>
      <c r="P42" s="107">
        <f>((F42-L42))/F42</f>
        <v>0.35879397068996188</v>
      </c>
      <c r="Q42" s="108">
        <f>(F42-L42)*365</f>
        <v>190828.00808250002</v>
      </c>
    </row>
    <row r="43" spans="1:17" ht="5.25" customHeight="1" x14ac:dyDescent="0.2">
      <c r="A43" s="243"/>
      <c r="F43" s="271"/>
      <c r="L43" s="127"/>
      <c r="Q43" s="128"/>
    </row>
    <row r="44" spans="1:17" s="126" customFormat="1" x14ac:dyDescent="0.2">
      <c r="A44" s="243"/>
      <c r="B44" s="115" t="s">
        <v>49</v>
      </c>
      <c r="C44" s="116">
        <f>COUNTIFS(WaterlooNDD!$E:$E,"&gt;=1/1/2017",WaterlooNDD!$E:$E,"&lt;=12/31/2017",WaterlooNDD!$C:$C,"PHOSPHORUS, TOTAL (AS P)",WaterlooNDD!$G:$G,"MG/L",WaterlooNDD!$H:$H,"RAW WASTE")</f>
        <v>52</v>
      </c>
      <c r="D44" s="117">
        <f>AVERAGEIFS(WaterlooNDD!$F:$F,WaterlooNDD!$E:$E,"&gt;=1/1/2017",WaterlooNDD!$E:$E,"&lt;=12/31/2017",(WaterlooNDD!$C:$C),("PHOSPHORUS, TOTAL (AS P)"),(WaterlooNDD!$H:$H),("RAW WASTE"),(WaterlooNDD!$G:$G),("MG/L"))</f>
        <v>13.696977373076926</v>
      </c>
      <c r="E44" s="116">
        <f>COUNTIFS(WaterlooNDD!$E:$E,"&gt;=1/1/2017",WaterlooNDD!$E:$E,"&lt;=12/31/2017",WaterlooNDD!$C:$C,"PHOSPHORUS, TOTAL (AS P)",WaterlooNDD!$G:$G,"LBS/DAY",WaterlooNDD!$H:$H,"RAW WASTE")</f>
        <v>52</v>
      </c>
      <c r="F44" s="119">
        <f>AVERAGEIFS(WaterlooNDD!$F:$F,WaterlooNDD!$E:$E,"&gt;=1/1/2017",WaterlooNDD!$E:$E,"&lt;=12/31/2017",(WaterlooNDD!$C:$C),("PHOSPHORUS, TOTAL (AS P)"),(WaterlooNDD!$H:$H),("RAW WASTE"),(WaterlooNDD!$G:$G),("LBS/DAY"))</f>
        <v>1520.103989307692</v>
      </c>
      <c r="G44" s="119">
        <f>SUMIFS(WaterlooNDD!$F:$F,WaterlooNDD!$E:$E,"&gt;=1/1/2017",WaterlooNDD!$E:$E,"&lt;=12/31/2017",(WaterlooNDD!$C:$C),("PHOSPHORUS, TOTAL (AS P)"),(WaterlooNDD!$H:$H),("RAW WASTE"),(WaterlooNDD!$G:$G),("LBS/DAY"))</f>
        <v>79045.407443999982</v>
      </c>
      <c r="H44" s="120">
        <f>F44*365</f>
        <v>554837.95609730761</v>
      </c>
      <c r="I44" s="116">
        <f>COUNTIFS(WaterlooNDD!$E:$E,"&gt;=1/1/2017",WaterlooNDD!$E:$E,"&lt;=12/31/2017",WaterlooNDD!$C:$C,"PHOSPHORUS, TOTAL (AS P)",WaterlooNDD!$G:$G,"MG/L",WaterlooNDD!$H:$H,"FINAL EFFLUENT")</f>
        <v>52</v>
      </c>
      <c r="J44" s="121">
        <f>AVERAGEIFS(WaterlooNDD!$F:$F,WaterlooNDD!$E:$E,"&gt;=1/1/2017",WaterlooNDD!$E:$E,"&lt;=12/31/2017",(WaterlooNDD!$C:$C),("PHOSPHORUS, TOTAL (AS P)"),(WaterlooNDD!$H:$H),("FINAL EFFLUENT"),(WaterlooNDD!$G:$G),("MG/L"))</f>
        <v>9.2600000000000016</v>
      </c>
      <c r="K44" s="116">
        <f>COUNTIFS(WaterlooNDD!$E:$E,"&gt;=1/1/2017",WaterlooNDD!$E:$E,"&lt;=12/31/2017",WaterlooNDD!$C:$C,"PHOSPHORUS, TOTAL (AS P)",WaterlooNDD!$G:$G,"LBS/DAY",WaterlooNDD!$H:$H,"FINAL EFFLUENT")</f>
        <v>52</v>
      </c>
      <c r="L44" s="122">
        <f>AVERAGEIFS((WaterlooNDD!$F:$F),WaterlooNDD!$E:$E,"&gt;=1/1/2017",WaterlooNDD!$E:$E,"&lt;=12/31/2017",(WaterlooNDD!$C:$C),("PHOSPHORUS, TOTAL (AS P)"),(WaterlooNDD!$H:$H),("FINAL EFFLUENT"),(WaterlooNDD!$G:$G),("LBS/DAY"))</f>
        <v>984.50803453846186</v>
      </c>
      <c r="M44" s="119">
        <f>SUMIFS(WaterlooNDD!$F:$F,WaterlooNDD!$E:$E,"&gt;=1/1/2017",WaterlooNDD!$E:$E,"&lt;=12/31/2017",(WaterlooNDD!$C:$C),("PHOSPHORUS, TOTAL (AS P)"),(WaterlooNDD!$H:$H),("FINAL EFFLUENT"),(WaterlooNDD!$G:$G),("LBS/DAY"))</f>
        <v>51194.417796000016</v>
      </c>
      <c r="N44" s="213">
        <f>L44*365</f>
        <v>359345.43260653858</v>
      </c>
      <c r="O44" s="123">
        <f>((D44-J44))/D44</f>
        <v>0.32393843197830952</v>
      </c>
      <c r="P44" s="124">
        <f>((F44-L44))/F44</f>
        <v>0.35234165460822131</v>
      </c>
      <c r="Q44" s="125">
        <f>(F44-L44)*365</f>
        <v>195492.523490769</v>
      </c>
    </row>
    <row r="45" spans="1:17" s="48" customFormat="1" x14ac:dyDescent="0.2">
      <c r="A45" s="243"/>
      <c r="B45" s="269" t="s">
        <v>50</v>
      </c>
      <c r="C45" s="174">
        <f>COUNTIFS(WaterlooNDD!$E:$E,"&gt;=5/1/2017",WaterlooNDD!$E:$E,"&lt;=4/30/2018",WaterlooNDD!$C:$C,"PHOSPHORUS, TOTAL (AS P)",WaterlooNDD!$G:$G,"MG/L",WaterlooNDD!$H:$H,"RAW WASTE")</f>
        <v>52</v>
      </c>
      <c r="D45" s="175">
        <f>AVERAGEIFS(WaterlooNDD!$F:$F,WaterlooNDD!$E:$E,"&gt;=5/1/2017",WaterlooNDD!$E:$E,"&lt;=4/30/2018",(WaterlooNDD!$C:$C),("PHOSPHORUS, TOTAL (AS P)"),(WaterlooNDD!$H:$H),("RAW WASTE"),(WaterlooNDD!$G:$G),("MG/L"))</f>
        <v>15.266818969230767</v>
      </c>
      <c r="E45" s="174">
        <f>COUNTIFS(WaterlooNDD!$E:$E,"&gt;=5/1/2017",WaterlooNDD!$E:$E,"&lt;=4/30/2018",WaterlooNDD!$C:$C,"PHOSPHORUS, TOTAL (AS P)",WaterlooNDD!$G:$G,"LBS/DAY",WaterlooNDD!$H:$H,"RAW WASTE")</f>
        <v>52</v>
      </c>
      <c r="F45" s="177">
        <f>AVERAGEIFS(WaterlooNDD!$F:$F,WaterlooNDD!$E:$E,"&gt;=5/1/2017",WaterlooNDD!$E:$E,"&lt;=4/30/2018",(WaterlooNDD!$C:$C),("PHOSPHORUS, TOTAL (AS P)"),(WaterlooNDD!$H:$H),("RAW WASTE"),(WaterlooNDD!$G:$G),("LBS/DAY"))</f>
        <v>1574.0929135500005</v>
      </c>
      <c r="G45" s="177">
        <f>SUMIFS(WaterlooNDD!$F:$F,WaterlooNDD!$E:$E,"&gt;=5/1/2017",WaterlooNDD!$E:$E,"&lt;=4/30/2018",(WaterlooNDD!$C:$C),("PHOSPHORUS, TOTAL (AS P)"),(WaterlooNDD!$H:$H),("RAW WASTE"),(WaterlooNDD!$G:$G),("LBS/DAY"))</f>
        <v>81852.831504600021</v>
      </c>
      <c r="H45" s="178">
        <f>F45*365</f>
        <v>574543.91344575013</v>
      </c>
      <c r="I45" s="174">
        <f>COUNTIFS(WaterlooNDD!$E:$E,"&gt;=5/1/2017",WaterlooNDD!$E:$E,"&lt;=4/30/2018",WaterlooNDD!$C:$C,"PHOSPHORUS, TOTAL (AS P)",WaterlooNDD!$G:$G,"MG/L",WaterlooNDD!$H:$H,"FINAL EFFLUENT")</f>
        <v>52</v>
      </c>
      <c r="J45" s="175">
        <f>AVERAGEIFS(WaterlooNDD!$F:$F,WaterlooNDD!$E:$E,"&gt;=5/1/2017",WaterlooNDD!$E:$E,"&lt;=4/30/2018",(WaterlooNDD!$C:$C),("PHOSPHORUS, TOTAL (AS P)"),(WaterlooNDD!$H:$H),("FINAL EFFLUENT"),(WaterlooNDD!$G:$G),("MG/L"))</f>
        <v>10.114615384615385</v>
      </c>
      <c r="K45" s="174">
        <f>COUNTIFS(WaterlooNDD!$E:$E,"&gt;=5/1/2017",WaterlooNDD!$E:$E,"&lt;=4/30/2018",WaterlooNDD!$C:$C,"PHOSPHORUS, TOTAL (AS P)",WaterlooNDD!$G:$G,"LBS/DAY",WaterlooNDD!$H:$H,"FINAL EFFLUENT")</f>
        <v>52</v>
      </c>
      <c r="L45" s="177">
        <f>AVERAGEIFS((WaterlooNDD!$F:$F),WaterlooNDD!$E:$E,"&gt;=5/1/2017",WaterlooNDD!$E:$E,"&lt;=4/30/2018",(WaterlooNDD!$C:$C),("PHOSPHORUS, TOTAL (AS P)"),(WaterlooNDD!$H:$H),("FINAL EFFLUENT"),(WaterlooNDD!$G:$G),("LBS/DAY"))</f>
        <v>1004.5416608076922</v>
      </c>
      <c r="M45" s="177">
        <f>SUMIFS(WaterlooNDD!$F:$F,WaterlooNDD!$E:$E,"&gt;=5/1/2017",WaterlooNDD!$E:$E,"&lt;=4/30/2018",(WaterlooNDD!$C:$C),("PHOSPHORUS, TOTAL (AS P)"),(WaterlooNDD!$H:$H),("FINAL EFFLUENT"),(WaterlooNDD!$G:$G),("LBS/DAY"))</f>
        <v>52236.166361999996</v>
      </c>
      <c r="N45" s="178">
        <f>L45*365</f>
        <v>366657.70619480766</v>
      </c>
      <c r="O45" s="179">
        <f>((D45-J45))/D45</f>
        <v>0.33747721742160547</v>
      </c>
      <c r="P45" s="180">
        <f>((F45-L45))/F45</f>
        <v>0.36182822998536845</v>
      </c>
      <c r="Q45" s="181">
        <f>(F45-L45)*365</f>
        <v>207886.20725094253</v>
      </c>
    </row>
    <row r="46" spans="1:17" s="48" customFormat="1" ht="5.25" customHeight="1" x14ac:dyDescent="0.2">
      <c r="A46" s="243"/>
      <c r="B46" s="109"/>
      <c r="C46" s="110"/>
      <c r="D46" s="111"/>
      <c r="E46" s="110"/>
      <c r="F46" s="112"/>
      <c r="G46" s="112"/>
      <c r="H46" s="112"/>
      <c r="I46" s="110"/>
      <c r="J46" s="111"/>
      <c r="K46" s="110"/>
      <c r="L46" s="111"/>
      <c r="M46" s="112"/>
      <c r="N46" s="112"/>
      <c r="O46" s="113"/>
      <c r="P46" s="113"/>
      <c r="Q46" s="114"/>
    </row>
    <row r="47" spans="1:17" s="159" customFormat="1" x14ac:dyDescent="0.2">
      <c r="A47" s="243"/>
      <c r="B47" s="149" t="s">
        <v>62</v>
      </c>
      <c r="C47" s="150">
        <f>COUNTIFS(WaterlooNDD!$E:$E,"&gt;=1/1/2018",WaterlooNDD!$E:$E,"&lt;=12/31/2018",WaterlooNDD!$C:$C,"PHOSPHORUS, TOTAL (AS P)",WaterlooNDD!$G:$G,"MG/L",WaterlooNDD!$H:$H,"RAW WASTE")</f>
        <v>17</v>
      </c>
      <c r="D47" s="151">
        <f>AVERAGEIFS(WaterlooNDD!$F:$F,WaterlooNDD!$E:$E,"&gt;=1/1/2018",WaterlooNDD!$E:$E,"&lt;=12/31/2018",(WaterlooNDD!$C:$C),("PHOSPHORUS, TOTAL (AS P)"),(WaterlooNDD!$H:$H),("RAW WASTE"),(WaterlooNDD!$G:$G),("MG/L"))</f>
        <v>15.433044882352942</v>
      </c>
      <c r="E47" s="150">
        <f>COUNTIFS(WaterlooNDD!$E:$E,"&gt;=1/1/2018",WaterlooNDD!$E:$E,"&lt;=12/31/2018",WaterlooNDD!$C:$C,"PHOSPHORUS, TOTAL (AS P)",WaterlooNDD!$G:$G,"LBS/DAY",WaterlooNDD!$H:$H,"RAW WASTE")</f>
        <v>17</v>
      </c>
      <c r="F47" s="152">
        <f>AVERAGEIFS(WaterlooNDD!$F:$F,WaterlooNDD!$E:$E,"&gt;=1/1/2018",WaterlooNDD!$E:$E,"&lt;=12/31/2018",(WaterlooNDD!$C:$C),("PHOSPHORUS, TOTAL (AS P)"),(WaterlooNDD!$H:$H),("RAW WASTE"),(WaterlooNDD!$G:$G),("LBS/DAY"))</f>
        <v>1614.9164347411763</v>
      </c>
      <c r="G47" s="152">
        <f>SUMIFS(WaterlooNDD!$F:$F,WaterlooNDD!$E:$E,"&gt;=1/1/2018",WaterlooNDD!$E:$E,"&lt;=12/31/2018",(WaterlooNDD!$C:$C),("PHOSPHORUS, TOTAL (AS P)"),(WaterlooNDD!$H:$H),("RAW WASTE"),(WaterlooNDD!$G:$G),("LBS/DAY"))</f>
        <v>27453.579390599996</v>
      </c>
      <c r="H47" s="153">
        <f>F47*365</f>
        <v>589444.4986805293</v>
      </c>
      <c r="I47" s="150">
        <f>COUNTIFS(WaterlooNDD!$E:$E,"&gt;=1/1/2018",WaterlooNDD!$E:$E,"&lt;=12/31/2018",WaterlooNDD!$C:$C,"PHOSPHORUS, TOTAL (AS P)",WaterlooNDD!$G:$G,"MG/L",WaterlooNDD!$H:$H,"FINAL EFFLUENT")</f>
        <v>17</v>
      </c>
      <c r="J47" s="154">
        <f>AVERAGEIFS(WaterlooNDD!$F:$F,WaterlooNDD!$E:$E,"&gt;=1/1/2018",WaterlooNDD!$E:$E,"&lt;=12/31/2018",(WaterlooNDD!$C:$C),("PHOSPHORUS, TOTAL (AS P)"),(WaterlooNDD!$H:$H),("FINAL EFFLUENT"),(WaterlooNDD!$G:$G),("MG/L"))</f>
        <v>9.9829411764705895</v>
      </c>
      <c r="K47" s="150">
        <f>COUNTIFS(WaterlooNDD!$E:$E,"&gt;=1/1/2018",WaterlooNDD!$E:$E,"&lt;=12/31/2018",WaterlooNDD!$C:$C,"PHOSPHORUS, TOTAL (AS P)",WaterlooNDD!$G:$G,"LBS/DAY",WaterlooNDD!$H:$H,"FINAL EFFLUENT")</f>
        <v>17</v>
      </c>
      <c r="L47" s="209">
        <f>AVERAGEIFS((WaterlooNDD!$F:$F),WaterlooNDD!$E:$E,"&gt;=1/1/2018",WaterlooNDD!$E:$E,"&lt;=12/31/2018",(WaterlooNDD!$C:$C),("PHOSPHORUS, TOTAL (AS P)"),(WaterlooNDD!$H:$H),("FINAL EFFLUENT"),(WaterlooNDD!$G:$G),("LBS/DAY"))</f>
        <v>975.92732364705898</v>
      </c>
      <c r="M47" s="152">
        <f>SUMIFS(WaterlooNDD!$F:$F,WaterlooNDD!$E:$E,"&gt;=1/1/2018",WaterlooNDD!$E:$E,"&lt;=12/31/2018",(WaterlooNDD!$C:$C),("PHOSPHORUS, TOTAL (AS P)"),(WaterlooNDD!$H:$H),("FINAL EFFLUENT"),(WaterlooNDD!$G:$G),("LBS/DAY"))</f>
        <v>16590.764502000002</v>
      </c>
      <c r="N47" s="155">
        <f>L47*365</f>
        <v>356213.47313117655</v>
      </c>
      <c r="O47" s="156">
        <f>((D47-J47))/D47</f>
        <v>0.35314506939031348</v>
      </c>
      <c r="P47" s="157">
        <f>((F47-L47))/F47</f>
        <v>0.39567936603266318</v>
      </c>
      <c r="Q47" s="158">
        <f>(F47-L47)*365</f>
        <v>233231.02554935284</v>
      </c>
    </row>
    <row r="48" spans="1:17" s="48" customFormat="1" ht="12" thickBot="1" x14ac:dyDescent="0.25">
      <c r="A48" s="244"/>
      <c r="B48" s="160" t="s">
        <v>63</v>
      </c>
      <c r="C48" s="161">
        <f>COUNTIFS(WaterlooNDD!$E:$E,"&gt;=5/1/2018",WaterlooNDD!$E:$E,"&lt;=4/30/2019",WaterlooNDD!$C:$C,"PHOSPHORUS, TOTAL (AS P)",WaterlooNDD!$G:$G,"MG/L",WaterlooNDD!$H:$H,"RAW WASTE")</f>
        <v>0</v>
      </c>
      <c r="D48" s="162" t="e">
        <f>AVERAGEIFS(WaterlooNDD!$F:$F,WaterlooNDD!$E:$E,"&gt;=5/1/2018",WaterlooNDD!$E:$E,"&lt;=4/30/2019",(WaterlooNDD!$C:$C),("PHOSPHORUS, TOTAL (AS P)"),(WaterlooNDD!$H:$H),("RAW WASTE"),(WaterlooNDD!$G:$G),("MG/L"))</f>
        <v>#DIV/0!</v>
      </c>
      <c r="E48" s="161">
        <f>COUNTIFS(WaterlooNDD!$E:$E,"&gt;=5/1/2018",WaterlooNDD!$E:$E,"&lt;=4/30/2019",WaterlooNDD!$C:$C,"PHOSPHORUS, TOTAL (AS P)",WaterlooNDD!$G:$G,"LBS/DAY",WaterlooNDD!$H:$H,"RAW WASTE")</f>
        <v>0</v>
      </c>
      <c r="F48" s="163" t="e">
        <f>AVERAGEIFS(WaterlooNDD!$F:$F,WaterlooNDD!$E:$E,"&gt;=5/1/2018",WaterlooNDD!$E:$E,"&lt;=4/30/2019",(WaterlooNDD!$C:$C),("PHOSPHORUS, TOTAL (AS P)"),(WaterlooNDD!$H:$H),("RAW WASTE"),(WaterlooNDD!$G:$G),("LBS/DAY"))</f>
        <v>#DIV/0!</v>
      </c>
      <c r="G48" s="163">
        <f>SUMIFS(WaterlooNDD!$F:$F,WaterlooNDD!$E:$E,"&gt;=5/1/2018",WaterlooNDD!$E:$E,"&lt;=4/30/2019",(WaterlooNDD!$C:$C),("PHOSPHORUS, TOTAL (AS P)"),(WaterlooNDD!$H:$H),("RAW WASTE"),(WaterlooNDD!$G:$G),("LBS/DAY"))</f>
        <v>0</v>
      </c>
      <c r="H48" s="164" t="e">
        <f>F48*365</f>
        <v>#DIV/0!</v>
      </c>
      <c r="I48" s="161">
        <f>COUNTIFS(WaterlooNDD!$E:$E,"&gt;=5/1/2018",WaterlooNDD!$E:$E,"&lt;=4/30/2019",WaterlooNDD!$C:$C,"PHOSPHORUS, TOTAL (AS P)",WaterlooNDD!$G:$G,"MG/L",WaterlooNDD!$H:$H,"FINAL EFFLUENT")</f>
        <v>0</v>
      </c>
      <c r="J48" s="162" t="e">
        <f>AVERAGEIFS(WaterlooNDD!$F:$F,WaterlooNDD!$E:$E,"&gt;=5/1/2018",WaterlooNDD!$E:$E,"&lt;=4/30/2019",(WaterlooNDD!$C:$C),("PHOSPHORUS, TOTAL (AS P)"),(WaterlooNDD!$H:$H),("FINAL EFFLUENT"),(WaterlooNDD!$G:$G),("MG/L"))</f>
        <v>#DIV/0!</v>
      </c>
      <c r="K48" s="161">
        <f>COUNTIFS(WaterlooNDD!$E:$E,"&gt;=5/1/2018",WaterlooNDD!$E:$E,"&lt;=4/30/2019",WaterlooNDD!$C:$C,"PHOSPHORUS, TOTAL (AS P)",WaterlooNDD!$G:$G,"LBS/DAY",WaterlooNDD!$H:$H,"FINAL EFFLUENT")</f>
        <v>0</v>
      </c>
      <c r="L48" s="208" t="e">
        <f>AVERAGEIFS((WaterlooNDD!$F:$F),WaterlooNDD!$E:$E,"&gt;=5/1/2018",WaterlooNDD!$E:$E,"&lt;=4/30/2019",(WaterlooNDD!$C:$C),("PHOSPHORUS, TOTAL (AS P)"),(WaterlooNDD!$H:$H),("FINAL EFFLUENT"),(WaterlooNDD!$G:$G),("LBS/DAY"))</f>
        <v>#DIV/0!</v>
      </c>
      <c r="M48" s="163">
        <f>SUMIFS(WaterlooNDD!$F:$F,WaterlooNDD!$E:$E,"&gt;=5/1/2018",WaterlooNDD!$E:$E,"&lt;=4/30/2019",(WaterlooNDD!$C:$C),("PHOSPHORUS, TOTAL (AS P)"),(WaterlooNDD!$H:$H),("FINAL EFFLUENT"),(WaterlooNDD!$G:$G),("LBS/DAY"))</f>
        <v>0</v>
      </c>
      <c r="N48" s="164" t="e">
        <f>L48*365</f>
        <v>#DIV/0!</v>
      </c>
      <c r="O48" s="165" t="e">
        <f>((D48-J48))/D48</f>
        <v>#DIV/0!</v>
      </c>
      <c r="P48" s="166" t="e">
        <f>((F48-L48))/F48</f>
        <v>#DIV/0!</v>
      </c>
      <c r="Q48" s="167" t="e">
        <f>(F48-L48)*365</f>
        <v>#DIV/0!</v>
      </c>
    </row>
    <row r="49" spans="16:17" x14ac:dyDescent="0.2">
      <c r="P49" s="129" t="s">
        <v>51</v>
      </c>
      <c r="Q49" s="112">
        <f>_xlfn.STDEV.P(Q42,Q45)</f>
        <v>8529.0995842212578</v>
      </c>
    </row>
    <row r="50" spans="16:17" x14ac:dyDescent="0.2">
      <c r="P50" s="129" t="s">
        <v>52</v>
      </c>
      <c r="Q50" s="130">
        <f>(Q49/(AVERAGE(Q42,Q45)))</f>
        <v>4.2783022306282295E-2</v>
      </c>
    </row>
    <row r="51" spans="16:17" x14ac:dyDescent="0.2">
      <c r="P51" s="129" t="s">
        <v>53</v>
      </c>
      <c r="Q51" s="112">
        <f>_xlfn.STDEV.P(Q44)</f>
        <v>0</v>
      </c>
    </row>
    <row r="52" spans="16:17" x14ac:dyDescent="0.2">
      <c r="P52" s="129" t="s">
        <v>54</v>
      </c>
      <c r="Q52" s="130">
        <f>Q51/(AVERAGE(Q44))</f>
        <v>0</v>
      </c>
    </row>
    <row r="53" spans="16:17" x14ac:dyDescent="0.2">
      <c r="P53" s="129" t="s">
        <v>55</v>
      </c>
      <c r="Q53" s="131">
        <f>_xlfn.STDEV.P(Q42:Q45)</f>
        <v>7198.3274292745782</v>
      </c>
    </row>
    <row r="54" spans="16:17" x14ac:dyDescent="0.2">
      <c r="P54" s="129" t="s">
        <v>56</v>
      </c>
      <c r="Q54" s="113">
        <f>Q53/(AVERAGE(Q42:Q45))</f>
        <v>3.63425401915752E-2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WalcottNDD</vt:lpstr>
      <vt:lpstr>WalcottCalcs</vt:lpstr>
      <vt:lpstr>WapelloNDD</vt:lpstr>
      <vt:lpstr>WapelloCalcs</vt:lpstr>
      <vt:lpstr>WaterlooNDD</vt:lpstr>
      <vt:lpstr>WaterlooCalcs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2017-04-14T17:24:55Z</dcterms:created>
  <dcterms:modified xsi:type="dcterms:W3CDTF">2019-02-22T17:24:42Z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