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dnrusers\ccswerc\Desktop\Work at Home\Nutrients\2018 HTF Point Source Report\For website\"/>
    </mc:Choice>
  </mc:AlternateContent>
  <bookViews>
    <workbookView xWindow="-15" yWindow="-15" windowWidth="20280" windowHeight="3825"/>
  </bookViews>
  <sheets>
    <sheet name="DavenportNDD" sheetId="1" r:id="rId1"/>
    <sheet name="DavenportCalcs" sheetId="2" r:id="rId2"/>
    <sheet name="EagleGrNDD" sheetId="4" r:id="rId3"/>
    <sheet name="EagleGrCalcs" sheetId="5" r:id="rId4"/>
    <sheet name="EldoraNDD" sheetId="6" r:id="rId5"/>
    <sheet name="EldoraCalcs" sheetId="7" r:id="rId6"/>
  </sheets>
  <definedNames>
    <definedName name="_xlnm._FilterDatabase" localSheetId="0" hidden="1">DavenportNDD!$A$1:$N$1433</definedName>
  </definedNames>
  <calcPr calcId="162913"/>
</workbook>
</file>

<file path=xl/calcChain.xml><?xml version="1.0" encoding="utf-8"?>
<calcChain xmlns="http://schemas.openxmlformats.org/spreadsheetml/2006/main">
  <c r="C9" i="7" l="1"/>
  <c r="E9" i="7"/>
  <c r="C8" i="5"/>
  <c r="E8" i="5"/>
  <c r="M49" i="7" l="1"/>
  <c r="L49" i="7"/>
  <c r="K49" i="7"/>
  <c r="J49" i="7"/>
  <c r="I49" i="7"/>
  <c r="G49" i="7"/>
  <c r="F49" i="7"/>
  <c r="E49" i="7"/>
  <c r="D49" i="7"/>
  <c r="C49" i="7"/>
  <c r="M48" i="7"/>
  <c r="L48" i="7"/>
  <c r="K48" i="7"/>
  <c r="J48" i="7"/>
  <c r="I48" i="7"/>
  <c r="G48" i="7"/>
  <c r="F48" i="7"/>
  <c r="E48" i="7"/>
  <c r="D48" i="7"/>
  <c r="C48" i="7"/>
  <c r="M46" i="7"/>
  <c r="L46" i="7"/>
  <c r="K46" i="7"/>
  <c r="J46" i="7"/>
  <c r="I46" i="7"/>
  <c r="G46" i="7"/>
  <c r="F46" i="7"/>
  <c r="E46" i="7"/>
  <c r="D46" i="7"/>
  <c r="C46" i="7"/>
  <c r="M45" i="7"/>
  <c r="L45" i="7"/>
  <c r="K45" i="7"/>
  <c r="J45" i="7"/>
  <c r="I45" i="7"/>
  <c r="G45" i="7"/>
  <c r="F45" i="7"/>
  <c r="E45" i="7"/>
  <c r="D45" i="7"/>
  <c r="C45" i="7"/>
  <c r="M43" i="7"/>
  <c r="L43" i="7"/>
  <c r="K43" i="7"/>
  <c r="J43" i="7"/>
  <c r="I43" i="7"/>
  <c r="G43" i="7"/>
  <c r="F43" i="7"/>
  <c r="E43" i="7"/>
  <c r="D43" i="7"/>
  <c r="C43" i="7"/>
  <c r="M42" i="7"/>
  <c r="L42" i="7"/>
  <c r="K42" i="7"/>
  <c r="J42" i="7"/>
  <c r="I42" i="7"/>
  <c r="G42" i="7"/>
  <c r="F42" i="7"/>
  <c r="E42" i="7"/>
  <c r="D42" i="7"/>
  <c r="C42" i="7"/>
  <c r="M40" i="7"/>
  <c r="L40" i="7"/>
  <c r="K40" i="7"/>
  <c r="J40" i="7"/>
  <c r="I40" i="7"/>
  <c r="G40" i="7"/>
  <c r="F40" i="7"/>
  <c r="E40" i="7"/>
  <c r="D40" i="7"/>
  <c r="C40" i="7"/>
  <c r="M39" i="7"/>
  <c r="L39" i="7"/>
  <c r="K39" i="7"/>
  <c r="J39" i="7"/>
  <c r="I39" i="7"/>
  <c r="G39" i="7"/>
  <c r="F39" i="7"/>
  <c r="E39" i="7"/>
  <c r="D39" i="7"/>
  <c r="C39" i="7"/>
  <c r="M37" i="7"/>
  <c r="L37" i="7"/>
  <c r="K37" i="7"/>
  <c r="J37" i="7"/>
  <c r="I37" i="7"/>
  <c r="G37" i="7"/>
  <c r="F37" i="7"/>
  <c r="E37" i="7"/>
  <c r="D37" i="7"/>
  <c r="C37" i="7"/>
  <c r="M35" i="7"/>
  <c r="L35" i="7"/>
  <c r="K35" i="7"/>
  <c r="J35" i="7"/>
  <c r="I35" i="7"/>
  <c r="G35" i="7"/>
  <c r="F35" i="7"/>
  <c r="E35" i="7"/>
  <c r="D35" i="7"/>
  <c r="C35" i="7"/>
  <c r="M23" i="7"/>
  <c r="L23" i="7"/>
  <c r="K23" i="7"/>
  <c r="J23" i="7"/>
  <c r="I23" i="7"/>
  <c r="G23" i="7"/>
  <c r="F23" i="7"/>
  <c r="E23" i="7"/>
  <c r="D23" i="7"/>
  <c r="C23" i="7"/>
  <c r="M22" i="7"/>
  <c r="L22" i="7"/>
  <c r="K22" i="7"/>
  <c r="J22" i="7"/>
  <c r="I22" i="7"/>
  <c r="G22" i="7"/>
  <c r="F22" i="7"/>
  <c r="E22" i="7"/>
  <c r="D22" i="7"/>
  <c r="C22" i="7"/>
  <c r="M20" i="7"/>
  <c r="L20" i="7"/>
  <c r="K20" i="7"/>
  <c r="J20" i="7"/>
  <c r="I20" i="7"/>
  <c r="G20" i="7"/>
  <c r="F20" i="7"/>
  <c r="E20" i="7"/>
  <c r="D20" i="7"/>
  <c r="C20" i="7"/>
  <c r="M19" i="7"/>
  <c r="L19" i="7"/>
  <c r="K19" i="7"/>
  <c r="J19" i="7"/>
  <c r="I19" i="7"/>
  <c r="G19" i="7"/>
  <c r="F19" i="7"/>
  <c r="E19" i="7"/>
  <c r="D19" i="7"/>
  <c r="C19" i="7"/>
  <c r="M17" i="7"/>
  <c r="L17" i="7"/>
  <c r="K17" i="7"/>
  <c r="J17" i="7"/>
  <c r="I17" i="7"/>
  <c r="G17" i="7"/>
  <c r="F17" i="7"/>
  <c r="E17" i="7"/>
  <c r="D17" i="7"/>
  <c r="C17" i="7"/>
  <c r="M16" i="7"/>
  <c r="L16" i="7"/>
  <c r="K16" i="7"/>
  <c r="J16" i="7"/>
  <c r="I16" i="7"/>
  <c r="G16" i="7"/>
  <c r="F16" i="7"/>
  <c r="E16" i="7"/>
  <c r="D16" i="7"/>
  <c r="C16" i="7"/>
  <c r="M14" i="7"/>
  <c r="L14" i="7"/>
  <c r="K14" i="7"/>
  <c r="J14" i="7"/>
  <c r="I14" i="7"/>
  <c r="G14" i="7"/>
  <c r="F14" i="7"/>
  <c r="P14" i="7" s="1"/>
  <c r="E14" i="7"/>
  <c r="D14" i="7"/>
  <c r="C14" i="7"/>
  <c r="M13" i="7"/>
  <c r="L13" i="7"/>
  <c r="K13" i="7"/>
  <c r="J13" i="7"/>
  <c r="I13" i="7"/>
  <c r="G13" i="7"/>
  <c r="F13" i="7"/>
  <c r="E13" i="7"/>
  <c r="D13" i="7"/>
  <c r="C13" i="7"/>
  <c r="M11" i="7"/>
  <c r="L11" i="7"/>
  <c r="K11" i="7"/>
  <c r="J11" i="7"/>
  <c r="I11" i="7"/>
  <c r="G11" i="7"/>
  <c r="F11" i="7"/>
  <c r="P11" i="7" s="1"/>
  <c r="E11" i="7"/>
  <c r="D11" i="7"/>
  <c r="C11" i="7"/>
  <c r="M9" i="7"/>
  <c r="L9" i="7"/>
  <c r="N9" i="7" s="1"/>
  <c r="K9" i="7"/>
  <c r="J9" i="7"/>
  <c r="I9" i="7"/>
  <c r="G9" i="7"/>
  <c r="F9" i="7"/>
  <c r="Q9" i="7" s="1"/>
  <c r="D9" i="7"/>
  <c r="O9" i="7" s="1"/>
  <c r="B3" i="7"/>
  <c r="B2" i="7"/>
  <c r="O49" i="7"/>
  <c r="N49" i="7"/>
  <c r="H49" i="7"/>
  <c r="Q49" i="7"/>
  <c r="Q48" i="7"/>
  <c r="N48" i="7"/>
  <c r="O48" i="7"/>
  <c r="P48" i="7"/>
  <c r="Q46" i="7"/>
  <c r="O46" i="7"/>
  <c r="N46" i="7"/>
  <c r="H46" i="7"/>
  <c r="Q45" i="7"/>
  <c r="O45" i="7"/>
  <c r="N45" i="7"/>
  <c r="P45" i="7"/>
  <c r="Q43" i="7"/>
  <c r="O43" i="7"/>
  <c r="N43" i="7"/>
  <c r="P43" i="7"/>
  <c r="Q42" i="7"/>
  <c r="O42" i="7"/>
  <c r="N42" i="7"/>
  <c r="H42" i="7"/>
  <c r="Q40" i="7"/>
  <c r="Q50" i="7" s="1"/>
  <c r="Q51" i="7" s="1"/>
  <c r="O40" i="7"/>
  <c r="N40" i="7"/>
  <c r="P40" i="7"/>
  <c r="Q39" i="7"/>
  <c r="O39" i="7"/>
  <c r="N39" i="7"/>
  <c r="H39" i="7"/>
  <c r="Q37" i="7"/>
  <c r="O37" i="7"/>
  <c r="N37" i="7"/>
  <c r="P37" i="7"/>
  <c r="Q35" i="7"/>
  <c r="O35" i="7"/>
  <c r="N35" i="7"/>
  <c r="H35" i="7"/>
  <c r="Q23" i="7"/>
  <c r="O23" i="7"/>
  <c r="N23" i="7"/>
  <c r="H23" i="7"/>
  <c r="Q22" i="7"/>
  <c r="O22" i="7"/>
  <c r="N22" i="7"/>
  <c r="P22" i="7"/>
  <c r="Q20" i="7"/>
  <c r="O20" i="7"/>
  <c r="N20" i="7"/>
  <c r="H20" i="7"/>
  <c r="Q19" i="7"/>
  <c r="O19" i="7"/>
  <c r="N19" i="7"/>
  <c r="P19" i="7"/>
  <c r="Q17" i="7"/>
  <c r="O17" i="7"/>
  <c r="N17" i="7"/>
  <c r="P17" i="7"/>
  <c r="Q16" i="7"/>
  <c r="O16" i="7"/>
  <c r="N16" i="7"/>
  <c r="H16" i="7"/>
  <c r="Q14" i="7"/>
  <c r="O14" i="7"/>
  <c r="N14" i="7"/>
  <c r="Q13" i="7"/>
  <c r="O13" i="7"/>
  <c r="N13" i="7"/>
  <c r="H13" i="7"/>
  <c r="N11" i="7"/>
  <c r="Q11" i="7" l="1"/>
  <c r="O11" i="7"/>
  <c r="H9" i="7"/>
  <c r="E2" i="7"/>
  <c r="Q28" i="7"/>
  <c r="Q29" i="7" s="1"/>
  <c r="Q24" i="7"/>
  <c r="Q25" i="7" s="1"/>
  <c r="Q54" i="7"/>
  <c r="Q55" i="7" s="1"/>
  <c r="Q52" i="7"/>
  <c r="Q53" i="7" s="1"/>
  <c r="Q26" i="7"/>
  <c r="Q27" i="7" s="1"/>
  <c r="P9" i="7"/>
  <c r="P13" i="7"/>
  <c r="P16" i="7"/>
  <c r="P20" i="7"/>
  <c r="P23" i="7"/>
  <c r="P35" i="7"/>
  <c r="P39" i="7"/>
  <c r="P42" i="7"/>
  <c r="P46" i="7"/>
  <c r="P49" i="7"/>
  <c r="H11" i="7"/>
  <c r="H14" i="7"/>
  <c r="H17" i="7"/>
  <c r="H19" i="7"/>
  <c r="H22" i="7"/>
  <c r="H37" i="7"/>
  <c r="H40" i="7"/>
  <c r="H43" i="7"/>
  <c r="H45" i="7"/>
  <c r="H48" i="7"/>
  <c r="L48" i="5" l="1"/>
  <c r="K48" i="5"/>
  <c r="J48" i="5"/>
  <c r="I48" i="5"/>
  <c r="G48" i="5"/>
  <c r="F48" i="5"/>
  <c r="D48" i="5"/>
  <c r="C48" i="5"/>
  <c r="M47" i="5"/>
  <c r="L47" i="5"/>
  <c r="K47" i="5"/>
  <c r="J47" i="5"/>
  <c r="I47" i="5"/>
  <c r="G47" i="5"/>
  <c r="F47" i="5"/>
  <c r="E47" i="5"/>
  <c r="D47" i="5"/>
  <c r="C47" i="5"/>
  <c r="M45" i="5"/>
  <c r="L45" i="5"/>
  <c r="K45" i="5"/>
  <c r="J45" i="5"/>
  <c r="I45" i="5"/>
  <c r="G45" i="5"/>
  <c r="F45" i="5"/>
  <c r="E45" i="5"/>
  <c r="D45" i="5"/>
  <c r="C45" i="5"/>
  <c r="M44" i="5"/>
  <c r="L44" i="5"/>
  <c r="K44" i="5"/>
  <c r="J44" i="5"/>
  <c r="I44" i="5"/>
  <c r="G44" i="5"/>
  <c r="F44" i="5"/>
  <c r="E44" i="5"/>
  <c r="D44" i="5"/>
  <c r="C44" i="5"/>
  <c r="M42" i="5"/>
  <c r="L42" i="5"/>
  <c r="K42" i="5"/>
  <c r="J42" i="5"/>
  <c r="I42" i="5"/>
  <c r="G42" i="5"/>
  <c r="F42" i="5"/>
  <c r="E42" i="5"/>
  <c r="D42" i="5"/>
  <c r="C42" i="5"/>
  <c r="M41" i="5"/>
  <c r="L41" i="5"/>
  <c r="K41" i="5"/>
  <c r="J41" i="5"/>
  <c r="I41" i="5"/>
  <c r="G41" i="5"/>
  <c r="F41" i="5"/>
  <c r="E41" i="5"/>
  <c r="D41" i="5"/>
  <c r="C41" i="5"/>
  <c r="M39" i="5"/>
  <c r="L39" i="5"/>
  <c r="K39" i="5"/>
  <c r="J39" i="5"/>
  <c r="I39" i="5"/>
  <c r="G39" i="5"/>
  <c r="F39" i="5"/>
  <c r="E39" i="5"/>
  <c r="D39" i="5"/>
  <c r="C39" i="5"/>
  <c r="M38" i="5"/>
  <c r="L38" i="5"/>
  <c r="K38" i="5"/>
  <c r="J38" i="5"/>
  <c r="I38" i="5"/>
  <c r="G38" i="5"/>
  <c r="F38" i="5"/>
  <c r="E38" i="5"/>
  <c r="D38" i="5"/>
  <c r="C38" i="5"/>
  <c r="M36" i="5"/>
  <c r="L36" i="5"/>
  <c r="K36" i="5"/>
  <c r="J36" i="5"/>
  <c r="I36" i="5"/>
  <c r="G36" i="5"/>
  <c r="F36" i="5"/>
  <c r="E36" i="5"/>
  <c r="D36" i="5"/>
  <c r="C36" i="5"/>
  <c r="M34" i="5"/>
  <c r="L34" i="5"/>
  <c r="K34" i="5"/>
  <c r="J34" i="5"/>
  <c r="I34" i="5"/>
  <c r="G34" i="5"/>
  <c r="F34" i="5"/>
  <c r="E34" i="5"/>
  <c r="D34" i="5"/>
  <c r="C34" i="5"/>
  <c r="M22" i="5"/>
  <c r="L22" i="5"/>
  <c r="K22" i="5"/>
  <c r="J22" i="5"/>
  <c r="G22" i="5"/>
  <c r="F22" i="5"/>
  <c r="E22" i="5"/>
  <c r="D22" i="5"/>
  <c r="C22" i="5"/>
  <c r="M21" i="5"/>
  <c r="L21" i="5"/>
  <c r="K21" i="5"/>
  <c r="J21" i="5"/>
  <c r="I21" i="5"/>
  <c r="G21" i="5"/>
  <c r="F21" i="5"/>
  <c r="E21" i="5"/>
  <c r="D21" i="5"/>
  <c r="C21" i="5"/>
  <c r="M19" i="5"/>
  <c r="L19" i="5"/>
  <c r="K19" i="5"/>
  <c r="J19" i="5"/>
  <c r="I19" i="5"/>
  <c r="G19" i="5"/>
  <c r="F19" i="5"/>
  <c r="E19" i="5"/>
  <c r="D19" i="5"/>
  <c r="C19" i="5"/>
  <c r="M18" i="5"/>
  <c r="L18" i="5"/>
  <c r="K18" i="5"/>
  <c r="J18" i="5"/>
  <c r="I18" i="5"/>
  <c r="G18" i="5"/>
  <c r="F18" i="5"/>
  <c r="E18" i="5"/>
  <c r="D18" i="5"/>
  <c r="C18" i="5"/>
  <c r="M16" i="5"/>
  <c r="L16" i="5"/>
  <c r="K16" i="5"/>
  <c r="J16" i="5"/>
  <c r="I16" i="5"/>
  <c r="G16" i="5"/>
  <c r="F16" i="5"/>
  <c r="E16" i="5"/>
  <c r="D16" i="5"/>
  <c r="C16" i="5"/>
  <c r="M15" i="5"/>
  <c r="L15" i="5"/>
  <c r="K15" i="5"/>
  <c r="J15" i="5"/>
  <c r="I15" i="5"/>
  <c r="G15" i="5"/>
  <c r="F15" i="5"/>
  <c r="E15" i="5"/>
  <c r="D15" i="5"/>
  <c r="C15" i="5"/>
  <c r="M13" i="5"/>
  <c r="L13" i="5"/>
  <c r="K13" i="5"/>
  <c r="J13" i="5"/>
  <c r="I13" i="5"/>
  <c r="G13" i="5"/>
  <c r="F13" i="5"/>
  <c r="E13" i="5"/>
  <c r="D13" i="5"/>
  <c r="C13" i="5"/>
  <c r="M12" i="5"/>
  <c r="L12" i="5"/>
  <c r="K12" i="5"/>
  <c r="J12" i="5"/>
  <c r="I12" i="5"/>
  <c r="G12" i="5"/>
  <c r="F12" i="5"/>
  <c r="E12" i="5"/>
  <c r="D12" i="5"/>
  <c r="C12" i="5"/>
  <c r="M10" i="5"/>
  <c r="L10" i="5"/>
  <c r="K10" i="5"/>
  <c r="J10" i="5"/>
  <c r="I10" i="5"/>
  <c r="G10" i="5"/>
  <c r="F10" i="5"/>
  <c r="E10" i="5"/>
  <c r="D10" i="5"/>
  <c r="C10" i="5"/>
  <c r="M8" i="5"/>
  <c r="L8" i="5"/>
  <c r="N8" i="5" s="1"/>
  <c r="K8" i="5"/>
  <c r="J8" i="5"/>
  <c r="I8" i="5"/>
  <c r="G8" i="5"/>
  <c r="F8" i="5"/>
  <c r="H8" i="5" s="1"/>
  <c r="D8" i="5"/>
  <c r="O8" i="5" s="1"/>
  <c r="B3" i="5"/>
  <c r="B2" i="5"/>
  <c r="H12" i="5"/>
  <c r="N10" i="5"/>
  <c r="N48" i="5"/>
  <c r="Q48" i="5"/>
  <c r="O48" i="5"/>
  <c r="N47" i="5"/>
  <c r="Q47" i="5"/>
  <c r="O47" i="5"/>
  <c r="P45" i="5"/>
  <c r="H45" i="5"/>
  <c r="Q45" i="5"/>
  <c r="O45" i="5"/>
  <c r="N44" i="5"/>
  <c r="Q44" i="5"/>
  <c r="O44" i="5"/>
  <c r="Q42" i="5"/>
  <c r="N42" i="5"/>
  <c r="O42" i="5"/>
  <c r="P42" i="5"/>
  <c r="O41" i="5"/>
  <c r="P41" i="5"/>
  <c r="H41" i="5"/>
  <c r="Q39" i="5"/>
  <c r="O39" i="5"/>
  <c r="N39" i="5"/>
  <c r="P39" i="5"/>
  <c r="Q38" i="5"/>
  <c r="O38" i="5"/>
  <c r="P38" i="5"/>
  <c r="H38" i="5"/>
  <c r="O36" i="5"/>
  <c r="P36" i="5"/>
  <c r="H36" i="5"/>
  <c r="Q34" i="5"/>
  <c r="O34" i="5"/>
  <c r="N34" i="5"/>
  <c r="P34" i="5"/>
  <c r="Q22" i="5"/>
  <c r="N22" i="5"/>
  <c r="H22" i="5"/>
  <c r="P22" i="5"/>
  <c r="O22" i="5"/>
  <c r="N21" i="5"/>
  <c r="Q21" i="5"/>
  <c r="O21" i="5"/>
  <c r="P19" i="5"/>
  <c r="H19" i="5"/>
  <c r="Q19" i="5"/>
  <c r="O19" i="5"/>
  <c r="N18" i="5"/>
  <c r="Q18" i="5"/>
  <c r="O18" i="5"/>
  <c r="N16" i="5"/>
  <c r="Q16" i="5"/>
  <c r="O16" i="5"/>
  <c r="P15" i="5"/>
  <c r="H15" i="5"/>
  <c r="Q15" i="5"/>
  <c r="O15" i="5"/>
  <c r="N13" i="5"/>
  <c r="Q13" i="5"/>
  <c r="O12" i="5"/>
  <c r="E2" i="5" l="1"/>
  <c r="Q12" i="5"/>
  <c r="Q49" i="5"/>
  <c r="Q50" i="5" s="1"/>
  <c r="O10" i="5"/>
  <c r="Q10" i="5"/>
  <c r="O13" i="5"/>
  <c r="Q23" i="5"/>
  <c r="Q24" i="5" s="1"/>
  <c r="Q27" i="5"/>
  <c r="Q28" i="5" s="1"/>
  <c r="Q25" i="5"/>
  <c r="Q26" i="5" s="1"/>
  <c r="P8" i="5"/>
  <c r="Q8" i="5"/>
  <c r="N12" i="5"/>
  <c r="H13" i="5"/>
  <c r="P13" i="5"/>
  <c r="N15" i="5"/>
  <c r="H16" i="5"/>
  <c r="P16" i="5"/>
  <c r="H18" i="5"/>
  <c r="P18" i="5"/>
  <c r="N19" i="5"/>
  <c r="H21" i="5"/>
  <c r="P21" i="5"/>
  <c r="Q41" i="5"/>
  <c r="H10" i="5"/>
  <c r="P10" i="5"/>
  <c r="H34" i="5"/>
  <c r="N36" i="5"/>
  <c r="N38" i="5"/>
  <c r="H39" i="5"/>
  <c r="N41" i="5"/>
  <c r="H42" i="5"/>
  <c r="H44" i="5"/>
  <c r="P44" i="5"/>
  <c r="N45" i="5"/>
  <c r="H47" i="5"/>
  <c r="P47" i="5"/>
  <c r="P48" i="5"/>
  <c r="P12" i="5"/>
  <c r="H48" i="5"/>
  <c r="Q53" i="5" l="1"/>
  <c r="Q54" i="5" s="1"/>
  <c r="Q51" i="5"/>
  <c r="Q52" i="5" s="1"/>
  <c r="M22" i="2" l="1"/>
  <c r="M21" i="2"/>
  <c r="L21" i="2"/>
  <c r="N21" i="2" s="1"/>
  <c r="K22" i="2"/>
  <c r="K21" i="2"/>
  <c r="J22" i="2"/>
  <c r="J21" i="2"/>
  <c r="I22" i="2"/>
  <c r="I21" i="2"/>
  <c r="G22" i="2"/>
  <c r="G21" i="2"/>
  <c r="F22" i="2"/>
  <c r="Q22" i="2" s="1"/>
  <c r="F21" i="2"/>
  <c r="H21" i="2" s="1"/>
  <c r="E22" i="2"/>
  <c r="E21" i="2"/>
  <c r="D22" i="2"/>
  <c r="D21" i="2"/>
  <c r="C22" i="2"/>
  <c r="C21" i="2"/>
  <c r="M48" i="2"/>
  <c r="M47" i="2"/>
  <c r="L48" i="2"/>
  <c r="L47" i="2"/>
  <c r="N47" i="2" s="1"/>
  <c r="K48" i="2"/>
  <c r="K47" i="2"/>
  <c r="J48" i="2"/>
  <c r="J47" i="2"/>
  <c r="I48" i="2"/>
  <c r="I47" i="2"/>
  <c r="G48" i="2"/>
  <c r="G47" i="2"/>
  <c r="F48" i="2"/>
  <c r="H48" i="2" s="1"/>
  <c r="F47" i="2"/>
  <c r="H47" i="2" s="1"/>
  <c r="E48" i="2"/>
  <c r="E47" i="2"/>
  <c r="D48" i="2"/>
  <c r="D47" i="2"/>
  <c r="C48" i="2"/>
  <c r="C47" i="2"/>
  <c r="N22" i="2"/>
  <c r="Q48" i="2" l="1"/>
  <c r="O22" i="2"/>
  <c r="O21" i="2"/>
  <c r="H22" i="2"/>
  <c r="P22" i="2"/>
  <c r="P21" i="2"/>
  <c r="Q21" i="2"/>
  <c r="P48" i="2"/>
  <c r="N48" i="2"/>
  <c r="O48" i="2"/>
  <c r="O47" i="2"/>
  <c r="P47" i="2"/>
  <c r="Q47" i="2"/>
  <c r="G10" i="2"/>
  <c r="M45" i="2" l="1"/>
  <c r="L45" i="2"/>
  <c r="K45" i="2"/>
  <c r="J45" i="2"/>
  <c r="I45" i="2"/>
  <c r="G45" i="2"/>
  <c r="F45" i="2"/>
  <c r="E45" i="2"/>
  <c r="D45" i="2"/>
  <c r="C45" i="2"/>
  <c r="M44" i="2"/>
  <c r="L44" i="2"/>
  <c r="N44" i="2" s="1"/>
  <c r="K44" i="2"/>
  <c r="J44" i="2"/>
  <c r="I44" i="2"/>
  <c r="G44" i="2"/>
  <c r="F44" i="2"/>
  <c r="E44" i="2"/>
  <c r="D44" i="2"/>
  <c r="C44" i="2"/>
  <c r="M42" i="2"/>
  <c r="L42" i="2"/>
  <c r="K42" i="2"/>
  <c r="J42" i="2"/>
  <c r="I42" i="2"/>
  <c r="G42" i="2"/>
  <c r="F42" i="2"/>
  <c r="H42" i="2" s="1"/>
  <c r="E42" i="2"/>
  <c r="D42" i="2"/>
  <c r="C42" i="2"/>
  <c r="M41" i="2"/>
  <c r="L41" i="2"/>
  <c r="N41" i="2" s="1"/>
  <c r="K41" i="2"/>
  <c r="J41" i="2"/>
  <c r="I41" i="2"/>
  <c r="G41" i="2"/>
  <c r="F41" i="2"/>
  <c r="E41" i="2"/>
  <c r="D41" i="2"/>
  <c r="C41" i="2"/>
  <c r="M39" i="2"/>
  <c r="L39" i="2"/>
  <c r="K39" i="2"/>
  <c r="J39" i="2"/>
  <c r="I39" i="2"/>
  <c r="G39" i="2"/>
  <c r="F39" i="2"/>
  <c r="E39" i="2"/>
  <c r="D39" i="2"/>
  <c r="C39" i="2"/>
  <c r="M38" i="2"/>
  <c r="L38" i="2"/>
  <c r="N38" i="2" s="1"/>
  <c r="K38" i="2"/>
  <c r="J38" i="2"/>
  <c r="I38" i="2"/>
  <c r="G38" i="2"/>
  <c r="F38" i="2"/>
  <c r="E38" i="2"/>
  <c r="D38" i="2"/>
  <c r="C38" i="2"/>
  <c r="M36" i="2"/>
  <c r="L36" i="2"/>
  <c r="K36" i="2"/>
  <c r="J36" i="2"/>
  <c r="I36" i="2"/>
  <c r="G36" i="2"/>
  <c r="F36" i="2"/>
  <c r="E36" i="2"/>
  <c r="D36" i="2"/>
  <c r="C36" i="2"/>
  <c r="M34" i="2"/>
  <c r="L34" i="2"/>
  <c r="N34" i="2" s="1"/>
  <c r="K34" i="2"/>
  <c r="J34" i="2"/>
  <c r="I34" i="2"/>
  <c r="G34" i="2"/>
  <c r="F34" i="2"/>
  <c r="H34" i="2" s="1"/>
  <c r="E34" i="2"/>
  <c r="D34" i="2"/>
  <c r="C34" i="2"/>
  <c r="M19" i="2"/>
  <c r="L19" i="2"/>
  <c r="K19" i="2"/>
  <c r="J19" i="2"/>
  <c r="I19" i="2"/>
  <c r="G19" i="2"/>
  <c r="F19" i="2"/>
  <c r="E19" i="2"/>
  <c r="D19" i="2"/>
  <c r="C19" i="2"/>
  <c r="M18" i="2"/>
  <c r="L18" i="2"/>
  <c r="N18" i="2" s="1"/>
  <c r="K18" i="2"/>
  <c r="J18" i="2"/>
  <c r="I18" i="2"/>
  <c r="G18" i="2"/>
  <c r="F18" i="2"/>
  <c r="E18" i="2"/>
  <c r="D18" i="2"/>
  <c r="C18" i="2"/>
  <c r="M16" i="2"/>
  <c r="L16" i="2"/>
  <c r="N16" i="2" s="1"/>
  <c r="K16" i="2"/>
  <c r="J16" i="2"/>
  <c r="I16" i="2"/>
  <c r="G16" i="2"/>
  <c r="F16" i="2"/>
  <c r="E16" i="2"/>
  <c r="D16" i="2"/>
  <c r="C16" i="2"/>
  <c r="M15" i="2"/>
  <c r="L15" i="2"/>
  <c r="N15" i="2" s="1"/>
  <c r="K15" i="2"/>
  <c r="J15" i="2"/>
  <c r="I15" i="2"/>
  <c r="G15" i="2"/>
  <c r="F15" i="2"/>
  <c r="H15" i="2" s="1"/>
  <c r="E15" i="2"/>
  <c r="D15" i="2"/>
  <c r="C15" i="2"/>
  <c r="M13" i="2"/>
  <c r="L13" i="2"/>
  <c r="K13" i="2"/>
  <c r="J13" i="2"/>
  <c r="I13" i="2"/>
  <c r="G13" i="2"/>
  <c r="F13" i="2"/>
  <c r="H13" i="2" s="1"/>
  <c r="E13" i="2"/>
  <c r="D13" i="2"/>
  <c r="C13" i="2"/>
  <c r="M12" i="2"/>
  <c r="L12" i="2"/>
  <c r="N12" i="2" s="1"/>
  <c r="K12" i="2"/>
  <c r="J12" i="2"/>
  <c r="I12" i="2"/>
  <c r="G12" i="2"/>
  <c r="F12" i="2"/>
  <c r="E12" i="2"/>
  <c r="D12" i="2"/>
  <c r="C12" i="2"/>
  <c r="M10" i="2"/>
  <c r="L10" i="2"/>
  <c r="N10" i="2" s="1"/>
  <c r="K10" i="2"/>
  <c r="J10" i="2"/>
  <c r="I10" i="2"/>
  <c r="F10" i="2"/>
  <c r="E10" i="2"/>
  <c r="D10" i="2"/>
  <c r="C10" i="2"/>
  <c r="M8" i="2"/>
  <c r="L8" i="2"/>
  <c r="N8" i="2" s="1"/>
  <c r="K8" i="2"/>
  <c r="J8" i="2"/>
  <c r="I8" i="2"/>
  <c r="G8" i="2"/>
  <c r="F8" i="2"/>
  <c r="H8" i="2" s="1"/>
  <c r="E8" i="2"/>
  <c r="D8" i="2"/>
  <c r="C8" i="2"/>
  <c r="B3" i="2"/>
  <c r="B2" i="2"/>
  <c r="N45" i="2"/>
  <c r="O44" i="2"/>
  <c r="N42" i="2"/>
  <c r="N39" i="2"/>
  <c r="N36" i="2"/>
  <c r="O45" i="2" l="1"/>
  <c r="O39" i="2"/>
  <c r="O42" i="2"/>
  <c r="Q45" i="2"/>
  <c r="O15" i="2"/>
  <c r="P16" i="2"/>
  <c r="O18" i="2"/>
  <c r="Q19" i="2"/>
  <c r="O34" i="2"/>
  <c r="Q36" i="2"/>
  <c r="Q39" i="2"/>
  <c r="P38" i="2"/>
  <c r="Q41" i="2"/>
  <c r="P18" i="2"/>
  <c r="Q13" i="2"/>
  <c r="O13" i="2"/>
  <c r="O16" i="2"/>
  <c r="O19" i="2"/>
  <c r="Q42" i="2"/>
  <c r="E2" i="2"/>
  <c r="P10" i="2"/>
  <c r="Q10" i="2"/>
  <c r="Q12" i="2"/>
  <c r="H19" i="2"/>
  <c r="P19" i="2"/>
  <c r="O36" i="2"/>
  <c r="H36" i="2"/>
  <c r="O38" i="2"/>
  <c r="P44" i="2"/>
  <c r="O8" i="2"/>
  <c r="O10" i="2"/>
  <c r="O12" i="2"/>
  <c r="Q15" i="2"/>
  <c r="Q16" i="2"/>
  <c r="Q34" i="2"/>
  <c r="O41" i="2"/>
  <c r="H41" i="2"/>
  <c r="P8" i="2"/>
  <c r="P15" i="2"/>
  <c r="P34" i="2"/>
  <c r="P41" i="2"/>
  <c r="Q8" i="2"/>
  <c r="P13" i="2"/>
  <c r="H12" i="2"/>
  <c r="P12" i="2"/>
  <c r="H10" i="2"/>
  <c r="N13" i="2"/>
  <c r="H16" i="2"/>
  <c r="Q18" i="2"/>
  <c r="N19" i="2"/>
  <c r="P36" i="2"/>
  <c r="Q38" i="2"/>
  <c r="P42" i="2"/>
  <c r="Q44" i="2"/>
  <c r="H39" i="2"/>
  <c r="P39" i="2"/>
  <c r="H45" i="2"/>
  <c r="P45" i="2"/>
  <c r="H18" i="2"/>
  <c r="H38" i="2"/>
  <c r="H44" i="2"/>
  <c r="Q23" i="2" l="1"/>
  <c r="Q24" i="2" s="1"/>
  <c r="Q53" i="2"/>
  <c r="Q54" i="2" s="1"/>
  <c r="Q51" i="2"/>
  <c r="Q52" i="2" s="1"/>
  <c r="Q49" i="2"/>
  <c r="Q50" i="2" s="1"/>
  <c r="Q25" i="2"/>
  <c r="Q26" i="2" s="1"/>
  <c r="Q27" i="2"/>
  <c r="Q28" i="2" s="1"/>
</calcChain>
</file>

<file path=xl/sharedStrings.xml><?xml version="1.0" encoding="utf-8"?>
<sst xmlns="http://schemas.openxmlformats.org/spreadsheetml/2006/main" count="36464" uniqueCount="90">
  <si>
    <t xml:space="preserve">Permit No </t>
  </si>
  <si>
    <t>Facility Name</t>
  </si>
  <si>
    <t>Parameter</t>
  </si>
  <si>
    <t>Limit Flag</t>
  </si>
  <si>
    <t>Mon Date</t>
  </si>
  <si>
    <t>Daily Value</t>
  </si>
  <si>
    <t>Unit</t>
  </si>
  <si>
    <t>Mon Locat</t>
  </si>
  <si>
    <t>Out #</t>
  </si>
  <si>
    <t>Mon Freq</t>
  </si>
  <si>
    <t>Facility Type</t>
  </si>
  <si>
    <t>Description</t>
  </si>
  <si>
    <t>8222003</t>
  </si>
  <si>
    <t>DAVENPORT CITY OF STP</t>
  </si>
  <si>
    <t>NITROGEN, TOTAL (AS N)</t>
  </si>
  <si>
    <t>MONITORING ONLY</t>
  </si>
  <si>
    <t>MG/L</t>
  </si>
  <si>
    <t>RAW WASTE</t>
  </si>
  <si>
    <t>1 TIME PER WEEK</t>
  </si>
  <si>
    <t>LBS/DAY</t>
  </si>
  <si>
    <t>FINAL EFFLUENT</t>
  </si>
  <si>
    <t>PHOSPHORUS, TOTAL (AS P)</t>
  </si>
  <si>
    <t>Issued Date</t>
  </si>
  <si>
    <t>Data Start Date</t>
  </si>
  <si>
    <t>Data End Date</t>
  </si>
  <si>
    <t>Nitrogen</t>
  </si>
  <si>
    <t>Nitrogen Raw Waste Data</t>
  </si>
  <si>
    <t>Nitrogen
% removal</t>
  </si>
  <si>
    <t>Average lbs of N removed</t>
  </si>
  <si>
    <t>conc (mg/l)</t>
  </si>
  <si>
    <t>mass (lbs/day)</t>
  </si>
  <si>
    <t>Sample
Count</t>
  </si>
  <si>
    <t>Avg
mg/l</t>
  </si>
  <si>
    <t>Avg
lbs/d</t>
  </si>
  <si>
    <t>Sum of raw lbs/d data</t>
  </si>
  <si>
    <t>Sum of final lbs/d data</t>
  </si>
  <si>
    <t>Avg conc
mg/l</t>
  </si>
  <si>
    <t>Avg mass
lbs/d</t>
  </si>
  <si>
    <t>All Data</t>
  </si>
  <si>
    <t>Phosphorus</t>
  </si>
  <si>
    <t>Phosphorus Raw Waste Data</t>
  </si>
  <si>
    <t>Phosphorus
% removal</t>
  </si>
  <si>
    <t>Davenport</t>
  </si>
  <si>
    <t>Mo. Of Data</t>
  </si>
  <si>
    <t>Nitrogen Final Effluent Data</t>
  </si>
  <si>
    <t>Est. Avg raw lbs one year</t>
  </si>
  <si>
    <t>Est. Avg lbs disch one year</t>
  </si>
  <si>
    <t>Est. lbs removed 1 yr (avg raw-avg final)</t>
  </si>
  <si>
    <t>2015 (1/1/15-12/31/15)</t>
  </si>
  <si>
    <t>2016 (1/1/16-12/31/16)</t>
  </si>
  <si>
    <t>Phosphorus Final Effluent Data</t>
  </si>
  <si>
    <t>5/1/14 - 4/30/15</t>
  </si>
  <si>
    <t>5/1/15 - 4/30/16</t>
  </si>
  <si>
    <t>5/1/16 - 4/30/17</t>
  </si>
  <si>
    <t>2017 (1/1/17-12/31/17)</t>
  </si>
  <si>
    <t>5/1/17 - 4/30/18</t>
  </si>
  <si>
    <t>DISCHARGE FROM AN ACT SLUDGE WWTF.</t>
  </si>
  <si>
    <t>ACT SLUDGE</t>
  </si>
  <si>
    <t>Original Mon Locat</t>
  </si>
  <si>
    <t>Orig Daily Value</t>
  </si>
  <si>
    <t>2018 (1/1/18-12/31/18)</t>
  </si>
  <si>
    <t>5/1/18 - 4/30/19</t>
  </si>
  <si>
    <t>AVERAGEIFS((NDD!$F:$F),NDD!$E:$E,"&gt;=5/1/2018",NDD!$E:$E,"&lt;=4/30/2019",(NDD!$C:$C),("NITROGEN, TOTAL (AS N)"),(NDD!$H:$H),("FINAL EFFLUENT"),(NDD!$G:$G),("LBS/DAY"))</t>
  </si>
  <si>
    <t>std dev reporting yr</t>
  </si>
  <si>
    <t>CV reporting year</t>
  </si>
  <si>
    <t>std dev calendar yr</t>
  </si>
  <si>
    <t>CV calendar year</t>
  </si>
  <si>
    <t>std dev all</t>
  </si>
  <si>
    <t>CV all</t>
  </si>
  <si>
    <t>-</t>
  </si>
  <si>
    <t>2017 - TN: redacted day w/ zero raw values &amp; day w/ same raw &amp; final conc (2017-1)  2016 - TN: redacted day w/ negative raw values</t>
  </si>
  <si>
    <t>2017 - TP: redacted day w/ high final mass outlier &amp; days w/ zero final values (6)    2014 &amp; 2015 - TP: redacted days w/ negative raw values (6 days)</t>
  </si>
  <si>
    <t>9926001</t>
  </si>
  <si>
    <t>EAGLE GROVE</t>
  </si>
  <si>
    <t>RBC</t>
  </si>
  <si>
    <t>DISCHARGE FROM A ROTATING BIOLOGIAL CONTACTOR WWTF.</t>
  </si>
  <si>
    <t>EFFLUENT AFTER DISINFECTION</t>
  </si>
  <si>
    <t>Eagle Grove</t>
  </si>
  <si>
    <t>2016 &amp; 2017 - TN &amp; TP: redacted values for days with only raw data</t>
  </si>
  <si>
    <t>COUNTIFS(NDD!$E:$E,"&gt;=5/1/2018",NDD!$E:$E,"&lt;=4/30/2019",NDD!$C:$C,"NITROGEN, TOTAL (AS N)",NDD!$G:$G,"MG/L",NDD!$H:$H,"FINAL EFFLUENT")</t>
  </si>
  <si>
    <t>Average lbs of P removed</t>
  </si>
  <si>
    <t>COUNTIFS(NDD!$E:$E,"&gt;=5/1/2018",NDD!$E:$E,"&lt;=4/30/2019",NDD!$C:$C,"PHOSPHORUS, TOTAL (AS P)",NDD!$G:$G,"LBS/DAY",NDD!$H:$H,"RAW WASTE")</t>
  </si>
  <si>
    <t>SUMIFS(NDD!$F:$F,NDD!$E:$E,"&gt;=5/1/2018",NDD!$E:$E,"&lt;=4/30/2019",(NDD!$C:$C),("PHOSPHORUS, TOTAL (AS P)"),(NDD!$H:$H),("FINAL EFFLUENT"),(NDD!$G:$G),("LBS/DAY"))</t>
  </si>
  <si>
    <t>4236001</t>
  </si>
  <si>
    <t>ELDORA CITY OF STP</t>
  </si>
  <si>
    <t>SBR</t>
  </si>
  <si>
    <t>DISCHARGE FROM A SBR WWTP.</t>
  </si>
  <si>
    <t>Eldora</t>
  </si>
  <si>
    <t>2017 - TN: moved decimal for one day of TN raw data; TP: redacted days with only raw data</t>
  </si>
  <si>
    <t>2015 &amp; 2016 - TN: redacted days with only raw or final values     2014 &amp; 2018 - TP: redacted days w/ same raw &amp; final (2014-1, 2018-1)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</si>
</sst>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09]m/d/yyyy"/>
    <numFmt numFmtId="165" formatCode="[$-10409]0.00;\(0.00\)"/>
    <numFmt numFmtId="166" formatCode="0.0"/>
    <numFmt numFmtId="167" formatCode="0.0%"/>
  </numFmts>
  <fonts count="24" x14ac:knownFonts="1">
    <font>
      <sz val="11"/>
      <color rgb="FF000000"/>
      <name val="Calibri"/>
      <family val="2"/>
      <scheme val="minor"/>
    </font>
    <font>
      <sz val="8"/>
      <name val="Calibri"/>
      <family val="2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8000"/>
      <name val="Calibri"/>
      <family val="2"/>
      <scheme val="minor"/>
    </font>
    <font>
      <b/>
      <sz val="8"/>
      <color rgb="FF008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0"/>
      <name val="Tahoma"/>
      <family val="2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C9FF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8" xfId="0" applyNumberFormat="1" applyFont="1" applyFill="1" applyBorder="1" applyAlignment="1">
      <alignment horizontal="center" vertical="center" wrapText="1"/>
    </xf>
    <xf numFmtId="166" fontId="5" fillId="0" borderId="9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5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7" fontId="7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" fontId="8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8" fillId="0" borderId="8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167" fontId="9" fillId="0" borderId="9" xfId="0" applyNumberFormat="1" applyFont="1" applyFill="1" applyBorder="1" applyAlignment="1">
      <alignment horizontal="center" vertical="center"/>
    </xf>
    <xf numFmtId="167" fontId="9" fillId="0" borderId="8" xfId="0" applyNumberFormat="1" applyFont="1" applyFill="1" applyBorder="1" applyAlignment="1">
      <alignment horizontal="center" vertical="center"/>
    </xf>
    <xf numFmtId="0" fontId="3" fillId="0" borderId="4" xfId="0" applyFont="1" applyFill="1" applyBorder="1"/>
    <xf numFmtId="0" fontId="3" fillId="0" borderId="7" xfId="0" applyFont="1" applyFill="1" applyBorder="1"/>
    <xf numFmtId="14" fontId="3" fillId="0" borderId="9" xfId="0" applyNumberFormat="1" applyFont="1" applyFill="1" applyBorder="1" applyAlignment="1">
      <alignment horizontal="left"/>
    </xf>
    <xf numFmtId="3" fontId="5" fillId="0" borderId="17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6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167" fontId="7" fillId="0" borderId="3" xfId="0" applyNumberFormat="1" applyFont="1" applyFill="1" applyBorder="1" applyAlignment="1">
      <alignment horizontal="center" vertical="center" wrapText="1"/>
    </xf>
    <xf numFmtId="167" fontId="7" fillId="0" borderId="6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1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1" fontId="12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6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167" fontId="13" fillId="0" borderId="3" xfId="0" applyNumberFormat="1" applyFont="1" applyFill="1" applyBorder="1" applyAlignment="1">
      <alignment horizontal="center" vertical="center"/>
    </xf>
    <xf numFmtId="167" fontId="13" fillId="0" borderId="6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1" fontId="5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3" borderId="6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7" fontId="4" fillId="3" borderId="6" xfId="0" applyNumberFormat="1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horizontal="center" vertical="center"/>
    </xf>
    <xf numFmtId="1" fontId="14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14" fillId="0" borderId="8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167" fontId="15" fillId="0" borderId="9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3" fontId="8" fillId="0" borderId="1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left"/>
    </xf>
    <xf numFmtId="1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166" fontId="5" fillId="6" borderId="6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3" xfId="0" applyNumberFormat="1" applyFont="1" applyFill="1" applyBorder="1" applyAlignment="1">
      <alignment horizontal="center" vertical="center"/>
    </xf>
    <xf numFmtId="3" fontId="5" fillId="6" borderId="6" xfId="0" applyNumberFormat="1" applyFont="1" applyFill="1" applyBorder="1" applyAlignment="1">
      <alignment horizontal="center" vertical="center"/>
    </xf>
    <xf numFmtId="167" fontId="4" fillId="6" borderId="3" xfId="0" applyNumberFormat="1" applyFont="1" applyFill="1" applyBorder="1" applyAlignment="1">
      <alignment horizontal="center" vertical="center"/>
    </xf>
    <xf numFmtId="167" fontId="4" fillId="6" borderId="6" xfId="0" applyNumberFormat="1" applyFont="1" applyFill="1" applyBorder="1" applyAlignment="1">
      <alignment horizontal="center" vertical="center"/>
    </xf>
    <xf numFmtId="3" fontId="5" fillId="6" borderId="18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1" fontId="5" fillId="5" borderId="7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5" borderId="8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3" fontId="5" fillId="5" borderId="8" xfId="0" applyNumberFormat="1" applyFont="1" applyFill="1" applyBorder="1" applyAlignment="1">
      <alignment horizontal="center" vertical="center"/>
    </xf>
    <xf numFmtId="167" fontId="4" fillId="5" borderId="9" xfId="0" applyNumberFormat="1" applyFont="1" applyFill="1" applyBorder="1" applyAlignment="1">
      <alignment horizontal="center" vertical="center"/>
    </xf>
    <xf numFmtId="167" fontId="4" fillId="5" borderId="8" xfId="0" applyNumberFormat="1" applyFont="1" applyFill="1" applyBorder="1" applyAlignment="1">
      <alignment horizontal="center" vertical="center"/>
    </xf>
    <xf numFmtId="3" fontId="5" fillId="5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/>
    </xf>
    <xf numFmtId="1" fontId="16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6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horizontal="center" vertical="center"/>
    </xf>
    <xf numFmtId="166" fontId="16" fillId="0" borderId="6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67" fontId="17" fillId="0" borderId="3" xfId="0" applyNumberFormat="1" applyFont="1" applyFill="1" applyBorder="1" applyAlignment="1">
      <alignment horizontal="center" vertical="center"/>
    </xf>
    <xf numFmtId="167" fontId="17" fillId="0" borderId="6" xfId="0" applyNumberFormat="1" applyFont="1" applyFill="1" applyBorder="1" applyAlignment="1">
      <alignment horizontal="center" vertical="center"/>
    </xf>
    <xf numFmtId="3" fontId="16" fillId="0" borderId="18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3" fillId="0" borderId="19" xfId="0" applyFont="1" applyFill="1" applyBorder="1"/>
    <xf numFmtId="167" fontId="4" fillId="0" borderId="8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/>
    <xf numFmtId="0" fontId="1" fillId="8" borderId="23" xfId="0" applyFont="1" applyFill="1" applyBorder="1"/>
    <xf numFmtId="0" fontId="18" fillId="2" borderId="23" xfId="0" applyNumberFormat="1" applyFont="1" applyFill="1" applyBorder="1" applyAlignment="1">
      <alignment vertical="top" wrapText="1" readingOrder="1"/>
    </xf>
    <xf numFmtId="3" fontId="1" fillId="0" borderId="23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1" fontId="5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7" borderId="6" xfId="0" applyNumberFormat="1" applyFont="1" applyFill="1" applyBorder="1" applyAlignment="1">
      <alignment horizontal="center" vertical="center"/>
    </xf>
    <xf numFmtId="3" fontId="5" fillId="7" borderId="3" xfId="0" applyNumberFormat="1" applyFont="1" applyFill="1" applyBorder="1" applyAlignment="1">
      <alignment horizontal="center" vertical="center"/>
    </xf>
    <xf numFmtId="3" fontId="5" fillId="7" borderId="6" xfId="0" applyNumberFormat="1" applyFont="1" applyFill="1" applyBorder="1" applyAlignment="1">
      <alignment horizontal="center" vertical="center"/>
    </xf>
    <xf numFmtId="167" fontId="4" fillId="7" borderId="3" xfId="0" applyNumberFormat="1" applyFont="1" applyFill="1" applyBorder="1" applyAlignment="1">
      <alignment horizontal="center" vertical="center"/>
    </xf>
    <xf numFmtId="167" fontId="4" fillId="7" borderId="6" xfId="0" applyNumberFormat="1" applyFont="1" applyFill="1" applyBorder="1" applyAlignment="1">
      <alignment horizontal="center" vertical="center"/>
    </xf>
    <xf numFmtId="3" fontId="5" fillId="7" borderId="18" xfId="0" applyNumberFormat="1" applyFont="1" applyFill="1" applyBorder="1" applyAlignment="1">
      <alignment horizontal="center" vertical="center"/>
    </xf>
    <xf numFmtId="166" fontId="5" fillId="6" borderId="3" xfId="0" applyNumberFormat="1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center" vertical="center"/>
    </xf>
    <xf numFmtId="166" fontId="5" fillId="3" borderId="3" xfId="0" applyNumberFormat="1" applyFont="1" applyFill="1" applyBorder="1" applyAlignment="1">
      <alignment horizontal="center" vertical="center"/>
    </xf>
    <xf numFmtId="166" fontId="14" fillId="0" borderId="9" xfId="0" applyNumberFormat="1" applyFont="1" applyFill="1" applyBorder="1" applyAlignment="1">
      <alignment horizontal="center" vertical="center"/>
    </xf>
    <xf numFmtId="166" fontId="8" fillId="0" borderId="9" xfId="0" applyNumberFormat="1" applyFont="1" applyFill="1" applyBorder="1" applyAlignment="1">
      <alignment horizontal="center" vertical="center"/>
    </xf>
    <xf numFmtId="166" fontId="5" fillId="5" borderId="9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/>
    <xf numFmtId="166" fontId="16" fillId="0" borderId="3" xfId="0" applyNumberFormat="1" applyFont="1" applyFill="1" applyBorder="1" applyAlignment="1">
      <alignment horizontal="center" vertical="center"/>
    </xf>
    <xf numFmtId="166" fontId="5" fillId="7" borderId="3" xfId="0" applyNumberFormat="1" applyFont="1" applyFill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166" fontId="14" fillId="0" borderId="9" xfId="0" applyNumberFormat="1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166" fontId="16" fillId="0" borderId="3" xfId="0" applyNumberFormat="1" applyFont="1" applyBorder="1" applyAlignment="1">
      <alignment horizontal="center" vertical="center"/>
    </xf>
    <xf numFmtId="0" fontId="19" fillId="0" borderId="6" xfId="0" applyFont="1" applyFill="1" applyBorder="1" applyAlignment="1">
      <alignment horizontal="left"/>
    </xf>
    <xf numFmtId="1" fontId="19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19" fillId="0" borderId="6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/>
    </xf>
    <xf numFmtId="3" fontId="19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Border="1" applyAlignment="1">
      <alignment horizontal="center" vertical="center"/>
    </xf>
    <xf numFmtId="166" fontId="19" fillId="0" borderId="3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  <xf numFmtId="167" fontId="20" fillId="0" borderId="3" xfId="0" applyNumberFormat="1" applyFont="1" applyFill="1" applyBorder="1" applyAlignment="1">
      <alignment horizontal="center" vertical="center"/>
    </xf>
    <xf numFmtId="167" fontId="20" fillId="0" borderId="6" xfId="0" applyNumberFormat="1" applyFont="1" applyFill="1" applyBorder="1" applyAlignment="1">
      <alignment horizontal="center" vertical="center"/>
    </xf>
    <xf numFmtId="3" fontId="19" fillId="0" borderId="18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5" fillId="9" borderId="24" xfId="0" applyFont="1" applyFill="1" applyBorder="1" applyAlignment="1">
      <alignment horizontal="left"/>
    </xf>
    <xf numFmtId="1" fontId="5" fillId="9" borderId="25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9" borderId="26" xfId="0" applyNumberFormat="1" applyFont="1" applyFill="1" applyBorder="1" applyAlignment="1">
      <alignment horizontal="center" vertical="center"/>
    </xf>
    <xf numFmtId="166" fontId="5" fillId="9" borderId="27" xfId="0" applyNumberFormat="1" applyFont="1" applyFill="1" applyBorder="1" applyAlignment="1">
      <alignment horizontal="center" vertical="center"/>
    </xf>
    <xf numFmtId="3" fontId="5" fillId="9" borderId="27" xfId="0" applyNumberFormat="1" applyFont="1" applyFill="1" applyBorder="1" applyAlignment="1">
      <alignment horizontal="center" vertical="center"/>
    </xf>
    <xf numFmtId="3" fontId="5" fillId="9" borderId="26" xfId="0" applyNumberFormat="1" applyFont="1" applyFill="1" applyBorder="1" applyAlignment="1">
      <alignment horizontal="center" vertical="center"/>
    </xf>
    <xf numFmtId="167" fontId="4" fillId="9" borderId="27" xfId="0" applyNumberFormat="1" applyFont="1" applyFill="1" applyBorder="1" applyAlignment="1">
      <alignment horizontal="center" vertical="center"/>
    </xf>
    <xf numFmtId="167" fontId="4" fillId="9" borderId="26" xfId="0" applyNumberFormat="1" applyFont="1" applyFill="1" applyBorder="1" applyAlignment="1">
      <alignment horizontal="center" vertical="center"/>
    </xf>
    <xf numFmtId="3" fontId="5" fillId="9" borderId="28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/>
    </xf>
    <xf numFmtId="3" fontId="19" fillId="0" borderId="3" xfId="0" applyNumberFormat="1" applyFont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 wrapText="1"/>
    </xf>
    <xf numFmtId="0" fontId="22" fillId="0" borderId="23" xfId="0" applyNumberFormat="1" applyFont="1" applyFill="1" applyBorder="1" applyAlignment="1">
      <alignment vertical="top" wrapText="1" readingOrder="1"/>
    </xf>
    <xf numFmtId="164" fontId="22" fillId="0" borderId="23" xfId="0" applyNumberFormat="1" applyFont="1" applyFill="1" applyBorder="1" applyAlignment="1">
      <alignment horizontal="left" vertical="top" wrapText="1" readingOrder="1"/>
    </xf>
    <xf numFmtId="165" fontId="22" fillId="0" borderId="23" xfId="0" applyNumberFormat="1" applyFont="1" applyFill="1" applyBorder="1" applyAlignment="1">
      <alignment horizontal="left" vertical="top" wrapText="1" readingOrder="1"/>
    </xf>
    <xf numFmtId="0" fontId="22" fillId="0" borderId="23" xfId="0" applyNumberFormat="1" applyFont="1" applyFill="1" applyBorder="1" applyAlignment="1">
      <alignment horizontal="left" vertical="top" wrapText="1" readingOrder="1"/>
    </xf>
    <xf numFmtId="3" fontId="22" fillId="0" borderId="23" xfId="0" applyNumberFormat="1" applyFont="1" applyFill="1" applyBorder="1" applyAlignment="1">
      <alignment horizontal="left" vertical="top" wrapText="1" readingOrder="1"/>
    </xf>
    <xf numFmtId="165" fontId="22" fillId="8" borderId="23" xfId="0" applyNumberFormat="1" applyFont="1" applyFill="1" applyBorder="1" applyAlignment="1">
      <alignment horizontal="left" vertical="top" wrapText="1" readingOrder="1"/>
    </xf>
    <xf numFmtId="3" fontId="22" fillId="8" borderId="23" xfId="0" applyNumberFormat="1" applyFont="1" applyFill="1" applyBorder="1" applyAlignment="1">
      <alignment horizontal="left" vertical="top" wrapText="1" readingOrder="1"/>
    </xf>
    <xf numFmtId="165" fontId="21" fillId="8" borderId="23" xfId="0" applyNumberFormat="1" applyFont="1" applyFill="1" applyBorder="1" applyAlignment="1">
      <alignment horizontal="left" vertical="top" wrapText="1" readingOrder="1"/>
    </xf>
    <xf numFmtId="3" fontId="21" fillId="8" borderId="23" xfId="0" applyNumberFormat="1" applyFont="1" applyFill="1" applyBorder="1" applyAlignment="1">
      <alignment horizontal="left" vertical="top" wrapText="1" readingOrder="1"/>
    </xf>
    <xf numFmtId="0" fontId="22" fillId="8" borderId="23" xfId="0" applyNumberFormat="1" applyFont="1" applyFill="1" applyBorder="1" applyAlignment="1">
      <alignment horizontal="left" vertical="top" wrapText="1" readingOrder="1"/>
    </xf>
    <xf numFmtId="0" fontId="22" fillId="8" borderId="23" xfId="0" applyNumberFormat="1" applyFont="1" applyFill="1" applyBorder="1" applyAlignment="1">
      <alignment vertical="top" wrapText="1" readingOrder="1"/>
    </xf>
    <xf numFmtId="3" fontId="18" fillId="2" borderId="23" xfId="0" applyNumberFormat="1" applyFont="1" applyFill="1" applyBorder="1" applyAlignment="1">
      <alignment vertical="top" wrapText="1" readingOrder="1"/>
    </xf>
    <xf numFmtId="0" fontId="18" fillId="2" borderId="23" xfId="0" applyNumberFormat="1" applyFont="1" applyFill="1" applyBorder="1" applyAlignment="1">
      <alignment horizontal="left" vertical="top" wrapText="1" readingOrder="1"/>
    </xf>
    <xf numFmtId="0" fontId="23" fillId="0" borderId="23" xfId="0" applyFont="1" applyFill="1" applyBorder="1"/>
    <xf numFmtId="0" fontId="5" fillId="0" borderId="23" xfId="0" applyFont="1" applyFill="1" applyBorder="1"/>
    <xf numFmtId="2" fontId="5" fillId="6" borderId="3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14" fillId="0" borderId="9" xfId="0" applyNumberFormat="1" applyFont="1" applyFill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5" fillId="7" borderId="3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7" fontId="4" fillId="0" borderId="14" xfId="0" applyNumberFormat="1" applyFont="1" applyFill="1" applyBorder="1" applyAlignment="1">
      <alignment horizontal="center" vertical="center" wrapText="1"/>
    </xf>
    <xf numFmtId="167" fontId="4" fillId="0" borderId="11" xfId="0" applyNumberFormat="1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Alignment="1">
      <alignment horizontal="center"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right"/>
    </xf>
    <xf numFmtId="14" fontId="3" fillId="0" borderId="10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left"/>
    </xf>
    <xf numFmtId="1" fontId="3" fillId="0" borderId="5" xfId="0" applyNumberFormat="1" applyFont="1" applyFill="1" applyBorder="1" applyAlignment="1">
      <alignment horizontal="left"/>
    </xf>
    <xf numFmtId="165" fontId="21" fillId="0" borderId="23" xfId="0" applyNumberFormat="1" applyFont="1" applyFill="1" applyBorder="1" applyAlignment="1">
      <alignment horizontal="left" vertical="top" wrapText="1" readingOrder="1"/>
    </xf>
    <xf numFmtId="3" fontId="21" fillId="0" borderId="23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3"/>
  <sheetViews>
    <sheetView showGridLines="0" tabSelected="1" workbookViewId="0">
      <pane ySplit="1" topLeftCell="A116" activePane="bottomLeft" state="frozen"/>
      <selection pane="bottomLeft" activeCell="F132" sqref="F132"/>
    </sheetView>
  </sheetViews>
  <sheetFormatPr defaultRowHeight="11.25" x14ac:dyDescent="0.2"/>
  <cols>
    <col min="1" max="1" width="7.7109375" style="115" customWidth="1"/>
    <col min="2" max="2" width="19.5703125" style="115" customWidth="1"/>
    <col min="3" max="3" width="22.85546875" style="115" customWidth="1"/>
    <col min="4" max="4" width="18.140625" style="115" customWidth="1"/>
    <col min="5" max="5" width="10.7109375" style="115" customWidth="1"/>
    <col min="6" max="6" width="8.42578125" style="118" customWidth="1"/>
    <col min="7" max="7" width="7.85546875" style="115" customWidth="1"/>
    <col min="8" max="8" width="14.5703125" style="115" customWidth="1"/>
    <col min="9" max="9" width="4.42578125" style="115" customWidth="1"/>
    <col min="10" max="10" width="14.7109375" style="115" customWidth="1"/>
    <col min="11" max="11" width="11.42578125" style="115" customWidth="1"/>
    <col min="12" max="12" width="32.85546875" style="115" customWidth="1"/>
    <col min="13" max="13" width="29.140625" style="115" customWidth="1"/>
    <col min="14" max="16384" width="9.140625" style="115"/>
  </cols>
  <sheetData>
    <row r="1" spans="1:14" s="185" customFormat="1" ht="21" x14ac:dyDescent="0.2">
      <c r="A1" s="117" t="s">
        <v>0</v>
      </c>
      <c r="B1" s="117" t="s">
        <v>1</v>
      </c>
      <c r="C1" s="117" t="s">
        <v>2</v>
      </c>
      <c r="D1" s="117" t="s">
        <v>3</v>
      </c>
      <c r="E1" s="117" t="s">
        <v>4</v>
      </c>
      <c r="F1" s="183" t="s">
        <v>5</v>
      </c>
      <c r="G1" s="117" t="s">
        <v>6</v>
      </c>
      <c r="H1" s="117" t="s">
        <v>7</v>
      </c>
      <c r="I1" s="184" t="s">
        <v>8</v>
      </c>
      <c r="J1" s="184" t="s">
        <v>9</v>
      </c>
      <c r="K1" s="184" t="s">
        <v>10</v>
      </c>
      <c r="L1" s="117" t="s">
        <v>11</v>
      </c>
      <c r="M1" s="117" t="s">
        <v>58</v>
      </c>
      <c r="N1" s="117" t="s">
        <v>59</v>
      </c>
    </row>
    <row r="2" spans="1:14" x14ac:dyDescent="0.2">
      <c r="A2" s="172" t="s">
        <v>12</v>
      </c>
      <c r="B2" s="172" t="s">
        <v>13</v>
      </c>
      <c r="C2" s="172" t="s">
        <v>14</v>
      </c>
      <c r="D2" s="172" t="s">
        <v>15</v>
      </c>
      <c r="E2" s="173">
        <v>43216</v>
      </c>
      <c r="F2" s="174">
        <v>36.322820800000002</v>
      </c>
      <c r="G2" s="175" t="s">
        <v>16</v>
      </c>
      <c r="H2" s="172" t="s">
        <v>17</v>
      </c>
      <c r="I2" s="175">
        <v>1</v>
      </c>
      <c r="J2" s="175" t="s">
        <v>18</v>
      </c>
      <c r="K2" s="175" t="s">
        <v>57</v>
      </c>
      <c r="L2" s="172" t="s">
        <v>56</v>
      </c>
    </row>
    <row r="3" spans="1:14" x14ac:dyDescent="0.2">
      <c r="A3" s="172" t="s">
        <v>12</v>
      </c>
      <c r="B3" s="172" t="s">
        <v>13</v>
      </c>
      <c r="C3" s="172" t="s">
        <v>14</v>
      </c>
      <c r="D3" s="172" t="s">
        <v>15</v>
      </c>
      <c r="E3" s="173">
        <v>43216</v>
      </c>
      <c r="F3" s="176">
        <v>7270.3758180000004</v>
      </c>
      <c r="G3" s="175" t="s">
        <v>19</v>
      </c>
      <c r="H3" s="172" t="s">
        <v>17</v>
      </c>
      <c r="I3" s="175">
        <v>1</v>
      </c>
      <c r="J3" s="175" t="s">
        <v>18</v>
      </c>
      <c r="K3" s="175" t="s">
        <v>57</v>
      </c>
      <c r="L3" s="172" t="s">
        <v>56</v>
      </c>
    </row>
    <row r="4" spans="1:14" x14ac:dyDescent="0.2">
      <c r="A4" s="172" t="s">
        <v>12</v>
      </c>
      <c r="B4" s="172" t="s">
        <v>13</v>
      </c>
      <c r="C4" s="172" t="s">
        <v>14</v>
      </c>
      <c r="D4" s="172" t="s">
        <v>15</v>
      </c>
      <c r="E4" s="173">
        <v>43216</v>
      </c>
      <c r="F4" s="174">
        <v>30.25</v>
      </c>
      <c r="G4" s="175" t="s">
        <v>16</v>
      </c>
      <c r="H4" s="172" t="s">
        <v>20</v>
      </c>
      <c r="I4" s="175">
        <v>1</v>
      </c>
      <c r="J4" s="175" t="s">
        <v>18</v>
      </c>
      <c r="K4" s="175" t="s">
        <v>57</v>
      </c>
      <c r="L4" s="172" t="s">
        <v>56</v>
      </c>
    </row>
    <row r="5" spans="1:14" x14ac:dyDescent="0.2">
      <c r="A5" s="172" t="s">
        <v>12</v>
      </c>
      <c r="B5" s="172" t="s">
        <v>13</v>
      </c>
      <c r="C5" s="172" t="s">
        <v>14</v>
      </c>
      <c r="D5" s="172" t="s">
        <v>15</v>
      </c>
      <c r="E5" s="173">
        <v>43216</v>
      </c>
      <c r="F5" s="176">
        <v>6937.8374999999996</v>
      </c>
      <c r="G5" s="175" t="s">
        <v>19</v>
      </c>
      <c r="H5" s="172" t="s">
        <v>20</v>
      </c>
      <c r="I5" s="175">
        <v>1</v>
      </c>
      <c r="J5" s="175" t="s">
        <v>18</v>
      </c>
      <c r="K5" s="175" t="s">
        <v>57</v>
      </c>
      <c r="L5" s="172" t="s">
        <v>56</v>
      </c>
    </row>
    <row r="6" spans="1:14" x14ac:dyDescent="0.2">
      <c r="A6" s="172" t="s">
        <v>12</v>
      </c>
      <c r="B6" s="172" t="s">
        <v>13</v>
      </c>
      <c r="C6" s="172" t="s">
        <v>14</v>
      </c>
      <c r="D6" s="172" t="s">
        <v>15</v>
      </c>
      <c r="E6" s="173">
        <v>43209</v>
      </c>
      <c r="F6" s="174">
        <v>33.8825669</v>
      </c>
      <c r="G6" s="175" t="s">
        <v>16</v>
      </c>
      <c r="H6" s="172" t="s">
        <v>17</v>
      </c>
      <c r="I6" s="175">
        <v>1</v>
      </c>
      <c r="J6" s="175" t="s">
        <v>18</v>
      </c>
      <c r="K6" s="175" t="s">
        <v>57</v>
      </c>
      <c r="L6" s="172" t="s">
        <v>56</v>
      </c>
    </row>
    <row r="7" spans="1:14" x14ac:dyDescent="0.2">
      <c r="A7" s="172" t="s">
        <v>12</v>
      </c>
      <c r="B7" s="172" t="s">
        <v>13</v>
      </c>
      <c r="C7" s="172" t="s">
        <v>14</v>
      </c>
      <c r="D7" s="172" t="s">
        <v>15</v>
      </c>
      <c r="E7" s="173">
        <v>43209</v>
      </c>
      <c r="F7" s="176">
        <v>7177.5474480000003</v>
      </c>
      <c r="G7" s="175" t="s">
        <v>19</v>
      </c>
      <c r="H7" s="172" t="s">
        <v>17</v>
      </c>
      <c r="I7" s="175">
        <v>1</v>
      </c>
      <c r="J7" s="175" t="s">
        <v>18</v>
      </c>
      <c r="K7" s="175" t="s">
        <v>57</v>
      </c>
      <c r="L7" s="172" t="s">
        <v>56</v>
      </c>
    </row>
    <row r="8" spans="1:14" x14ac:dyDescent="0.2">
      <c r="A8" s="172" t="s">
        <v>12</v>
      </c>
      <c r="B8" s="172" t="s">
        <v>13</v>
      </c>
      <c r="C8" s="172" t="s">
        <v>14</v>
      </c>
      <c r="D8" s="172" t="s">
        <v>15</v>
      </c>
      <c r="E8" s="173">
        <v>43209</v>
      </c>
      <c r="F8" s="174">
        <v>28.997</v>
      </c>
      <c r="G8" s="175" t="s">
        <v>16</v>
      </c>
      <c r="H8" s="172" t="s">
        <v>20</v>
      </c>
      <c r="I8" s="175">
        <v>1</v>
      </c>
      <c r="J8" s="175" t="s">
        <v>18</v>
      </c>
      <c r="K8" s="175" t="s">
        <v>57</v>
      </c>
      <c r="L8" s="172" t="s">
        <v>56</v>
      </c>
    </row>
    <row r="9" spans="1:14" x14ac:dyDescent="0.2">
      <c r="A9" s="172" t="s">
        <v>12</v>
      </c>
      <c r="B9" s="172" t="s">
        <v>13</v>
      </c>
      <c r="C9" s="172" t="s">
        <v>14</v>
      </c>
      <c r="D9" s="172" t="s">
        <v>15</v>
      </c>
      <c r="E9" s="173">
        <v>43209</v>
      </c>
      <c r="F9" s="176">
        <v>6892.2969300000004</v>
      </c>
      <c r="G9" s="175" t="s">
        <v>19</v>
      </c>
      <c r="H9" s="172" t="s">
        <v>20</v>
      </c>
      <c r="I9" s="175">
        <v>1</v>
      </c>
      <c r="J9" s="175" t="s">
        <v>18</v>
      </c>
      <c r="K9" s="175" t="s">
        <v>57</v>
      </c>
      <c r="L9" s="172" t="s">
        <v>56</v>
      </c>
    </row>
    <row r="10" spans="1:14" x14ac:dyDescent="0.2">
      <c r="A10" s="172" t="s">
        <v>12</v>
      </c>
      <c r="B10" s="172" t="s">
        <v>13</v>
      </c>
      <c r="C10" s="172" t="s">
        <v>14</v>
      </c>
      <c r="D10" s="172" t="s">
        <v>15</v>
      </c>
      <c r="E10" s="173">
        <v>43198</v>
      </c>
      <c r="F10" s="174">
        <v>17.808275800000001</v>
      </c>
      <c r="G10" s="175" t="s">
        <v>16</v>
      </c>
      <c r="H10" s="172" t="s">
        <v>17</v>
      </c>
      <c r="I10" s="175">
        <v>1</v>
      </c>
      <c r="J10" s="175" t="s">
        <v>18</v>
      </c>
      <c r="K10" s="175" t="s">
        <v>57</v>
      </c>
      <c r="L10" s="172" t="s">
        <v>56</v>
      </c>
    </row>
    <row r="11" spans="1:14" x14ac:dyDescent="0.2">
      <c r="A11" s="172" t="s">
        <v>12</v>
      </c>
      <c r="B11" s="172" t="s">
        <v>13</v>
      </c>
      <c r="C11" s="172" t="s">
        <v>14</v>
      </c>
      <c r="D11" s="172" t="s">
        <v>15</v>
      </c>
      <c r="E11" s="173">
        <v>43198</v>
      </c>
      <c r="F11" s="176">
        <v>3661.0431600000002</v>
      </c>
      <c r="G11" s="175" t="s">
        <v>19</v>
      </c>
      <c r="H11" s="172" t="s">
        <v>17</v>
      </c>
      <c r="I11" s="175">
        <v>1</v>
      </c>
      <c r="J11" s="175" t="s">
        <v>18</v>
      </c>
      <c r="K11" s="175" t="s">
        <v>57</v>
      </c>
      <c r="L11" s="172" t="s">
        <v>56</v>
      </c>
    </row>
    <row r="12" spans="1:14" x14ac:dyDescent="0.2">
      <c r="A12" s="172" t="s">
        <v>12</v>
      </c>
      <c r="B12" s="172" t="s">
        <v>13</v>
      </c>
      <c r="C12" s="172" t="s">
        <v>14</v>
      </c>
      <c r="D12" s="172" t="s">
        <v>15</v>
      </c>
      <c r="E12" s="173">
        <v>43198</v>
      </c>
      <c r="F12" s="174">
        <v>17.434000000000001</v>
      </c>
      <c r="G12" s="175" t="s">
        <v>16</v>
      </c>
      <c r="H12" s="172" t="s">
        <v>20</v>
      </c>
      <c r="I12" s="175">
        <v>1</v>
      </c>
      <c r="J12" s="175" t="s">
        <v>18</v>
      </c>
      <c r="K12" s="175" t="s">
        <v>57</v>
      </c>
      <c r="L12" s="172" t="s">
        <v>56</v>
      </c>
    </row>
    <row r="13" spans="1:14" x14ac:dyDescent="0.2">
      <c r="A13" s="172" t="s">
        <v>12</v>
      </c>
      <c r="B13" s="172" t="s">
        <v>13</v>
      </c>
      <c r="C13" s="172" t="s">
        <v>14</v>
      </c>
      <c r="D13" s="172" t="s">
        <v>15</v>
      </c>
      <c r="E13" s="173">
        <v>43198</v>
      </c>
      <c r="F13" s="176">
        <v>4100.2675920000001</v>
      </c>
      <c r="G13" s="175" t="s">
        <v>19</v>
      </c>
      <c r="H13" s="172" t="s">
        <v>20</v>
      </c>
      <c r="I13" s="175">
        <v>1</v>
      </c>
      <c r="J13" s="175" t="s">
        <v>18</v>
      </c>
      <c r="K13" s="175" t="s">
        <v>57</v>
      </c>
      <c r="L13" s="172" t="s">
        <v>56</v>
      </c>
    </row>
    <row r="14" spans="1:14" x14ac:dyDescent="0.2">
      <c r="A14" s="172" t="s">
        <v>12</v>
      </c>
      <c r="B14" s="172" t="s">
        <v>13</v>
      </c>
      <c r="C14" s="172" t="s">
        <v>14</v>
      </c>
      <c r="D14" s="172" t="s">
        <v>15</v>
      </c>
      <c r="E14" s="173">
        <v>43195</v>
      </c>
      <c r="F14" s="174">
        <v>17.4506768</v>
      </c>
      <c r="G14" s="175" t="s">
        <v>16</v>
      </c>
      <c r="H14" s="172" t="s">
        <v>17</v>
      </c>
      <c r="I14" s="175">
        <v>1</v>
      </c>
      <c r="J14" s="175" t="s">
        <v>18</v>
      </c>
      <c r="K14" s="175" t="s">
        <v>57</v>
      </c>
      <c r="L14" s="172" t="s">
        <v>56</v>
      </c>
    </row>
    <row r="15" spans="1:14" x14ac:dyDescent="0.2">
      <c r="A15" s="172" t="s">
        <v>12</v>
      </c>
      <c r="B15" s="172" t="s">
        <v>13</v>
      </c>
      <c r="C15" s="172" t="s">
        <v>14</v>
      </c>
      <c r="D15" s="172" t="s">
        <v>15</v>
      </c>
      <c r="E15" s="173">
        <v>43195</v>
      </c>
      <c r="F15" s="176">
        <v>3827.6663520000002</v>
      </c>
      <c r="G15" s="175" t="s">
        <v>19</v>
      </c>
      <c r="H15" s="172" t="s">
        <v>17</v>
      </c>
      <c r="I15" s="175">
        <v>1</v>
      </c>
      <c r="J15" s="175" t="s">
        <v>18</v>
      </c>
      <c r="K15" s="175" t="s">
        <v>57</v>
      </c>
      <c r="L15" s="172" t="s">
        <v>56</v>
      </c>
    </row>
    <row r="16" spans="1:14" x14ac:dyDescent="0.2">
      <c r="A16" s="172" t="s">
        <v>12</v>
      </c>
      <c r="B16" s="172" t="s">
        <v>13</v>
      </c>
      <c r="C16" s="172" t="s">
        <v>14</v>
      </c>
      <c r="D16" s="172" t="s">
        <v>15</v>
      </c>
      <c r="E16" s="173">
        <v>43195</v>
      </c>
      <c r="F16" s="174">
        <v>35.481000000000002</v>
      </c>
      <c r="G16" s="175" t="s">
        <v>16</v>
      </c>
      <c r="H16" s="172" t="s">
        <v>20</v>
      </c>
      <c r="I16" s="175">
        <v>1</v>
      </c>
      <c r="J16" s="175" t="s">
        <v>18</v>
      </c>
      <c r="K16" s="175" t="s">
        <v>57</v>
      </c>
      <c r="L16" s="172" t="s">
        <v>56</v>
      </c>
    </row>
    <row r="17" spans="1:12" x14ac:dyDescent="0.2">
      <c r="A17" s="172" t="s">
        <v>12</v>
      </c>
      <c r="B17" s="172" t="s">
        <v>13</v>
      </c>
      <c r="C17" s="172" t="s">
        <v>14</v>
      </c>
      <c r="D17" s="172" t="s">
        <v>15</v>
      </c>
      <c r="E17" s="173">
        <v>43195</v>
      </c>
      <c r="F17" s="176">
        <v>8847.7550460000002</v>
      </c>
      <c r="G17" s="175" t="s">
        <v>19</v>
      </c>
      <c r="H17" s="172" t="s">
        <v>20</v>
      </c>
      <c r="I17" s="175">
        <v>1</v>
      </c>
      <c r="J17" s="175" t="s">
        <v>18</v>
      </c>
      <c r="K17" s="175" t="s">
        <v>57</v>
      </c>
      <c r="L17" s="172" t="s">
        <v>56</v>
      </c>
    </row>
    <row r="18" spans="1:12" x14ac:dyDescent="0.2">
      <c r="A18" s="172" t="s">
        <v>12</v>
      </c>
      <c r="B18" s="172" t="s">
        <v>13</v>
      </c>
      <c r="C18" s="172" t="s">
        <v>14</v>
      </c>
      <c r="D18" s="172" t="s">
        <v>15</v>
      </c>
      <c r="E18" s="173">
        <v>43185</v>
      </c>
      <c r="F18" s="174">
        <v>36.716359099999998</v>
      </c>
      <c r="G18" s="175" t="s">
        <v>16</v>
      </c>
      <c r="H18" s="172" t="s">
        <v>17</v>
      </c>
      <c r="I18" s="175">
        <v>1</v>
      </c>
      <c r="J18" s="175" t="s">
        <v>18</v>
      </c>
      <c r="K18" s="175" t="s">
        <v>57</v>
      </c>
      <c r="L18" s="172" t="s">
        <v>56</v>
      </c>
    </row>
    <row r="19" spans="1:12" x14ac:dyDescent="0.2">
      <c r="A19" s="172" t="s">
        <v>12</v>
      </c>
      <c r="B19" s="172" t="s">
        <v>13</v>
      </c>
      <c r="C19" s="172" t="s">
        <v>14</v>
      </c>
      <c r="D19" s="172" t="s">
        <v>15</v>
      </c>
      <c r="E19" s="173">
        <v>43185</v>
      </c>
      <c r="F19" s="176">
        <v>8696.4899640000003</v>
      </c>
      <c r="G19" s="175" t="s">
        <v>19</v>
      </c>
      <c r="H19" s="172" t="s">
        <v>17</v>
      </c>
      <c r="I19" s="175">
        <v>1</v>
      </c>
      <c r="J19" s="175" t="s">
        <v>18</v>
      </c>
      <c r="K19" s="175" t="s">
        <v>57</v>
      </c>
      <c r="L19" s="172" t="s">
        <v>56</v>
      </c>
    </row>
    <row r="20" spans="1:12" x14ac:dyDescent="0.2">
      <c r="A20" s="172" t="s">
        <v>12</v>
      </c>
      <c r="B20" s="172" t="s">
        <v>13</v>
      </c>
      <c r="C20" s="172" t="s">
        <v>14</v>
      </c>
      <c r="D20" s="172" t="s">
        <v>15</v>
      </c>
      <c r="E20" s="173">
        <v>43185</v>
      </c>
      <c r="F20" s="174">
        <v>29.681000000000001</v>
      </c>
      <c r="G20" s="175" t="s">
        <v>16</v>
      </c>
      <c r="H20" s="172" t="s">
        <v>20</v>
      </c>
      <c r="I20" s="175">
        <v>1</v>
      </c>
      <c r="J20" s="175" t="s">
        <v>18</v>
      </c>
      <c r="K20" s="175" t="s">
        <v>57</v>
      </c>
      <c r="L20" s="172" t="s">
        <v>56</v>
      </c>
    </row>
    <row r="21" spans="1:12" x14ac:dyDescent="0.2">
      <c r="A21" s="172" t="s">
        <v>12</v>
      </c>
      <c r="B21" s="172" t="s">
        <v>13</v>
      </c>
      <c r="C21" s="172" t="s">
        <v>14</v>
      </c>
      <c r="D21" s="172" t="s">
        <v>15</v>
      </c>
      <c r="E21" s="173">
        <v>43185</v>
      </c>
      <c r="F21" s="176">
        <v>7228.1545679999999</v>
      </c>
      <c r="G21" s="175" t="s">
        <v>19</v>
      </c>
      <c r="H21" s="172" t="s">
        <v>20</v>
      </c>
      <c r="I21" s="175">
        <v>1</v>
      </c>
      <c r="J21" s="175" t="s">
        <v>18</v>
      </c>
      <c r="K21" s="175" t="s">
        <v>57</v>
      </c>
      <c r="L21" s="172" t="s">
        <v>56</v>
      </c>
    </row>
    <row r="22" spans="1:12" x14ac:dyDescent="0.2">
      <c r="A22" s="172" t="s">
        <v>12</v>
      </c>
      <c r="B22" s="172" t="s">
        <v>13</v>
      </c>
      <c r="C22" s="172" t="s">
        <v>14</v>
      </c>
      <c r="D22" s="172" t="s">
        <v>15</v>
      </c>
      <c r="E22" s="173">
        <v>43181</v>
      </c>
      <c r="F22" s="174">
        <v>38.967301900000002</v>
      </c>
      <c r="G22" s="175" t="s">
        <v>16</v>
      </c>
      <c r="H22" s="172" t="s">
        <v>17</v>
      </c>
      <c r="I22" s="175">
        <v>1</v>
      </c>
      <c r="J22" s="175" t="s">
        <v>18</v>
      </c>
      <c r="K22" s="175" t="s">
        <v>57</v>
      </c>
      <c r="L22" s="172" t="s">
        <v>56</v>
      </c>
    </row>
    <row r="23" spans="1:12" x14ac:dyDescent="0.2">
      <c r="A23" s="172" t="s">
        <v>12</v>
      </c>
      <c r="B23" s="172" t="s">
        <v>13</v>
      </c>
      <c r="C23" s="172" t="s">
        <v>14</v>
      </c>
      <c r="D23" s="172" t="s">
        <v>15</v>
      </c>
      <c r="E23" s="173">
        <v>43181</v>
      </c>
      <c r="F23" s="176">
        <v>6564.7434300000004</v>
      </c>
      <c r="G23" s="175" t="s">
        <v>19</v>
      </c>
      <c r="H23" s="172" t="s">
        <v>17</v>
      </c>
      <c r="I23" s="175">
        <v>1</v>
      </c>
      <c r="J23" s="175" t="s">
        <v>18</v>
      </c>
      <c r="K23" s="175" t="s">
        <v>57</v>
      </c>
      <c r="L23" s="172" t="s">
        <v>56</v>
      </c>
    </row>
    <row r="24" spans="1:12" x14ac:dyDescent="0.2">
      <c r="A24" s="172" t="s">
        <v>12</v>
      </c>
      <c r="B24" s="172" t="s">
        <v>13</v>
      </c>
      <c r="C24" s="172" t="s">
        <v>14</v>
      </c>
      <c r="D24" s="172" t="s">
        <v>15</v>
      </c>
      <c r="E24" s="173">
        <v>43181</v>
      </c>
      <c r="F24" s="174">
        <v>37.475999999999999</v>
      </c>
      <c r="G24" s="175" t="s">
        <v>16</v>
      </c>
      <c r="H24" s="172" t="s">
        <v>20</v>
      </c>
      <c r="I24" s="175">
        <v>1</v>
      </c>
      <c r="J24" s="175" t="s">
        <v>18</v>
      </c>
      <c r="K24" s="175" t="s">
        <v>57</v>
      </c>
      <c r="L24" s="172" t="s">
        <v>56</v>
      </c>
    </row>
    <row r="25" spans="1:12" x14ac:dyDescent="0.2">
      <c r="A25" s="172" t="s">
        <v>12</v>
      </c>
      <c r="B25" s="172" t="s">
        <v>13</v>
      </c>
      <c r="C25" s="172" t="s">
        <v>14</v>
      </c>
      <c r="D25" s="172" t="s">
        <v>15</v>
      </c>
      <c r="E25" s="173">
        <v>43181</v>
      </c>
      <c r="F25" s="176">
        <v>7282.4112720000003</v>
      </c>
      <c r="G25" s="175" t="s">
        <v>19</v>
      </c>
      <c r="H25" s="172" t="s">
        <v>20</v>
      </c>
      <c r="I25" s="175">
        <v>1</v>
      </c>
      <c r="J25" s="175" t="s">
        <v>18</v>
      </c>
      <c r="K25" s="175" t="s">
        <v>57</v>
      </c>
      <c r="L25" s="172" t="s">
        <v>56</v>
      </c>
    </row>
    <row r="26" spans="1:12" x14ac:dyDescent="0.2">
      <c r="A26" s="172" t="s">
        <v>12</v>
      </c>
      <c r="B26" s="172" t="s">
        <v>13</v>
      </c>
      <c r="C26" s="172" t="s">
        <v>14</v>
      </c>
      <c r="D26" s="172" t="s">
        <v>15</v>
      </c>
      <c r="E26" s="173">
        <v>43172</v>
      </c>
      <c r="F26" s="174">
        <v>40.092233999999998</v>
      </c>
      <c r="G26" s="175" t="s">
        <v>16</v>
      </c>
      <c r="H26" s="172" t="s">
        <v>17</v>
      </c>
      <c r="I26" s="175">
        <v>1</v>
      </c>
      <c r="J26" s="175" t="s">
        <v>18</v>
      </c>
      <c r="K26" s="175" t="s">
        <v>57</v>
      </c>
      <c r="L26" s="172" t="s">
        <v>56</v>
      </c>
    </row>
    <row r="27" spans="1:12" x14ac:dyDescent="0.2">
      <c r="A27" s="172" t="s">
        <v>12</v>
      </c>
      <c r="B27" s="172" t="s">
        <v>13</v>
      </c>
      <c r="C27" s="172" t="s">
        <v>14</v>
      </c>
      <c r="D27" s="172" t="s">
        <v>15</v>
      </c>
      <c r="E27" s="173">
        <v>43172</v>
      </c>
      <c r="F27" s="176">
        <v>7857.67695</v>
      </c>
      <c r="G27" s="175" t="s">
        <v>19</v>
      </c>
      <c r="H27" s="172" t="s">
        <v>17</v>
      </c>
      <c r="I27" s="175">
        <v>1</v>
      </c>
      <c r="J27" s="175" t="s">
        <v>18</v>
      </c>
      <c r="K27" s="175" t="s">
        <v>57</v>
      </c>
      <c r="L27" s="172" t="s">
        <v>56</v>
      </c>
    </row>
    <row r="28" spans="1:12" x14ac:dyDescent="0.2">
      <c r="A28" s="172" t="s">
        <v>12</v>
      </c>
      <c r="B28" s="172" t="s">
        <v>13</v>
      </c>
      <c r="C28" s="172" t="s">
        <v>14</v>
      </c>
      <c r="D28" s="172" t="s">
        <v>15</v>
      </c>
      <c r="E28" s="173">
        <v>43172</v>
      </c>
      <c r="F28" s="174">
        <v>34.826999999999998</v>
      </c>
      <c r="G28" s="175" t="s">
        <v>16</v>
      </c>
      <c r="H28" s="172" t="s">
        <v>20</v>
      </c>
      <c r="I28" s="175">
        <v>1</v>
      </c>
      <c r="J28" s="175" t="s">
        <v>18</v>
      </c>
      <c r="K28" s="175" t="s">
        <v>57</v>
      </c>
      <c r="L28" s="172" t="s">
        <v>56</v>
      </c>
    </row>
    <row r="29" spans="1:12" x14ac:dyDescent="0.2">
      <c r="A29" s="172" t="s">
        <v>12</v>
      </c>
      <c r="B29" s="172" t="s">
        <v>13</v>
      </c>
      <c r="C29" s="172" t="s">
        <v>14</v>
      </c>
      <c r="D29" s="172" t="s">
        <v>15</v>
      </c>
      <c r="E29" s="173">
        <v>43172</v>
      </c>
      <c r="F29" s="176">
        <v>7813.2981419999996</v>
      </c>
      <c r="G29" s="175" t="s">
        <v>19</v>
      </c>
      <c r="H29" s="172" t="s">
        <v>20</v>
      </c>
      <c r="I29" s="175">
        <v>1</v>
      </c>
      <c r="J29" s="175" t="s">
        <v>18</v>
      </c>
      <c r="K29" s="175" t="s">
        <v>57</v>
      </c>
      <c r="L29" s="172" t="s">
        <v>56</v>
      </c>
    </row>
    <row r="30" spans="1:12" x14ac:dyDescent="0.2">
      <c r="A30" s="172" t="s">
        <v>12</v>
      </c>
      <c r="B30" s="172" t="s">
        <v>13</v>
      </c>
      <c r="C30" s="172" t="s">
        <v>14</v>
      </c>
      <c r="D30" s="172" t="s">
        <v>15</v>
      </c>
      <c r="E30" s="173">
        <v>43164</v>
      </c>
      <c r="F30" s="174">
        <v>24.229531300000001</v>
      </c>
      <c r="G30" s="175" t="s">
        <v>16</v>
      </c>
      <c r="H30" s="172" t="s">
        <v>17</v>
      </c>
      <c r="I30" s="175">
        <v>1</v>
      </c>
      <c r="J30" s="175" t="s">
        <v>18</v>
      </c>
      <c r="K30" s="175" t="s">
        <v>57</v>
      </c>
      <c r="L30" s="172" t="s">
        <v>56</v>
      </c>
    </row>
    <row r="31" spans="1:12" x14ac:dyDescent="0.2">
      <c r="A31" s="172" t="s">
        <v>12</v>
      </c>
      <c r="B31" s="172" t="s">
        <v>13</v>
      </c>
      <c r="C31" s="172" t="s">
        <v>14</v>
      </c>
      <c r="D31" s="172" t="s">
        <v>15</v>
      </c>
      <c r="E31" s="173">
        <v>43164</v>
      </c>
      <c r="F31" s="176">
        <v>8062.7642219999998</v>
      </c>
      <c r="G31" s="175" t="s">
        <v>19</v>
      </c>
      <c r="H31" s="172" t="s">
        <v>17</v>
      </c>
      <c r="I31" s="175">
        <v>1</v>
      </c>
      <c r="J31" s="175" t="s">
        <v>18</v>
      </c>
      <c r="K31" s="175" t="s">
        <v>57</v>
      </c>
      <c r="L31" s="172" t="s">
        <v>56</v>
      </c>
    </row>
    <row r="32" spans="1:12" x14ac:dyDescent="0.2">
      <c r="A32" s="172" t="s">
        <v>12</v>
      </c>
      <c r="B32" s="172" t="s">
        <v>13</v>
      </c>
      <c r="C32" s="172" t="s">
        <v>14</v>
      </c>
      <c r="D32" s="172" t="s">
        <v>15</v>
      </c>
      <c r="E32" s="173">
        <v>43164</v>
      </c>
      <c r="F32" s="174">
        <v>24.459</v>
      </c>
      <c r="G32" s="175" t="s">
        <v>16</v>
      </c>
      <c r="H32" s="172" t="s">
        <v>20</v>
      </c>
      <c r="I32" s="175">
        <v>1</v>
      </c>
      <c r="J32" s="175" t="s">
        <v>18</v>
      </c>
      <c r="K32" s="175" t="s">
        <v>57</v>
      </c>
      <c r="L32" s="172" t="s">
        <v>56</v>
      </c>
    </row>
    <row r="33" spans="1:12" x14ac:dyDescent="0.2">
      <c r="A33" s="172" t="s">
        <v>12</v>
      </c>
      <c r="B33" s="172" t="s">
        <v>13</v>
      </c>
      <c r="C33" s="172" t="s">
        <v>14</v>
      </c>
      <c r="D33" s="172" t="s">
        <v>15</v>
      </c>
      <c r="E33" s="173">
        <v>43164</v>
      </c>
      <c r="F33" s="176">
        <v>7833.1415040000002</v>
      </c>
      <c r="G33" s="175" t="s">
        <v>19</v>
      </c>
      <c r="H33" s="172" t="s">
        <v>20</v>
      </c>
      <c r="I33" s="175">
        <v>1</v>
      </c>
      <c r="J33" s="175" t="s">
        <v>18</v>
      </c>
      <c r="K33" s="175" t="s">
        <v>57</v>
      </c>
      <c r="L33" s="172" t="s">
        <v>56</v>
      </c>
    </row>
    <row r="34" spans="1:12" x14ac:dyDescent="0.2">
      <c r="A34" s="172" t="s">
        <v>12</v>
      </c>
      <c r="B34" s="172" t="s">
        <v>13</v>
      </c>
      <c r="C34" s="172" t="s">
        <v>14</v>
      </c>
      <c r="D34" s="172" t="s">
        <v>15</v>
      </c>
      <c r="E34" s="173">
        <v>43158</v>
      </c>
      <c r="F34" s="174">
        <v>30.8400195</v>
      </c>
      <c r="G34" s="175" t="s">
        <v>16</v>
      </c>
      <c r="H34" s="172" t="s">
        <v>17</v>
      </c>
      <c r="I34" s="175">
        <v>1</v>
      </c>
      <c r="J34" s="175" t="s">
        <v>18</v>
      </c>
      <c r="K34" s="175" t="s">
        <v>57</v>
      </c>
      <c r="L34" s="172" t="s">
        <v>56</v>
      </c>
    </row>
    <row r="35" spans="1:12" x14ac:dyDescent="0.2">
      <c r="A35" s="172" t="s">
        <v>12</v>
      </c>
      <c r="B35" s="172" t="s">
        <v>13</v>
      </c>
      <c r="C35" s="172" t="s">
        <v>14</v>
      </c>
      <c r="D35" s="172" t="s">
        <v>15</v>
      </c>
      <c r="E35" s="173">
        <v>43158</v>
      </c>
      <c r="F35" s="176">
        <v>7896.2169240000003</v>
      </c>
      <c r="G35" s="175" t="s">
        <v>19</v>
      </c>
      <c r="H35" s="172" t="s">
        <v>17</v>
      </c>
      <c r="I35" s="175">
        <v>1</v>
      </c>
      <c r="J35" s="175" t="s">
        <v>18</v>
      </c>
      <c r="K35" s="175" t="s">
        <v>57</v>
      </c>
      <c r="L35" s="172" t="s">
        <v>56</v>
      </c>
    </row>
    <row r="36" spans="1:12" x14ac:dyDescent="0.2">
      <c r="A36" s="172" t="s">
        <v>12</v>
      </c>
      <c r="B36" s="172" t="s">
        <v>13</v>
      </c>
      <c r="C36" s="172" t="s">
        <v>14</v>
      </c>
      <c r="D36" s="172" t="s">
        <v>15</v>
      </c>
      <c r="E36" s="173">
        <v>43158</v>
      </c>
      <c r="F36" s="174">
        <v>35.896000000000001</v>
      </c>
      <c r="G36" s="175" t="s">
        <v>16</v>
      </c>
      <c r="H36" s="172" t="s">
        <v>20</v>
      </c>
      <c r="I36" s="175">
        <v>1</v>
      </c>
      <c r="J36" s="175" t="s">
        <v>18</v>
      </c>
      <c r="K36" s="175" t="s">
        <v>57</v>
      </c>
      <c r="L36" s="172" t="s">
        <v>56</v>
      </c>
    </row>
    <row r="37" spans="1:12" x14ac:dyDescent="0.2">
      <c r="A37" s="172" t="s">
        <v>12</v>
      </c>
      <c r="B37" s="172" t="s">
        <v>13</v>
      </c>
      <c r="C37" s="172" t="s">
        <v>14</v>
      </c>
      <c r="D37" s="172" t="s">
        <v>15</v>
      </c>
      <c r="E37" s="173">
        <v>43158</v>
      </c>
      <c r="F37" s="176">
        <v>9729.6108000000004</v>
      </c>
      <c r="G37" s="175" t="s">
        <v>19</v>
      </c>
      <c r="H37" s="172" t="s">
        <v>20</v>
      </c>
      <c r="I37" s="175">
        <v>1</v>
      </c>
      <c r="J37" s="175" t="s">
        <v>18</v>
      </c>
      <c r="K37" s="175" t="s">
        <v>57</v>
      </c>
      <c r="L37" s="172" t="s">
        <v>56</v>
      </c>
    </row>
    <row r="38" spans="1:12" x14ac:dyDescent="0.2">
      <c r="A38" s="172" t="s">
        <v>12</v>
      </c>
      <c r="B38" s="172" t="s">
        <v>13</v>
      </c>
      <c r="C38" s="172" t="s">
        <v>14</v>
      </c>
      <c r="D38" s="172" t="s">
        <v>15</v>
      </c>
      <c r="E38" s="173">
        <v>43151</v>
      </c>
      <c r="F38" s="174">
        <v>22.684182499999999</v>
      </c>
      <c r="G38" s="175" t="s">
        <v>16</v>
      </c>
      <c r="H38" s="172" t="s">
        <v>17</v>
      </c>
      <c r="I38" s="175">
        <v>1</v>
      </c>
      <c r="J38" s="175" t="s">
        <v>18</v>
      </c>
      <c r="K38" s="175" t="s">
        <v>57</v>
      </c>
      <c r="L38" s="172" t="s">
        <v>56</v>
      </c>
    </row>
    <row r="39" spans="1:12" x14ac:dyDescent="0.2">
      <c r="A39" s="172" t="s">
        <v>12</v>
      </c>
      <c r="B39" s="172" t="s">
        <v>13</v>
      </c>
      <c r="C39" s="172" t="s">
        <v>14</v>
      </c>
      <c r="D39" s="172" t="s">
        <v>15</v>
      </c>
      <c r="E39" s="173">
        <v>43151</v>
      </c>
      <c r="F39" s="176">
        <v>8910.6645000000008</v>
      </c>
      <c r="G39" s="175" t="s">
        <v>19</v>
      </c>
      <c r="H39" s="172" t="s">
        <v>17</v>
      </c>
      <c r="I39" s="175">
        <v>1</v>
      </c>
      <c r="J39" s="175" t="s">
        <v>18</v>
      </c>
      <c r="K39" s="175" t="s">
        <v>57</v>
      </c>
      <c r="L39" s="172" t="s">
        <v>56</v>
      </c>
    </row>
    <row r="40" spans="1:12" x14ac:dyDescent="0.2">
      <c r="A40" s="172" t="s">
        <v>12</v>
      </c>
      <c r="B40" s="172" t="s">
        <v>13</v>
      </c>
      <c r="C40" s="172" t="s">
        <v>14</v>
      </c>
      <c r="D40" s="172" t="s">
        <v>15</v>
      </c>
      <c r="E40" s="173">
        <v>43151</v>
      </c>
      <c r="F40" s="174">
        <v>24.120999999999999</v>
      </c>
      <c r="G40" s="175" t="s">
        <v>16</v>
      </c>
      <c r="H40" s="172" t="s">
        <v>20</v>
      </c>
      <c r="I40" s="175">
        <v>1</v>
      </c>
      <c r="J40" s="175" t="s">
        <v>18</v>
      </c>
      <c r="K40" s="175" t="s">
        <v>57</v>
      </c>
      <c r="L40" s="172" t="s">
        <v>56</v>
      </c>
    </row>
    <row r="41" spans="1:12" x14ac:dyDescent="0.2">
      <c r="A41" s="172" t="s">
        <v>12</v>
      </c>
      <c r="B41" s="172" t="s">
        <v>13</v>
      </c>
      <c r="C41" s="172" t="s">
        <v>14</v>
      </c>
      <c r="D41" s="172" t="s">
        <v>15</v>
      </c>
      <c r="E41" s="173">
        <v>43151</v>
      </c>
      <c r="F41" s="176">
        <v>8610.0391920000002</v>
      </c>
      <c r="G41" s="175" t="s">
        <v>19</v>
      </c>
      <c r="H41" s="172" t="s">
        <v>20</v>
      </c>
      <c r="I41" s="175">
        <v>1</v>
      </c>
      <c r="J41" s="175" t="s">
        <v>18</v>
      </c>
      <c r="K41" s="175" t="s">
        <v>57</v>
      </c>
      <c r="L41" s="172" t="s">
        <v>56</v>
      </c>
    </row>
    <row r="42" spans="1:12" x14ac:dyDescent="0.2">
      <c r="A42" s="172" t="s">
        <v>12</v>
      </c>
      <c r="B42" s="172" t="s">
        <v>13</v>
      </c>
      <c r="C42" s="172" t="s">
        <v>14</v>
      </c>
      <c r="D42" s="172" t="s">
        <v>15</v>
      </c>
      <c r="E42" s="173">
        <v>43145</v>
      </c>
      <c r="F42" s="174">
        <v>56.877447799999999</v>
      </c>
      <c r="G42" s="175" t="s">
        <v>16</v>
      </c>
      <c r="H42" s="172" t="s">
        <v>17</v>
      </c>
      <c r="I42" s="175">
        <v>1</v>
      </c>
      <c r="J42" s="175" t="s">
        <v>18</v>
      </c>
      <c r="K42" s="175" t="s">
        <v>57</v>
      </c>
      <c r="L42" s="172" t="s">
        <v>56</v>
      </c>
    </row>
    <row r="43" spans="1:12" x14ac:dyDescent="0.2">
      <c r="A43" s="172" t="s">
        <v>12</v>
      </c>
      <c r="B43" s="172" t="s">
        <v>13</v>
      </c>
      <c r="C43" s="172" t="s">
        <v>14</v>
      </c>
      <c r="D43" s="172" t="s">
        <v>15</v>
      </c>
      <c r="E43" s="173">
        <v>43145</v>
      </c>
      <c r="F43" s="176">
        <v>8770.8778433999996</v>
      </c>
      <c r="G43" s="175" t="s">
        <v>19</v>
      </c>
      <c r="H43" s="172" t="s">
        <v>17</v>
      </c>
      <c r="I43" s="175">
        <v>1</v>
      </c>
      <c r="J43" s="175" t="s">
        <v>18</v>
      </c>
      <c r="K43" s="175" t="s">
        <v>57</v>
      </c>
      <c r="L43" s="172" t="s">
        <v>56</v>
      </c>
    </row>
    <row r="44" spans="1:12" x14ac:dyDescent="0.2">
      <c r="A44" s="172" t="s">
        <v>12</v>
      </c>
      <c r="B44" s="172" t="s">
        <v>13</v>
      </c>
      <c r="C44" s="172" t="s">
        <v>14</v>
      </c>
      <c r="D44" s="172" t="s">
        <v>15</v>
      </c>
      <c r="E44" s="173">
        <v>43145</v>
      </c>
      <c r="F44" s="174">
        <v>46.072000000000003</v>
      </c>
      <c r="G44" s="175" t="s">
        <v>16</v>
      </c>
      <c r="H44" s="172" t="s">
        <v>20</v>
      </c>
      <c r="I44" s="175">
        <v>1</v>
      </c>
      <c r="J44" s="175" t="s">
        <v>18</v>
      </c>
      <c r="K44" s="175" t="s">
        <v>57</v>
      </c>
      <c r="L44" s="172" t="s">
        <v>56</v>
      </c>
    </row>
    <row r="45" spans="1:12" x14ac:dyDescent="0.2">
      <c r="A45" s="172" t="s">
        <v>12</v>
      </c>
      <c r="B45" s="172" t="s">
        <v>13</v>
      </c>
      <c r="C45" s="172" t="s">
        <v>14</v>
      </c>
      <c r="D45" s="172" t="s">
        <v>15</v>
      </c>
      <c r="E45" s="173">
        <v>43145</v>
      </c>
      <c r="F45" s="176">
        <v>7957.6203408000001</v>
      </c>
      <c r="G45" s="175" t="s">
        <v>19</v>
      </c>
      <c r="H45" s="172" t="s">
        <v>20</v>
      </c>
      <c r="I45" s="175">
        <v>1</v>
      </c>
      <c r="J45" s="175" t="s">
        <v>18</v>
      </c>
      <c r="K45" s="175" t="s">
        <v>57</v>
      </c>
      <c r="L45" s="172" t="s">
        <v>56</v>
      </c>
    </row>
    <row r="46" spans="1:12" x14ac:dyDescent="0.2">
      <c r="A46" s="172" t="s">
        <v>12</v>
      </c>
      <c r="B46" s="172" t="s">
        <v>13</v>
      </c>
      <c r="C46" s="172" t="s">
        <v>14</v>
      </c>
      <c r="D46" s="172" t="s">
        <v>15</v>
      </c>
      <c r="E46" s="173">
        <v>43136</v>
      </c>
      <c r="F46" s="174">
        <v>54.344901700000001</v>
      </c>
      <c r="G46" s="175" t="s">
        <v>16</v>
      </c>
      <c r="H46" s="172" t="s">
        <v>17</v>
      </c>
      <c r="I46" s="175">
        <v>1</v>
      </c>
      <c r="J46" s="175" t="s">
        <v>18</v>
      </c>
      <c r="K46" s="175" t="s">
        <v>57</v>
      </c>
      <c r="L46" s="172" t="s">
        <v>56</v>
      </c>
    </row>
    <row r="47" spans="1:12" x14ac:dyDescent="0.2">
      <c r="A47" s="172" t="s">
        <v>12</v>
      </c>
      <c r="B47" s="172" t="s">
        <v>13</v>
      </c>
      <c r="C47" s="172" t="s">
        <v>14</v>
      </c>
      <c r="D47" s="172" t="s">
        <v>15</v>
      </c>
      <c r="E47" s="173">
        <v>43136</v>
      </c>
      <c r="F47" s="176">
        <v>7840.9911119999997</v>
      </c>
      <c r="G47" s="175" t="s">
        <v>19</v>
      </c>
      <c r="H47" s="172" t="s">
        <v>17</v>
      </c>
      <c r="I47" s="175">
        <v>1</v>
      </c>
      <c r="J47" s="175" t="s">
        <v>18</v>
      </c>
      <c r="K47" s="175" t="s">
        <v>57</v>
      </c>
      <c r="L47" s="172" t="s">
        <v>56</v>
      </c>
    </row>
    <row r="48" spans="1:12" x14ac:dyDescent="0.2">
      <c r="A48" s="172" t="s">
        <v>12</v>
      </c>
      <c r="B48" s="172" t="s">
        <v>13</v>
      </c>
      <c r="C48" s="172" t="s">
        <v>14</v>
      </c>
      <c r="D48" s="172" t="s">
        <v>15</v>
      </c>
      <c r="E48" s="173">
        <v>43136</v>
      </c>
      <c r="F48" s="174">
        <v>39.231000000000002</v>
      </c>
      <c r="G48" s="175" t="s">
        <v>16</v>
      </c>
      <c r="H48" s="172" t="s">
        <v>20</v>
      </c>
      <c r="I48" s="175">
        <v>1</v>
      </c>
      <c r="J48" s="175" t="s">
        <v>18</v>
      </c>
      <c r="K48" s="175" t="s">
        <v>57</v>
      </c>
      <c r="L48" s="172" t="s">
        <v>56</v>
      </c>
    </row>
    <row r="49" spans="1:12" x14ac:dyDescent="0.2">
      <c r="A49" s="172" t="s">
        <v>12</v>
      </c>
      <c r="B49" s="172" t="s">
        <v>13</v>
      </c>
      <c r="C49" s="172" t="s">
        <v>14</v>
      </c>
      <c r="D49" s="172" t="s">
        <v>15</v>
      </c>
      <c r="E49" s="173">
        <v>43136</v>
      </c>
      <c r="F49" s="176">
        <v>6674.6054160000003</v>
      </c>
      <c r="G49" s="175" t="s">
        <v>19</v>
      </c>
      <c r="H49" s="172" t="s">
        <v>20</v>
      </c>
      <c r="I49" s="175">
        <v>1</v>
      </c>
      <c r="J49" s="175" t="s">
        <v>18</v>
      </c>
      <c r="K49" s="175" t="s">
        <v>57</v>
      </c>
      <c r="L49" s="172" t="s">
        <v>56</v>
      </c>
    </row>
    <row r="50" spans="1:12" x14ac:dyDescent="0.2">
      <c r="A50" s="172" t="s">
        <v>12</v>
      </c>
      <c r="B50" s="172" t="s">
        <v>13</v>
      </c>
      <c r="C50" s="172" t="s">
        <v>14</v>
      </c>
      <c r="D50" s="172" t="s">
        <v>15</v>
      </c>
      <c r="E50" s="173">
        <v>43131</v>
      </c>
      <c r="F50" s="174">
        <v>51.938347999999998</v>
      </c>
      <c r="G50" s="175" t="s">
        <v>16</v>
      </c>
      <c r="H50" s="172" t="s">
        <v>17</v>
      </c>
      <c r="I50" s="175">
        <v>1</v>
      </c>
      <c r="J50" s="175" t="s">
        <v>18</v>
      </c>
      <c r="K50" s="175" t="s">
        <v>57</v>
      </c>
      <c r="L50" s="172" t="s">
        <v>56</v>
      </c>
    </row>
    <row r="51" spans="1:12" x14ac:dyDescent="0.2">
      <c r="A51" s="172" t="s">
        <v>12</v>
      </c>
      <c r="B51" s="172" t="s">
        <v>13</v>
      </c>
      <c r="C51" s="172" t="s">
        <v>14</v>
      </c>
      <c r="D51" s="172" t="s">
        <v>15</v>
      </c>
      <c r="E51" s="173">
        <v>43131</v>
      </c>
      <c r="F51" s="176">
        <v>7840.3013940000001</v>
      </c>
      <c r="G51" s="175" t="s">
        <v>19</v>
      </c>
      <c r="H51" s="172" t="s">
        <v>17</v>
      </c>
      <c r="I51" s="175">
        <v>1</v>
      </c>
      <c r="J51" s="175" t="s">
        <v>18</v>
      </c>
      <c r="K51" s="175" t="s">
        <v>57</v>
      </c>
      <c r="L51" s="172" t="s">
        <v>56</v>
      </c>
    </row>
    <row r="52" spans="1:12" x14ac:dyDescent="0.2">
      <c r="A52" s="172" t="s">
        <v>12</v>
      </c>
      <c r="B52" s="172" t="s">
        <v>13</v>
      </c>
      <c r="C52" s="172" t="s">
        <v>14</v>
      </c>
      <c r="D52" s="172" t="s">
        <v>15</v>
      </c>
      <c r="E52" s="173">
        <v>43131</v>
      </c>
      <c r="F52" s="174">
        <v>47.088000000000001</v>
      </c>
      <c r="G52" s="175" t="s">
        <v>16</v>
      </c>
      <c r="H52" s="172" t="s">
        <v>20</v>
      </c>
      <c r="I52" s="175">
        <v>1</v>
      </c>
      <c r="J52" s="175" t="s">
        <v>18</v>
      </c>
      <c r="K52" s="175" t="s">
        <v>57</v>
      </c>
      <c r="L52" s="172" t="s">
        <v>56</v>
      </c>
    </row>
    <row r="53" spans="1:12" x14ac:dyDescent="0.2">
      <c r="A53" s="172" t="s">
        <v>12</v>
      </c>
      <c r="B53" s="172" t="s">
        <v>13</v>
      </c>
      <c r="C53" s="172" t="s">
        <v>14</v>
      </c>
      <c r="D53" s="172" t="s">
        <v>15</v>
      </c>
      <c r="E53" s="173">
        <v>43131</v>
      </c>
      <c r="F53" s="176">
        <v>8011.3639679999997</v>
      </c>
      <c r="G53" s="175" t="s">
        <v>19</v>
      </c>
      <c r="H53" s="172" t="s">
        <v>20</v>
      </c>
      <c r="I53" s="175">
        <v>1</v>
      </c>
      <c r="J53" s="175" t="s">
        <v>18</v>
      </c>
      <c r="K53" s="175" t="s">
        <v>57</v>
      </c>
      <c r="L53" s="172" t="s">
        <v>56</v>
      </c>
    </row>
    <row r="54" spans="1:12" x14ac:dyDescent="0.2">
      <c r="A54" s="172" t="s">
        <v>12</v>
      </c>
      <c r="B54" s="172" t="s">
        <v>13</v>
      </c>
      <c r="C54" s="172" t="s">
        <v>14</v>
      </c>
      <c r="D54" s="172" t="s">
        <v>15</v>
      </c>
      <c r="E54" s="173">
        <v>43123</v>
      </c>
      <c r="F54" s="174">
        <v>54.053984200000002</v>
      </c>
      <c r="G54" s="175" t="s">
        <v>16</v>
      </c>
      <c r="H54" s="172" t="s">
        <v>17</v>
      </c>
      <c r="I54" s="175">
        <v>1</v>
      </c>
      <c r="J54" s="175" t="s">
        <v>18</v>
      </c>
      <c r="K54" s="175" t="s">
        <v>57</v>
      </c>
      <c r="L54" s="172" t="s">
        <v>56</v>
      </c>
    </row>
    <row r="55" spans="1:12" x14ac:dyDescent="0.2">
      <c r="A55" s="172" t="s">
        <v>12</v>
      </c>
      <c r="B55" s="172" t="s">
        <v>13</v>
      </c>
      <c r="C55" s="172" t="s">
        <v>14</v>
      </c>
      <c r="D55" s="172" t="s">
        <v>15</v>
      </c>
      <c r="E55" s="173">
        <v>43123</v>
      </c>
      <c r="F55" s="176">
        <v>8565.3943380000001</v>
      </c>
      <c r="G55" s="175" t="s">
        <v>19</v>
      </c>
      <c r="H55" s="172" t="s">
        <v>17</v>
      </c>
      <c r="I55" s="175">
        <v>1</v>
      </c>
      <c r="J55" s="175" t="s">
        <v>18</v>
      </c>
      <c r="K55" s="175" t="s">
        <v>57</v>
      </c>
      <c r="L55" s="172" t="s">
        <v>56</v>
      </c>
    </row>
    <row r="56" spans="1:12" x14ac:dyDescent="0.2">
      <c r="A56" s="172" t="s">
        <v>12</v>
      </c>
      <c r="B56" s="172" t="s">
        <v>13</v>
      </c>
      <c r="C56" s="172" t="s">
        <v>14</v>
      </c>
      <c r="D56" s="172" t="s">
        <v>15</v>
      </c>
      <c r="E56" s="173">
        <v>43123</v>
      </c>
      <c r="F56" s="174">
        <v>41.713000000000001</v>
      </c>
      <c r="G56" s="175" t="s">
        <v>16</v>
      </c>
      <c r="H56" s="172" t="s">
        <v>20</v>
      </c>
      <c r="I56" s="175">
        <v>1</v>
      </c>
      <c r="J56" s="175" t="s">
        <v>18</v>
      </c>
      <c r="K56" s="175" t="s">
        <v>57</v>
      </c>
      <c r="L56" s="172" t="s">
        <v>56</v>
      </c>
    </row>
    <row r="57" spans="1:12" x14ac:dyDescent="0.2">
      <c r="A57" s="172" t="s">
        <v>12</v>
      </c>
      <c r="B57" s="172" t="s">
        <v>13</v>
      </c>
      <c r="C57" s="172" t="s">
        <v>14</v>
      </c>
      <c r="D57" s="172" t="s">
        <v>15</v>
      </c>
      <c r="E57" s="173">
        <v>43123</v>
      </c>
      <c r="F57" s="176">
        <v>7723.0785239999996</v>
      </c>
      <c r="G57" s="175" t="s">
        <v>19</v>
      </c>
      <c r="H57" s="172" t="s">
        <v>20</v>
      </c>
      <c r="I57" s="175">
        <v>1</v>
      </c>
      <c r="J57" s="175" t="s">
        <v>18</v>
      </c>
      <c r="K57" s="175" t="s">
        <v>57</v>
      </c>
      <c r="L57" s="172" t="s">
        <v>56</v>
      </c>
    </row>
    <row r="58" spans="1:12" x14ac:dyDescent="0.2">
      <c r="A58" s="172" t="s">
        <v>12</v>
      </c>
      <c r="B58" s="172" t="s">
        <v>13</v>
      </c>
      <c r="C58" s="172" t="s">
        <v>14</v>
      </c>
      <c r="D58" s="172" t="s">
        <v>15</v>
      </c>
      <c r="E58" s="173">
        <v>43115</v>
      </c>
      <c r="F58" s="174">
        <v>15.422096700000001</v>
      </c>
      <c r="G58" s="175" t="s">
        <v>16</v>
      </c>
      <c r="H58" s="172" t="s">
        <v>17</v>
      </c>
      <c r="I58" s="175">
        <v>1</v>
      </c>
      <c r="J58" s="175" t="s">
        <v>18</v>
      </c>
      <c r="K58" s="175" t="s">
        <v>57</v>
      </c>
      <c r="L58" s="172" t="s">
        <v>56</v>
      </c>
    </row>
    <row r="59" spans="1:12" x14ac:dyDescent="0.2">
      <c r="A59" s="172" t="s">
        <v>12</v>
      </c>
      <c r="B59" s="172" t="s">
        <v>13</v>
      </c>
      <c r="C59" s="172" t="s">
        <v>14</v>
      </c>
      <c r="D59" s="172" t="s">
        <v>15</v>
      </c>
      <c r="E59" s="173">
        <v>43115</v>
      </c>
      <c r="F59" s="176">
        <v>2392.33734</v>
      </c>
      <c r="G59" s="175" t="s">
        <v>19</v>
      </c>
      <c r="H59" s="172" t="s">
        <v>17</v>
      </c>
      <c r="I59" s="175">
        <v>1</v>
      </c>
      <c r="J59" s="175" t="s">
        <v>18</v>
      </c>
      <c r="K59" s="175" t="s">
        <v>57</v>
      </c>
      <c r="L59" s="172" t="s">
        <v>56</v>
      </c>
    </row>
    <row r="60" spans="1:12" x14ac:dyDescent="0.2">
      <c r="A60" s="172" t="s">
        <v>12</v>
      </c>
      <c r="B60" s="172" t="s">
        <v>13</v>
      </c>
      <c r="C60" s="172" t="s">
        <v>14</v>
      </c>
      <c r="D60" s="172" t="s">
        <v>15</v>
      </c>
      <c r="E60" s="173">
        <v>43115</v>
      </c>
      <c r="F60" s="174">
        <v>27.018999999999998</v>
      </c>
      <c r="G60" s="175" t="s">
        <v>16</v>
      </c>
      <c r="H60" s="172" t="s">
        <v>20</v>
      </c>
      <c r="I60" s="175">
        <v>1</v>
      </c>
      <c r="J60" s="175" t="s">
        <v>18</v>
      </c>
      <c r="K60" s="175" t="s">
        <v>57</v>
      </c>
      <c r="L60" s="172" t="s">
        <v>56</v>
      </c>
    </row>
    <row r="61" spans="1:12" x14ac:dyDescent="0.2">
      <c r="A61" s="172" t="s">
        <v>12</v>
      </c>
      <c r="B61" s="172" t="s">
        <v>13</v>
      </c>
      <c r="C61" s="172" t="s">
        <v>14</v>
      </c>
      <c r="D61" s="172" t="s">
        <v>15</v>
      </c>
      <c r="E61" s="173">
        <v>43115</v>
      </c>
      <c r="F61" s="176">
        <v>4957.4461199999996</v>
      </c>
      <c r="G61" s="175" t="s">
        <v>19</v>
      </c>
      <c r="H61" s="172" t="s">
        <v>20</v>
      </c>
      <c r="I61" s="175">
        <v>1</v>
      </c>
      <c r="J61" s="175" t="s">
        <v>18</v>
      </c>
      <c r="K61" s="175" t="s">
        <v>57</v>
      </c>
      <c r="L61" s="172" t="s">
        <v>56</v>
      </c>
    </row>
    <row r="62" spans="1:12" x14ac:dyDescent="0.2">
      <c r="A62" s="172" t="s">
        <v>12</v>
      </c>
      <c r="B62" s="172" t="s">
        <v>13</v>
      </c>
      <c r="C62" s="172" t="s">
        <v>14</v>
      </c>
      <c r="D62" s="172" t="s">
        <v>15</v>
      </c>
      <c r="E62" s="173">
        <v>43109</v>
      </c>
      <c r="F62" s="174">
        <v>54.626713500000001</v>
      </c>
      <c r="G62" s="175" t="s">
        <v>16</v>
      </c>
      <c r="H62" s="172" t="s">
        <v>17</v>
      </c>
      <c r="I62" s="175">
        <v>1</v>
      </c>
      <c r="J62" s="175" t="s">
        <v>18</v>
      </c>
      <c r="K62" s="175" t="s">
        <v>57</v>
      </c>
      <c r="L62" s="172" t="s">
        <v>56</v>
      </c>
    </row>
    <row r="63" spans="1:12" x14ac:dyDescent="0.2">
      <c r="A63" s="172" t="s">
        <v>12</v>
      </c>
      <c r="B63" s="172" t="s">
        <v>13</v>
      </c>
      <c r="C63" s="172" t="s">
        <v>14</v>
      </c>
      <c r="D63" s="172" t="s">
        <v>15</v>
      </c>
      <c r="E63" s="173">
        <v>43109</v>
      </c>
      <c r="F63" s="176">
        <v>8428.3556279999993</v>
      </c>
      <c r="G63" s="175" t="s">
        <v>19</v>
      </c>
      <c r="H63" s="172" t="s">
        <v>17</v>
      </c>
      <c r="I63" s="175">
        <v>1</v>
      </c>
      <c r="J63" s="175" t="s">
        <v>18</v>
      </c>
      <c r="K63" s="175" t="s">
        <v>57</v>
      </c>
      <c r="L63" s="172" t="s">
        <v>56</v>
      </c>
    </row>
    <row r="64" spans="1:12" x14ac:dyDescent="0.2">
      <c r="A64" s="172" t="s">
        <v>12</v>
      </c>
      <c r="B64" s="172" t="s">
        <v>13</v>
      </c>
      <c r="C64" s="172" t="s">
        <v>14</v>
      </c>
      <c r="D64" s="172" t="s">
        <v>15</v>
      </c>
      <c r="E64" s="173">
        <v>43109</v>
      </c>
      <c r="F64" s="174">
        <v>46.792000000000002</v>
      </c>
      <c r="G64" s="175" t="s">
        <v>16</v>
      </c>
      <c r="H64" s="172" t="s">
        <v>20</v>
      </c>
      <c r="I64" s="175">
        <v>1</v>
      </c>
      <c r="J64" s="175" t="s">
        <v>18</v>
      </c>
      <c r="K64" s="175" t="s">
        <v>57</v>
      </c>
      <c r="L64" s="172" t="s">
        <v>56</v>
      </c>
    </row>
    <row r="65" spans="1:13" x14ac:dyDescent="0.2">
      <c r="A65" s="172" t="s">
        <v>12</v>
      </c>
      <c r="B65" s="172" t="s">
        <v>13</v>
      </c>
      <c r="C65" s="172" t="s">
        <v>14</v>
      </c>
      <c r="D65" s="172" t="s">
        <v>15</v>
      </c>
      <c r="E65" s="173">
        <v>43109</v>
      </c>
      <c r="F65" s="176">
        <v>8741.4942719999999</v>
      </c>
      <c r="G65" s="175" t="s">
        <v>19</v>
      </c>
      <c r="H65" s="172" t="s">
        <v>20</v>
      </c>
      <c r="I65" s="175">
        <v>1</v>
      </c>
      <c r="J65" s="175" t="s">
        <v>18</v>
      </c>
      <c r="K65" s="175" t="s">
        <v>57</v>
      </c>
      <c r="L65" s="172" t="s">
        <v>56</v>
      </c>
    </row>
    <row r="66" spans="1:13" x14ac:dyDescent="0.2">
      <c r="A66" s="172" t="s">
        <v>12</v>
      </c>
      <c r="B66" s="172" t="s">
        <v>13</v>
      </c>
      <c r="C66" s="172" t="s">
        <v>14</v>
      </c>
      <c r="D66" s="172" t="s">
        <v>15</v>
      </c>
      <c r="E66" s="173">
        <v>43103</v>
      </c>
      <c r="F66" s="174">
        <v>46.073741900000002</v>
      </c>
      <c r="G66" s="175" t="s">
        <v>16</v>
      </c>
      <c r="H66" s="172" t="s">
        <v>17</v>
      </c>
      <c r="I66" s="175">
        <v>1</v>
      </c>
      <c r="J66" s="175" t="s">
        <v>18</v>
      </c>
      <c r="K66" s="175" t="s">
        <v>57</v>
      </c>
      <c r="L66" s="172" t="s">
        <v>56</v>
      </c>
    </row>
    <row r="67" spans="1:13" x14ac:dyDescent="0.2">
      <c r="A67" s="172" t="s">
        <v>12</v>
      </c>
      <c r="B67" s="172" t="s">
        <v>13</v>
      </c>
      <c r="C67" s="172" t="s">
        <v>14</v>
      </c>
      <c r="D67" s="172" t="s">
        <v>15</v>
      </c>
      <c r="E67" s="173">
        <v>43103</v>
      </c>
      <c r="F67" s="176">
        <v>7147.1431439999997</v>
      </c>
      <c r="G67" s="175" t="s">
        <v>19</v>
      </c>
      <c r="H67" s="172" t="s">
        <v>17</v>
      </c>
      <c r="I67" s="175">
        <v>1</v>
      </c>
      <c r="J67" s="175" t="s">
        <v>18</v>
      </c>
      <c r="K67" s="175" t="s">
        <v>57</v>
      </c>
      <c r="L67" s="172" t="s">
        <v>56</v>
      </c>
    </row>
    <row r="68" spans="1:13" x14ac:dyDescent="0.2">
      <c r="A68" s="172" t="s">
        <v>12</v>
      </c>
      <c r="B68" s="172" t="s">
        <v>13</v>
      </c>
      <c r="C68" s="172" t="s">
        <v>14</v>
      </c>
      <c r="D68" s="172" t="s">
        <v>15</v>
      </c>
      <c r="E68" s="173">
        <v>43103</v>
      </c>
      <c r="F68" s="174">
        <v>30.178999999999998</v>
      </c>
      <c r="G68" s="175" t="s">
        <v>16</v>
      </c>
      <c r="H68" s="172" t="s">
        <v>20</v>
      </c>
      <c r="I68" s="175">
        <v>1</v>
      </c>
      <c r="J68" s="175" t="s">
        <v>18</v>
      </c>
      <c r="K68" s="175" t="s">
        <v>57</v>
      </c>
      <c r="L68" s="172" t="s">
        <v>56</v>
      </c>
    </row>
    <row r="69" spans="1:13" x14ac:dyDescent="0.2">
      <c r="A69" s="172" t="s">
        <v>12</v>
      </c>
      <c r="B69" s="172" t="s">
        <v>13</v>
      </c>
      <c r="C69" s="172" t="s">
        <v>14</v>
      </c>
      <c r="D69" s="172" t="s">
        <v>15</v>
      </c>
      <c r="E69" s="173">
        <v>43103</v>
      </c>
      <c r="F69" s="176">
        <v>5386.2272039999998</v>
      </c>
      <c r="G69" s="175" t="s">
        <v>19</v>
      </c>
      <c r="H69" s="172" t="s">
        <v>20</v>
      </c>
      <c r="I69" s="175">
        <v>1</v>
      </c>
      <c r="J69" s="175" t="s">
        <v>18</v>
      </c>
      <c r="K69" s="175" t="s">
        <v>57</v>
      </c>
      <c r="L69" s="172" t="s">
        <v>56</v>
      </c>
    </row>
    <row r="70" spans="1:13" x14ac:dyDescent="0.2">
      <c r="A70" s="172" t="s">
        <v>12</v>
      </c>
      <c r="B70" s="172" t="s">
        <v>13</v>
      </c>
      <c r="C70" s="172" t="s">
        <v>14</v>
      </c>
      <c r="D70" s="172" t="s">
        <v>15</v>
      </c>
      <c r="E70" s="173">
        <v>43095</v>
      </c>
      <c r="F70" s="174">
        <v>33.974615300000004</v>
      </c>
      <c r="G70" s="175" t="s">
        <v>16</v>
      </c>
      <c r="H70" s="172" t="s">
        <v>17</v>
      </c>
      <c r="I70" s="175">
        <v>1</v>
      </c>
      <c r="J70" s="175" t="s">
        <v>18</v>
      </c>
      <c r="K70" s="175" t="s">
        <v>57</v>
      </c>
      <c r="L70" s="172" t="s">
        <v>56</v>
      </c>
      <c r="M70" s="172" t="s">
        <v>17</v>
      </c>
    </row>
    <row r="71" spans="1:13" x14ac:dyDescent="0.2">
      <c r="A71" s="172" t="s">
        <v>12</v>
      </c>
      <c r="B71" s="172" t="s">
        <v>13</v>
      </c>
      <c r="C71" s="172" t="s">
        <v>14</v>
      </c>
      <c r="D71" s="172" t="s">
        <v>15</v>
      </c>
      <c r="E71" s="173">
        <v>43095</v>
      </c>
      <c r="F71" s="176">
        <v>4420.2333600000002</v>
      </c>
      <c r="G71" s="175" t="s">
        <v>19</v>
      </c>
      <c r="H71" s="172" t="s">
        <v>17</v>
      </c>
      <c r="I71" s="175">
        <v>1</v>
      </c>
      <c r="J71" s="175" t="s">
        <v>18</v>
      </c>
      <c r="K71" s="175" t="s">
        <v>57</v>
      </c>
      <c r="L71" s="172" t="s">
        <v>56</v>
      </c>
      <c r="M71" s="172" t="s">
        <v>17</v>
      </c>
    </row>
    <row r="72" spans="1:13" x14ac:dyDescent="0.2">
      <c r="A72" s="172" t="s">
        <v>12</v>
      </c>
      <c r="B72" s="172" t="s">
        <v>13</v>
      </c>
      <c r="C72" s="172" t="s">
        <v>14</v>
      </c>
      <c r="D72" s="172" t="s">
        <v>15</v>
      </c>
      <c r="E72" s="173">
        <v>43095</v>
      </c>
      <c r="F72" s="174">
        <v>20.51</v>
      </c>
      <c r="G72" s="175" t="s">
        <v>16</v>
      </c>
      <c r="H72" s="172" t="s">
        <v>20</v>
      </c>
      <c r="I72" s="175">
        <v>1</v>
      </c>
      <c r="J72" s="175" t="s">
        <v>18</v>
      </c>
      <c r="K72" s="175" t="s">
        <v>57</v>
      </c>
      <c r="L72" s="172" t="s">
        <v>56</v>
      </c>
      <c r="M72" s="172" t="s">
        <v>20</v>
      </c>
    </row>
    <row r="73" spans="1:13" x14ac:dyDescent="0.2">
      <c r="A73" s="172" t="s">
        <v>12</v>
      </c>
      <c r="B73" s="172" t="s">
        <v>13</v>
      </c>
      <c r="C73" s="172" t="s">
        <v>14</v>
      </c>
      <c r="D73" s="172" t="s">
        <v>15</v>
      </c>
      <c r="E73" s="173">
        <v>43095</v>
      </c>
      <c r="F73" s="176">
        <v>3250.0146</v>
      </c>
      <c r="G73" s="175" t="s">
        <v>19</v>
      </c>
      <c r="H73" s="172" t="s">
        <v>20</v>
      </c>
      <c r="I73" s="175">
        <v>1</v>
      </c>
      <c r="J73" s="175" t="s">
        <v>18</v>
      </c>
      <c r="K73" s="175" t="s">
        <v>57</v>
      </c>
      <c r="L73" s="172" t="s">
        <v>56</v>
      </c>
      <c r="M73" s="172" t="s">
        <v>20</v>
      </c>
    </row>
    <row r="74" spans="1:13" x14ac:dyDescent="0.2">
      <c r="A74" s="172" t="s">
        <v>12</v>
      </c>
      <c r="B74" s="172" t="s">
        <v>13</v>
      </c>
      <c r="C74" s="172" t="s">
        <v>14</v>
      </c>
      <c r="D74" s="172" t="s">
        <v>15</v>
      </c>
      <c r="E74" s="173">
        <v>43086</v>
      </c>
      <c r="F74" s="174">
        <v>46.169921700000003</v>
      </c>
      <c r="G74" s="175" t="s">
        <v>16</v>
      </c>
      <c r="H74" s="172" t="s">
        <v>17</v>
      </c>
      <c r="I74" s="175">
        <v>1</v>
      </c>
      <c r="J74" s="175" t="s">
        <v>18</v>
      </c>
      <c r="K74" s="175" t="s">
        <v>57</v>
      </c>
      <c r="L74" s="172" t="s">
        <v>56</v>
      </c>
      <c r="M74" s="172" t="s">
        <v>17</v>
      </c>
    </row>
    <row r="75" spans="1:13" x14ac:dyDescent="0.2">
      <c r="A75" s="172" t="s">
        <v>12</v>
      </c>
      <c r="B75" s="172" t="s">
        <v>13</v>
      </c>
      <c r="C75" s="172" t="s">
        <v>14</v>
      </c>
      <c r="D75" s="172" t="s">
        <v>15</v>
      </c>
      <c r="E75" s="173">
        <v>43086</v>
      </c>
      <c r="F75" s="176">
        <v>6892.5229440000003</v>
      </c>
      <c r="G75" s="175" t="s">
        <v>19</v>
      </c>
      <c r="H75" s="172" t="s">
        <v>17</v>
      </c>
      <c r="I75" s="175">
        <v>1</v>
      </c>
      <c r="J75" s="175" t="s">
        <v>18</v>
      </c>
      <c r="K75" s="175" t="s">
        <v>57</v>
      </c>
      <c r="L75" s="172" t="s">
        <v>56</v>
      </c>
      <c r="M75" s="172" t="s">
        <v>17</v>
      </c>
    </row>
    <row r="76" spans="1:13" x14ac:dyDescent="0.2">
      <c r="A76" s="172" t="s">
        <v>12</v>
      </c>
      <c r="B76" s="172" t="s">
        <v>13</v>
      </c>
      <c r="C76" s="172" t="s">
        <v>14</v>
      </c>
      <c r="D76" s="172" t="s">
        <v>15</v>
      </c>
      <c r="E76" s="173">
        <v>43086</v>
      </c>
      <c r="F76" s="174">
        <v>39.049999999999997</v>
      </c>
      <c r="G76" s="175" t="s">
        <v>16</v>
      </c>
      <c r="H76" s="172" t="s">
        <v>20</v>
      </c>
      <c r="I76" s="175">
        <v>1</v>
      </c>
      <c r="J76" s="175" t="s">
        <v>18</v>
      </c>
      <c r="K76" s="175" t="s">
        <v>57</v>
      </c>
      <c r="L76" s="172" t="s">
        <v>56</v>
      </c>
      <c r="M76" s="172" t="s">
        <v>20</v>
      </c>
    </row>
    <row r="77" spans="1:13" x14ac:dyDescent="0.2">
      <c r="A77" s="172" t="s">
        <v>12</v>
      </c>
      <c r="B77" s="172" t="s">
        <v>13</v>
      </c>
      <c r="C77" s="172" t="s">
        <v>14</v>
      </c>
      <c r="D77" s="172" t="s">
        <v>15</v>
      </c>
      <c r="E77" s="173">
        <v>43086</v>
      </c>
      <c r="F77" s="176">
        <v>6546.1076999999996</v>
      </c>
      <c r="G77" s="175" t="s">
        <v>19</v>
      </c>
      <c r="H77" s="172" t="s">
        <v>20</v>
      </c>
      <c r="I77" s="175">
        <v>1</v>
      </c>
      <c r="J77" s="175" t="s">
        <v>18</v>
      </c>
      <c r="K77" s="175" t="s">
        <v>57</v>
      </c>
      <c r="L77" s="172" t="s">
        <v>56</v>
      </c>
      <c r="M77" s="172" t="s">
        <v>20</v>
      </c>
    </row>
    <row r="78" spans="1:13" x14ac:dyDescent="0.2">
      <c r="A78" s="172" t="s">
        <v>12</v>
      </c>
      <c r="B78" s="172" t="s">
        <v>13</v>
      </c>
      <c r="C78" s="172" t="s">
        <v>14</v>
      </c>
      <c r="D78" s="172" t="s">
        <v>15</v>
      </c>
      <c r="E78" s="173">
        <v>43080</v>
      </c>
      <c r="F78" s="174">
        <v>57.056538400000001</v>
      </c>
      <c r="G78" s="175" t="s">
        <v>16</v>
      </c>
      <c r="H78" s="172" t="s">
        <v>17</v>
      </c>
      <c r="I78" s="175">
        <v>1</v>
      </c>
      <c r="J78" s="175" t="s">
        <v>18</v>
      </c>
      <c r="K78" s="175" t="s">
        <v>57</v>
      </c>
      <c r="L78" s="172" t="s">
        <v>56</v>
      </c>
      <c r="M78" s="172" t="s">
        <v>17</v>
      </c>
    </row>
    <row r="79" spans="1:13" x14ac:dyDescent="0.2">
      <c r="A79" s="172" t="s">
        <v>12</v>
      </c>
      <c r="B79" s="172" t="s">
        <v>13</v>
      </c>
      <c r="C79" s="172" t="s">
        <v>14</v>
      </c>
      <c r="D79" s="172" t="s">
        <v>15</v>
      </c>
      <c r="E79" s="173">
        <v>43080</v>
      </c>
      <c r="F79" s="176">
        <v>8660.4978599999995</v>
      </c>
      <c r="G79" s="175" t="s">
        <v>19</v>
      </c>
      <c r="H79" s="172" t="s">
        <v>17</v>
      </c>
      <c r="I79" s="175">
        <v>1</v>
      </c>
      <c r="J79" s="175" t="s">
        <v>18</v>
      </c>
      <c r="K79" s="175" t="s">
        <v>57</v>
      </c>
      <c r="L79" s="172" t="s">
        <v>56</v>
      </c>
      <c r="M79" s="172" t="s">
        <v>17</v>
      </c>
    </row>
    <row r="80" spans="1:13" x14ac:dyDescent="0.2">
      <c r="A80" s="172" t="s">
        <v>12</v>
      </c>
      <c r="B80" s="172" t="s">
        <v>13</v>
      </c>
      <c r="C80" s="172" t="s">
        <v>14</v>
      </c>
      <c r="D80" s="172" t="s">
        <v>15</v>
      </c>
      <c r="E80" s="173">
        <v>43080</v>
      </c>
      <c r="F80" s="174">
        <v>43.75</v>
      </c>
      <c r="G80" s="175" t="s">
        <v>16</v>
      </c>
      <c r="H80" s="172" t="s">
        <v>20</v>
      </c>
      <c r="I80" s="175">
        <v>1</v>
      </c>
      <c r="J80" s="175" t="s">
        <v>18</v>
      </c>
      <c r="K80" s="175" t="s">
        <v>57</v>
      </c>
      <c r="L80" s="172" t="s">
        <v>56</v>
      </c>
      <c r="M80" s="172" t="s">
        <v>20</v>
      </c>
    </row>
    <row r="81" spans="1:13" x14ac:dyDescent="0.2">
      <c r="A81" s="172" t="s">
        <v>12</v>
      </c>
      <c r="B81" s="172" t="s">
        <v>13</v>
      </c>
      <c r="C81" s="172" t="s">
        <v>14</v>
      </c>
      <c r="D81" s="172" t="s">
        <v>15</v>
      </c>
      <c r="E81" s="173">
        <v>43080</v>
      </c>
      <c r="F81" s="176">
        <v>7589.4</v>
      </c>
      <c r="G81" s="175" t="s">
        <v>19</v>
      </c>
      <c r="H81" s="172" t="s">
        <v>20</v>
      </c>
      <c r="I81" s="175">
        <v>1</v>
      </c>
      <c r="J81" s="175" t="s">
        <v>18</v>
      </c>
      <c r="K81" s="175" t="s">
        <v>57</v>
      </c>
      <c r="L81" s="172" t="s">
        <v>56</v>
      </c>
      <c r="M81" s="172" t="s">
        <v>20</v>
      </c>
    </row>
    <row r="82" spans="1:13" x14ac:dyDescent="0.2">
      <c r="A82" s="172" t="s">
        <v>12</v>
      </c>
      <c r="B82" s="172" t="s">
        <v>13</v>
      </c>
      <c r="C82" s="172" t="s">
        <v>14</v>
      </c>
      <c r="D82" s="172" t="s">
        <v>15</v>
      </c>
      <c r="E82" s="173">
        <v>43073</v>
      </c>
      <c r="F82" s="174">
        <v>59.864356000000001</v>
      </c>
      <c r="G82" s="175" t="s">
        <v>16</v>
      </c>
      <c r="H82" s="172" t="s">
        <v>17</v>
      </c>
      <c r="I82" s="175">
        <v>1</v>
      </c>
      <c r="J82" s="175" t="s">
        <v>18</v>
      </c>
      <c r="K82" s="175" t="s">
        <v>57</v>
      </c>
      <c r="L82" s="172" t="s">
        <v>56</v>
      </c>
      <c r="M82" s="172" t="s">
        <v>17</v>
      </c>
    </row>
    <row r="83" spans="1:13" x14ac:dyDescent="0.2">
      <c r="A83" s="172" t="s">
        <v>12</v>
      </c>
      <c r="B83" s="172" t="s">
        <v>13</v>
      </c>
      <c r="C83" s="172" t="s">
        <v>14</v>
      </c>
      <c r="D83" s="172" t="s">
        <v>15</v>
      </c>
      <c r="E83" s="173">
        <v>43073</v>
      </c>
      <c r="F83" s="176">
        <v>9536.0327280000001</v>
      </c>
      <c r="G83" s="175" t="s">
        <v>19</v>
      </c>
      <c r="H83" s="172" t="s">
        <v>17</v>
      </c>
      <c r="I83" s="175">
        <v>1</v>
      </c>
      <c r="J83" s="175" t="s">
        <v>18</v>
      </c>
      <c r="K83" s="175" t="s">
        <v>57</v>
      </c>
      <c r="L83" s="172" t="s">
        <v>56</v>
      </c>
      <c r="M83" s="172" t="s">
        <v>17</v>
      </c>
    </row>
    <row r="84" spans="1:13" x14ac:dyDescent="0.2">
      <c r="A84" s="172" t="s">
        <v>12</v>
      </c>
      <c r="B84" s="172" t="s">
        <v>13</v>
      </c>
      <c r="C84" s="172" t="s">
        <v>14</v>
      </c>
      <c r="D84" s="172" t="s">
        <v>15</v>
      </c>
      <c r="E84" s="173">
        <v>43073</v>
      </c>
      <c r="F84" s="174">
        <v>48.97</v>
      </c>
      <c r="G84" s="175" t="s">
        <v>16</v>
      </c>
      <c r="H84" s="172" t="s">
        <v>20</v>
      </c>
      <c r="I84" s="175">
        <v>1</v>
      </c>
      <c r="J84" s="175" t="s">
        <v>18</v>
      </c>
      <c r="K84" s="175" t="s">
        <v>57</v>
      </c>
      <c r="L84" s="172" t="s">
        <v>56</v>
      </c>
      <c r="M84" s="172" t="s">
        <v>20</v>
      </c>
    </row>
    <row r="85" spans="1:13" x14ac:dyDescent="0.2">
      <c r="A85" s="172" t="s">
        <v>12</v>
      </c>
      <c r="B85" s="172" t="s">
        <v>13</v>
      </c>
      <c r="C85" s="172" t="s">
        <v>14</v>
      </c>
      <c r="D85" s="172" t="s">
        <v>15</v>
      </c>
      <c r="E85" s="173">
        <v>43073</v>
      </c>
      <c r="F85" s="176">
        <v>8739.9697199999991</v>
      </c>
      <c r="G85" s="175" t="s">
        <v>19</v>
      </c>
      <c r="H85" s="172" t="s">
        <v>20</v>
      </c>
      <c r="I85" s="175">
        <v>1</v>
      </c>
      <c r="J85" s="175" t="s">
        <v>18</v>
      </c>
      <c r="K85" s="175" t="s">
        <v>57</v>
      </c>
      <c r="L85" s="172" t="s">
        <v>56</v>
      </c>
      <c r="M85" s="172" t="s">
        <v>20</v>
      </c>
    </row>
    <row r="86" spans="1:13" x14ac:dyDescent="0.2">
      <c r="A86" s="172" t="s">
        <v>12</v>
      </c>
      <c r="B86" s="172" t="s">
        <v>13</v>
      </c>
      <c r="C86" s="172" t="s">
        <v>14</v>
      </c>
      <c r="D86" s="172" t="s">
        <v>15</v>
      </c>
      <c r="E86" s="173">
        <v>43065</v>
      </c>
      <c r="F86" s="174">
        <v>49.7038376</v>
      </c>
      <c r="G86" s="175" t="s">
        <v>16</v>
      </c>
      <c r="H86" s="172" t="s">
        <v>17</v>
      </c>
      <c r="I86" s="175">
        <v>1</v>
      </c>
      <c r="J86" s="175" t="s">
        <v>18</v>
      </c>
      <c r="K86" s="175" t="s">
        <v>57</v>
      </c>
      <c r="L86" s="172" t="s">
        <v>56</v>
      </c>
      <c r="M86" s="172" t="s">
        <v>17</v>
      </c>
    </row>
    <row r="87" spans="1:13" x14ac:dyDescent="0.2">
      <c r="A87" s="172" t="s">
        <v>12</v>
      </c>
      <c r="B87" s="172" t="s">
        <v>13</v>
      </c>
      <c r="C87" s="172" t="s">
        <v>14</v>
      </c>
      <c r="D87" s="172" t="s">
        <v>15</v>
      </c>
      <c r="E87" s="173">
        <v>43065</v>
      </c>
      <c r="F87" s="176">
        <v>7917.5231219999996</v>
      </c>
      <c r="G87" s="175" t="s">
        <v>19</v>
      </c>
      <c r="H87" s="172" t="s">
        <v>17</v>
      </c>
      <c r="I87" s="175">
        <v>1</v>
      </c>
      <c r="J87" s="175" t="s">
        <v>18</v>
      </c>
      <c r="K87" s="175" t="s">
        <v>57</v>
      </c>
      <c r="L87" s="172" t="s">
        <v>56</v>
      </c>
      <c r="M87" s="172" t="s">
        <v>17</v>
      </c>
    </row>
    <row r="88" spans="1:13" x14ac:dyDescent="0.2">
      <c r="A88" s="172" t="s">
        <v>12</v>
      </c>
      <c r="B88" s="172" t="s">
        <v>13</v>
      </c>
      <c r="C88" s="172" t="s">
        <v>14</v>
      </c>
      <c r="D88" s="172" t="s">
        <v>15</v>
      </c>
      <c r="E88" s="173">
        <v>43065</v>
      </c>
      <c r="F88" s="174">
        <v>25.42</v>
      </c>
      <c r="G88" s="175" t="s">
        <v>16</v>
      </c>
      <c r="H88" s="172" t="s">
        <v>20</v>
      </c>
      <c r="I88" s="175">
        <v>1</v>
      </c>
      <c r="J88" s="175" t="s">
        <v>18</v>
      </c>
      <c r="K88" s="175" t="s">
        <v>57</v>
      </c>
      <c r="L88" s="172" t="s">
        <v>56</v>
      </c>
      <c r="M88" s="172" t="s">
        <v>20</v>
      </c>
    </row>
    <row r="89" spans="1:13" x14ac:dyDescent="0.2">
      <c r="A89" s="172" t="s">
        <v>12</v>
      </c>
      <c r="B89" s="172" t="s">
        <v>13</v>
      </c>
      <c r="C89" s="172" t="s">
        <v>14</v>
      </c>
      <c r="D89" s="172" t="s">
        <v>15</v>
      </c>
      <c r="E89" s="173">
        <v>43065</v>
      </c>
      <c r="F89" s="176">
        <v>4515.6596399999999</v>
      </c>
      <c r="G89" s="175" t="s">
        <v>19</v>
      </c>
      <c r="H89" s="172" t="s">
        <v>20</v>
      </c>
      <c r="I89" s="175">
        <v>1</v>
      </c>
      <c r="J89" s="175" t="s">
        <v>18</v>
      </c>
      <c r="K89" s="175" t="s">
        <v>57</v>
      </c>
      <c r="L89" s="172" t="s">
        <v>56</v>
      </c>
      <c r="M89" s="172" t="s">
        <v>20</v>
      </c>
    </row>
    <row r="90" spans="1:13" x14ac:dyDescent="0.2">
      <c r="A90" s="172" t="s">
        <v>12</v>
      </c>
      <c r="B90" s="172" t="s">
        <v>13</v>
      </c>
      <c r="C90" s="172" t="s">
        <v>14</v>
      </c>
      <c r="D90" s="172" t="s">
        <v>15</v>
      </c>
      <c r="E90" s="173">
        <v>43059</v>
      </c>
      <c r="F90" s="174">
        <v>42.1504884</v>
      </c>
      <c r="G90" s="175" t="s">
        <v>16</v>
      </c>
      <c r="H90" s="172" t="s">
        <v>17</v>
      </c>
      <c r="I90" s="175">
        <v>1</v>
      </c>
      <c r="J90" s="175" t="s">
        <v>18</v>
      </c>
      <c r="K90" s="175" t="s">
        <v>57</v>
      </c>
      <c r="L90" s="172" t="s">
        <v>56</v>
      </c>
      <c r="M90" s="172" t="s">
        <v>17</v>
      </c>
    </row>
    <row r="91" spans="1:13" x14ac:dyDescent="0.2">
      <c r="A91" s="172" t="s">
        <v>12</v>
      </c>
      <c r="B91" s="172" t="s">
        <v>13</v>
      </c>
      <c r="C91" s="172" t="s">
        <v>14</v>
      </c>
      <c r="D91" s="172" t="s">
        <v>15</v>
      </c>
      <c r="E91" s="173">
        <v>43059</v>
      </c>
      <c r="F91" s="176">
        <v>7628.3111040000003</v>
      </c>
      <c r="G91" s="175" t="s">
        <v>19</v>
      </c>
      <c r="H91" s="172" t="s">
        <v>17</v>
      </c>
      <c r="I91" s="175">
        <v>1</v>
      </c>
      <c r="J91" s="175" t="s">
        <v>18</v>
      </c>
      <c r="K91" s="175" t="s">
        <v>57</v>
      </c>
      <c r="L91" s="172" t="s">
        <v>56</v>
      </c>
      <c r="M91" s="172" t="s">
        <v>17</v>
      </c>
    </row>
    <row r="92" spans="1:13" x14ac:dyDescent="0.2">
      <c r="A92" s="172" t="s">
        <v>12</v>
      </c>
      <c r="B92" s="172" t="s">
        <v>13</v>
      </c>
      <c r="C92" s="172" t="s">
        <v>14</v>
      </c>
      <c r="D92" s="172" t="s">
        <v>15</v>
      </c>
      <c r="E92" s="173">
        <v>43059</v>
      </c>
      <c r="F92" s="174">
        <v>30.65</v>
      </c>
      <c r="G92" s="175" t="s">
        <v>16</v>
      </c>
      <c r="H92" s="172" t="s">
        <v>20</v>
      </c>
      <c r="I92" s="175">
        <v>1</v>
      </c>
      <c r="J92" s="175" t="s">
        <v>18</v>
      </c>
      <c r="K92" s="175" t="s">
        <v>57</v>
      </c>
      <c r="L92" s="172" t="s">
        <v>56</v>
      </c>
      <c r="M92" s="172" t="s">
        <v>20</v>
      </c>
    </row>
    <row r="93" spans="1:13" x14ac:dyDescent="0.2">
      <c r="A93" s="172" t="s">
        <v>12</v>
      </c>
      <c r="B93" s="172" t="s">
        <v>13</v>
      </c>
      <c r="C93" s="172" t="s">
        <v>14</v>
      </c>
      <c r="D93" s="172" t="s">
        <v>15</v>
      </c>
      <c r="E93" s="173">
        <v>43059</v>
      </c>
      <c r="F93" s="176">
        <v>5955.9692999999997</v>
      </c>
      <c r="G93" s="175" t="s">
        <v>19</v>
      </c>
      <c r="H93" s="172" t="s">
        <v>20</v>
      </c>
      <c r="I93" s="175">
        <v>1</v>
      </c>
      <c r="J93" s="175" t="s">
        <v>18</v>
      </c>
      <c r="K93" s="175" t="s">
        <v>57</v>
      </c>
      <c r="L93" s="172" t="s">
        <v>56</v>
      </c>
      <c r="M93" s="172" t="s">
        <v>20</v>
      </c>
    </row>
    <row r="94" spans="1:13" x14ac:dyDescent="0.2">
      <c r="A94" s="172" t="s">
        <v>12</v>
      </c>
      <c r="B94" s="172" t="s">
        <v>13</v>
      </c>
      <c r="C94" s="172" t="s">
        <v>14</v>
      </c>
      <c r="D94" s="172" t="s">
        <v>15</v>
      </c>
      <c r="E94" s="173">
        <v>43052</v>
      </c>
      <c r="F94" s="174">
        <v>45.672461499999997</v>
      </c>
      <c r="G94" s="175" t="s">
        <v>16</v>
      </c>
      <c r="H94" s="172" t="s">
        <v>17</v>
      </c>
      <c r="I94" s="175">
        <v>1</v>
      </c>
      <c r="J94" s="175" t="s">
        <v>18</v>
      </c>
      <c r="K94" s="175" t="s">
        <v>57</v>
      </c>
      <c r="L94" s="172" t="s">
        <v>56</v>
      </c>
      <c r="M94" s="172" t="s">
        <v>17</v>
      </c>
    </row>
    <row r="95" spans="1:13" x14ac:dyDescent="0.2">
      <c r="A95" s="172" t="s">
        <v>12</v>
      </c>
      <c r="B95" s="172" t="s">
        <v>13</v>
      </c>
      <c r="C95" s="172" t="s">
        <v>14</v>
      </c>
      <c r="D95" s="172" t="s">
        <v>15</v>
      </c>
      <c r="E95" s="173">
        <v>43052</v>
      </c>
      <c r="F95" s="176">
        <v>7922.8932480000003</v>
      </c>
      <c r="G95" s="175" t="s">
        <v>19</v>
      </c>
      <c r="H95" s="172" t="s">
        <v>17</v>
      </c>
      <c r="I95" s="175">
        <v>1</v>
      </c>
      <c r="J95" s="175" t="s">
        <v>18</v>
      </c>
      <c r="K95" s="175" t="s">
        <v>57</v>
      </c>
      <c r="L95" s="172" t="s">
        <v>56</v>
      </c>
      <c r="M95" s="172" t="s">
        <v>17</v>
      </c>
    </row>
    <row r="96" spans="1:13" x14ac:dyDescent="0.2">
      <c r="A96" s="172" t="s">
        <v>12</v>
      </c>
      <c r="B96" s="172" t="s">
        <v>13</v>
      </c>
      <c r="C96" s="172" t="s">
        <v>14</v>
      </c>
      <c r="D96" s="172" t="s">
        <v>15</v>
      </c>
      <c r="E96" s="173">
        <v>43052</v>
      </c>
      <c r="F96" s="174">
        <v>24.15</v>
      </c>
      <c r="G96" s="175" t="s">
        <v>16</v>
      </c>
      <c r="H96" s="172" t="s">
        <v>20</v>
      </c>
      <c r="I96" s="175">
        <v>1</v>
      </c>
      <c r="J96" s="175" t="s">
        <v>18</v>
      </c>
      <c r="K96" s="175" t="s">
        <v>57</v>
      </c>
      <c r="L96" s="172" t="s">
        <v>56</v>
      </c>
      <c r="M96" s="172" t="s">
        <v>20</v>
      </c>
    </row>
    <row r="97" spans="1:13" x14ac:dyDescent="0.2">
      <c r="A97" s="172" t="s">
        <v>12</v>
      </c>
      <c r="B97" s="172" t="s">
        <v>13</v>
      </c>
      <c r="C97" s="172" t="s">
        <v>14</v>
      </c>
      <c r="D97" s="172" t="s">
        <v>15</v>
      </c>
      <c r="E97" s="173">
        <v>43052</v>
      </c>
      <c r="F97" s="176">
        <v>4551.8886000000002</v>
      </c>
      <c r="G97" s="175" t="s">
        <v>19</v>
      </c>
      <c r="H97" s="172" t="s">
        <v>20</v>
      </c>
      <c r="I97" s="175">
        <v>1</v>
      </c>
      <c r="J97" s="175" t="s">
        <v>18</v>
      </c>
      <c r="K97" s="175" t="s">
        <v>57</v>
      </c>
      <c r="L97" s="172" t="s">
        <v>56</v>
      </c>
      <c r="M97" s="172" t="s">
        <v>20</v>
      </c>
    </row>
    <row r="98" spans="1:13" x14ac:dyDescent="0.2">
      <c r="A98" s="172" t="s">
        <v>12</v>
      </c>
      <c r="B98" s="172" t="s">
        <v>13</v>
      </c>
      <c r="C98" s="172" t="s">
        <v>14</v>
      </c>
      <c r="D98" s="172" t="s">
        <v>15</v>
      </c>
      <c r="E98" s="173">
        <v>43045</v>
      </c>
      <c r="F98" s="174">
        <v>52.492488899999998</v>
      </c>
      <c r="G98" s="175" t="s">
        <v>16</v>
      </c>
      <c r="H98" s="172" t="s">
        <v>17</v>
      </c>
      <c r="I98" s="175">
        <v>1</v>
      </c>
      <c r="J98" s="175" t="s">
        <v>18</v>
      </c>
      <c r="K98" s="175" t="s">
        <v>57</v>
      </c>
      <c r="L98" s="172" t="s">
        <v>56</v>
      </c>
      <c r="M98" s="172" t="s">
        <v>17</v>
      </c>
    </row>
    <row r="99" spans="1:13" x14ac:dyDescent="0.2">
      <c r="A99" s="172" t="s">
        <v>12</v>
      </c>
      <c r="B99" s="172" t="s">
        <v>13</v>
      </c>
      <c r="C99" s="172" t="s">
        <v>14</v>
      </c>
      <c r="D99" s="172" t="s">
        <v>15</v>
      </c>
      <c r="E99" s="173">
        <v>43045</v>
      </c>
      <c r="F99" s="176">
        <v>9937.7730300000003</v>
      </c>
      <c r="G99" s="175" t="s">
        <v>19</v>
      </c>
      <c r="H99" s="172" t="s">
        <v>17</v>
      </c>
      <c r="I99" s="175">
        <v>1</v>
      </c>
      <c r="J99" s="175" t="s">
        <v>18</v>
      </c>
      <c r="K99" s="175" t="s">
        <v>57</v>
      </c>
      <c r="L99" s="172" t="s">
        <v>56</v>
      </c>
      <c r="M99" s="172" t="s">
        <v>17</v>
      </c>
    </row>
    <row r="100" spans="1:13" x14ac:dyDescent="0.2">
      <c r="A100" s="172" t="s">
        <v>12</v>
      </c>
      <c r="B100" s="172" t="s">
        <v>13</v>
      </c>
      <c r="C100" s="172" t="s">
        <v>14</v>
      </c>
      <c r="D100" s="172" t="s">
        <v>15</v>
      </c>
      <c r="E100" s="173">
        <v>43045</v>
      </c>
      <c r="F100" s="174">
        <v>30.68</v>
      </c>
      <c r="G100" s="175" t="s">
        <v>16</v>
      </c>
      <c r="H100" s="172" t="s">
        <v>20</v>
      </c>
      <c r="I100" s="175">
        <v>1</v>
      </c>
      <c r="J100" s="175" t="s">
        <v>18</v>
      </c>
      <c r="K100" s="175" t="s">
        <v>57</v>
      </c>
      <c r="L100" s="172" t="s">
        <v>56</v>
      </c>
      <c r="M100" s="172" t="s">
        <v>20</v>
      </c>
    </row>
    <row r="101" spans="1:13" x14ac:dyDescent="0.2">
      <c r="A101" s="172" t="s">
        <v>12</v>
      </c>
      <c r="B101" s="172" t="s">
        <v>13</v>
      </c>
      <c r="C101" s="172" t="s">
        <v>14</v>
      </c>
      <c r="D101" s="172" t="s">
        <v>15</v>
      </c>
      <c r="E101" s="173">
        <v>43045</v>
      </c>
      <c r="F101" s="176">
        <v>6038.5603199999996</v>
      </c>
      <c r="G101" s="175" t="s">
        <v>19</v>
      </c>
      <c r="H101" s="172" t="s">
        <v>20</v>
      </c>
      <c r="I101" s="175">
        <v>1</v>
      </c>
      <c r="J101" s="175" t="s">
        <v>18</v>
      </c>
      <c r="K101" s="175" t="s">
        <v>57</v>
      </c>
      <c r="L101" s="172" t="s">
        <v>56</v>
      </c>
      <c r="M101" s="172" t="s">
        <v>20</v>
      </c>
    </row>
    <row r="102" spans="1:13" x14ac:dyDescent="0.2">
      <c r="A102" s="172" t="s">
        <v>12</v>
      </c>
      <c r="B102" s="172" t="s">
        <v>13</v>
      </c>
      <c r="C102" s="172" t="s">
        <v>14</v>
      </c>
      <c r="D102" s="172" t="s">
        <v>15</v>
      </c>
      <c r="E102" s="173">
        <v>43038</v>
      </c>
      <c r="F102" s="174">
        <v>42.558125500000003</v>
      </c>
      <c r="G102" s="175" t="s">
        <v>16</v>
      </c>
      <c r="H102" s="172" t="s">
        <v>17</v>
      </c>
      <c r="I102" s="175">
        <v>1</v>
      </c>
      <c r="J102" s="175" t="s">
        <v>18</v>
      </c>
      <c r="K102" s="175" t="s">
        <v>57</v>
      </c>
      <c r="L102" s="172" t="s">
        <v>56</v>
      </c>
      <c r="M102" s="172" t="s">
        <v>17</v>
      </c>
    </row>
    <row r="103" spans="1:13" x14ac:dyDescent="0.2">
      <c r="A103" s="172" t="s">
        <v>12</v>
      </c>
      <c r="B103" s="172" t="s">
        <v>13</v>
      </c>
      <c r="C103" s="172" t="s">
        <v>14</v>
      </c>
      <c r="D103" s="172" t="s">
        <v>15</v>
      </c>
      <c r="E103" s="173">
        <v>43038</v>
      </c>
      <c r="F103" s="176">
        <v>8482.940928</v>
      </c>
      <c r="G103" s="175" t="s">
        <v>19</v>
      </c>
      <c r="H103" s="172" t="s">
        <v>17</v>
      </c>
      <c r="I103" s="175">
        <v>1</v>
      </c>
      <c r="J103" s="175" t="s">
        <v>18</v>
      </c>
      <c r="K103" s="175" t="s">
        <v>57</v>
      </c>
      <c r="L103" s="172" t="s">
        <v>56</v>
      </c>
      <c r="M103" s="172" t="s">
        <v>17</v>
      </c>
    </row>
    <row r="104" spans="1:13" x14ac:dyDescent="0.2">
      <c r="A104" s="172" t="s">
        <v>12</v>
      </c>
      <c r="B104" s="172" t="s">
        <v>13</v>
      </c>
      <c r="C104" s="172" t="s">
        <v>14</v>
      </c>
      <c r="D104" s="172" t="s">
        <v>15</v>
      </c>
      <c r="E104" s="173">
        <v>43038</v>
      </c>
      <c r="F104" s="174">
        <v>26.18</v>
      </c>
      <c r="G104" s="175" t="s">
        <v>16</v>
      </c>
      <c r="H104" s="172" t="s">
        <v>20</v>
      </c>
      <c r="I104" s="175">
        <v>1</v>
      </c>
      <c r="J104" s="175" t="s">
        <v>18</v>
      </c>
      <c r="K104" s="175" t="s">
        <v>57</v>
      </c>
      <c r="L104" s="172" t="s">
        <v>56</v>
      </c>
      <c r="M104" s="172" t="s">
        <v>20</v>
      </c>
    </row>
    <row r="105" spans="1:13" x14ac:dyDescent="0.2">
      <c r="A105" s="172" t="s">
        <v>12</v>
      </c>
      <c r="B105" s="172" t="s">
        <v>13</v>
      </c>
      <c r="C105" s="172" t="s">
        <v>14</v>
      </c>
      <c r="D105" s="172" t="s">
        <v>15</v>
      </c>
      <c r="E105" s="173">
        <v>43038</v>
      </c>
      <c r="F105" s="176">
        <v>5393.0276400000002</v>
      </c>
      <c r="G105" s="175" t="s">
        <v>19</v>
      </c>
      <c r="H105" s="172" t="s">
        <v>20</v>
      </c>
      <c r="I105" s="175">
        <v>1</v>
      </c>
      <c r="J105" s="175" t="s">
        <v>18</v>
      </c>
      <c r="K105" s="175" t="s">
        <v>57</v>
      </c>
      <c r="L105" s="172" t="s">
        <v>56</v>
      </c>
      <c r="M105" s="172" t="s">
        <v>20</v>
      </c>
    </row>
    <row r="106" spans="1:13" x14ac:dyDescent="0.2">
      <c r="A106" s="172" t="s">
        <v>12</v>
      </c>
      <c r="B106" s="172" t="s">
        <v>13</v>
      </c>
      <c r="C106" s="172" t="s">
        <v>14</v>
      </c>
      <c r="D106" s="172" t="s">
        <v>15</v>
      </c>
      <c r="E106" s="173">
        <v>43031</v>
      </c>
      <c r="F106" s="174">
        <v>32.749028699999997</v>
      </c>
      <c r="G106" s="175" t="s">
        <v>16</v>
      </c>
      <c r="H106" s="172" t="s">
        <v>17</v>
      </c>
      <c r="I106" s="175">
        <v>1</v>
      </c>
      <c r="J106" s="175" t="s">
        <v>18</v>
      </c>
      <c r="K106" s="175" t="s">
        <v>57</v>
      </c>
      <c r="L106" s="172" t="s">
        <v>56</v>
      </c>
      <c r="M106" s="172" t="s">
        <v>17</v>
      </c>
    </row>
    <row r="107" spans="1:13" x14ac:dyDescent="0.2">
      <c r="A107" s="172" t="s">
        <v>12</v>
      </c>
      <c r="B107" s="172" t="s">
        <v>13</v>
      </c>
      <c r="C107" s="172" t="s">
        <v>14</v>
      </c>
      <c r="D107" s="172" t="s">
        <v>15</v>
      </c>
      <c r="E107" s="173">
        <v>43031</v>
      </c>
      <c r="F107" s="176">
        <v>7592.9278199999999</v>
      </c>
      <c r="G107" s="175" t="s">
        <v>19</v>
      </c>
      <c r="H107" s="172" t="s">
        <v>17</v>
      </c>
      <c r="I107" s="175">
        <v>1</v>
      </c>
      <c r="J107" s="175" t="s">
        <v>18</v>
      </c>
      <c r="K107" s="175" t="s">
        <v>57</v>
      </c>
      <c r="L107" s="172" t="s">
        <v>56</v>
      </c>
      <c r="M107" s="172" t="s">
        <v>17</v>
      </c>
    </row>
    <row r="108" spans="1:13" x14ac:dyDescent="0.2">
      <c r="A108" s="172" t="s">
        <v>12</v>
      </c>
      <c r="B108" s="172" t="s">
        <v>13</v>
      </c>
      <c r="C108" s="172" t="s">
        <v>14</v>
      </c>
      <c r="D108" s="172" t="s">
        <v>15</v>
      </c>
      <c r="E108" s="173">
        <v>43031</v>
      </c>
      <c r="F108" s="174">
        <v>24.29</v>
      </c>
      <c r="G108" s="175" t="s">
        <v>16</v>
      </c>
      <c r="H108" s="172" t="s">
        <v>20</v>
      </c>
      <c r="I108" s="175">
        <v>1</v>
      </c>
      <c r="J108" s="175" t="s">
        <v>18</v>
      </c>
      <c r="K108" s="175" t="s">
        <v>57</v>
      </c>
      <c r="L108" s="172" t="s">
        <v>56</v>
      </c>
      <c r="M108" s="172" t="s">
        <v>20</v>
      </c>
    </row>
    <row r="109" spans="1:13" x14ac:dyDescent="0.2">
      <c r="A109" s="172" t="s">
        <v>12</v>
      </c>
      <c r="B109" s="172" t="s">
        <v>13</v>
      </c>
      <c r="C109" s="172" t="s">
        <v>14</v>
      </c>
      <c r="D109" s="172" t="s">
        <v>15</v>
      </c>
      <c r="E109" s="173">
        <v>43031</v>
      </c>
      <c r="F109" s="176">
        <v>5732.9743799999997</v>
      </c>
      <c r="G109" s="175" t="s">
        <v>19</v>
      </c>
      <c r="H109" s="172" t="s">
        <v>20</v>
      </c>
      <c r="I109" s="175">
        <v>1</v>
      </c>
      <c r="J109" s="175" t="s">
        <v>18</v>
      </c>
      <c r="K109" s="175" t="s">
        <v>57</v>
      </c>
      <c r="L109" s="172" t="s">
        <v>56</v>
      </c>
      <c r="M109" s="172" t="s">
        <v>20</v>
      </c>
    </row>
    <row r="110" spans="1:13" x14ac:dyDescent="0.2">
      <c r="A110" s="172" t="s">
        <v>12</v>
      </c>
      <c r="B110" s="172" t="s">
        <v>13</v>
      </c>
      <c r="C110" s="172" t="s">
        <v>14</v>
      </c>
      <c r="D110" s="172" t="s">
        <v>15</v>
      </c>
      <c r="E110" s="173">
        <v>43025</v>
      </c>
      <c r="F110" s="174">
        <v>26.3904891</v>
      </c>
      <c r="G110" s="175" t="s">
        <v>16</v>
      </c>
      <c r="H110" s="172" t="s">
        <v>17</v>
      </c>
      <c r="I110" s="175">
        <v>1</v>
      </c>
      <c r="J110" s="175" t="s">
        <v>18</v>
      </c>
      <c r="K110" s="175" t="s">
        <v>57</v>
      </c>
      <c r="L110" s="172" t="s">
        <v>56</v>
      </c>
      <c r="M110" s="172" t="s">
        <v>17</v>
      </c>
    </row>
    <row r="111" spans="1:13" x14ac:dyDescent="0.2">
      <c r="A111" s="172" t="s">
        <v>12</v>
      </c>
      <c r="B111" s="172" t="s">
        <v>13</v>
      </c>
      <c r="C111" s="172" t="s">
        <v>14</v>
      </c>
      <c r="D111" s="172" t="s">
        <v>15</v>
      </c>
      <c r="E111" s="173">
        <v>43025</v>
      </c>
      <c r="F111" s="176">
        <v>7109.1227520000002</v>
      </c>
      <c r="G111" s="175" t="s">
        <v>19</v>
      </c>
      <c r="H111" s="172" t="s">
        <v>17</v>
      </c>
      <c r="I111" s="175">
        <v>1</v>
      </c>
      <c r="J111" s="175" t="s">
        <v>18</v>
      </c>
      <c r="K111" s="175" t="s">
        <v>57</v>
      </c>
      <c r="L111" s="172" t="s">
        <v>56</v>
      </c>
      <c r="M111" s="172" t="s">
        <v>17</v>
      </c>
    </row>
    <row r="112" spans="1:13" x14ac:dyDescent="0.2">
      <c r="A112" s="172" t="s">
        <v>12</v>
      </c>
      <c r="B112" s="172" t="s">
        <v>13</v>
      </c>
      <c r="C112" s="172" t="s">
        <v>14</v>
      </c>
      <c r="D112" s="172" t="s">
        <v>15</v>
      </c>
      <c r="E112" s="173">
        <v>43025</v>
      </c>
      <c r="F112" s="174">
        <v>25.25</v>
      </c>
      <c r="G112" s="175" t="s">
        <v>16</v>
      </c>
      <c r="H112" s="172" t="s">
        <v>20</v>
      </c>
      <c r="I112" s="175">
        <v>1</v>
      </c>
      <c r="J112" s="175" t="s">
        <v>18</v>
      </c>
      <c r="K112" s="175" t="s">
        <v>57</v>
      </c>
      <c r="L112" s="172" t="s">
        <v>56</v>
      </c>
      <c r="M112" s="172" t="s">
        <v>20</v>
      </c>
    </row>
    <row r="113" spans="1:13" x14ac:dyDescent="0.2">
      <c r="A113" s="172" t="s">
        <v>12</v>
      </c>
      <c r="B113" s="172" t="s">
        <v>13</v>
      </c>
      <c r="C113" s="172" t="s">
        <v>14</v>
      </c>
      <c r="D113" s="172" t="s">
        <v>15</v>
      </c>
      <c r="E113" s="173">
        <v>43025</v>
      </c>
      <c r="F113" s="176">
        <v>6907.1880000000001</v>
      </c>
      <c r="G113" s="175" t="s">
        <v>19</v>
      </c>
      <c r="H113" s="172" t="s">
        <v>20</v>
      </c>
      <c r="I113" s="175">
        <v>1</v>
      </c>
      <c r="J113" s="175" t="s">
        <v>18</v>
      </c>
      <c r="K113" s="175" t="s">
        <v>57</v>
      </c>
      <c r="L113" s="172" t="s">
        <v>56</v>
      </c>
      <c r="M113" s="172" t="s">
        <v>20</v>
      </c>
    </row>
    <row r="114" spans="1:13" x14ac:dyDescent="0.2">
      <c r="A114" s="172" t="s">
        <v>12</v>
      </c>
      <c r="B114" s="172" t="s">
        <v>13</v>
      </c>
      <c r="C114" s="172" t="s">
        <v>14</v>
      </c>
      <c r="D114" s="172" t="s">
        <v>15</v>
      </c>
      <c r="E114" s="173">
        <v>43017</v>
      </c>
      <c r="F114" s="174">
        <v>45.987602899999999</v>
      </c>
      <c r="G114" s="175" t="s">
        <v>16</v>
      </c>
      <c r="H114" s="172" t="s">
        <v>17</v>
      </c>
      <c r="I114" s="175">
        <v>1</v>
      </c>
      <c r="J114" s="175" t="s">
        <v>18</v>
      </c>
      <c r="K114" s="175" t="s">
        <v>57</v>
      </c>
      <c r="L114" s="172" t="s">
        <v>56</v>
      </c>
      <c r="M114" s="172" t="s">
        <v>17</v>
      </c>
    </row>
    <row r="115" spans="1:13" x14ac:dyDescent="0.2">
      <c r="A115" s="172" t="s">
        <v>12</v>
      </c>
      <c r="B115" s="172" t="s">
        <v>13</v>
      </c>
      <c r="C115" s="172" t="s">
        <v>14</v>
      </c>
      <c r="D115" s="172" t="s">
        <v>15</v>
      </c>
      <c r="E115" s="173">
        <v>43017</v>
      </c>
      <c r="F115" s="176">
        <v>7824.1468139999997</v>
      </c>
      <c r="G115" s="175" t="s">
        <v>19</v>
      </c>
      <c r="H115" s="172" t="s">
        <v>17</v>
      </c>
      <c r="I115" s="175">
        <v>1</v>
      </c>
      <c r="J115" s="175" t="s">
        <v>18</v>
      </c>
      <c r="K115" s="175" t="s">
        <v>57</v>
      </c>
      <c r="L115" s="172" t="s">
        <v>56</v>
      </c>
      <c r="M115" s="172" t="s">
        <v>17</v>
      </c>
    </row>
    <row r="116" spans="1:13" x14ac:dyDescent="0.2">
      <c r="A116" s="172" t="s">
        <v>12</v>
      </c>
      <c r="B116" s="172" t="s">
        <v>13</v>
      </c>
      <c r="C116" s="172" t="s">
        <v>14</v>
      </c>
      <c r="D116" s="172" t="s">
        <v>15</v>
      </c>
      <c r="E116" s="173">
        <v>43017</v>
      </c>
      <c r="F116" s="174">
        <v>13.01</v>
      </c>
      <c r="G116" s="175" t="s">
        <v>16</v>
      </c>
      <c r="H116" s="172" t="s">
        <v>20</v>
      </c>
      <c r="I116" s="175">
        <v>1</v>
      </c>
      <c r="J116" s="175" t="s">
        <v>18</v>
      </c>
      <c r="K116" s="175" t="s">
        <v>57</v>
      </c>
      <c r="L116" s="172" t="s">
        <v>56</v>
      </c>
      <c r="M116" s="172" t="s">
        <v>20</v>
      </c>
    </row>
    <row r="117" spans="1:13" x14ac:dyDescent="0.2">
      <c r="A117" s="172" t="s">
        <v>12</v>
      </c>
      <c r="B117" s="172" t="s">
        <v>13</v>
      </c>
      <c r="C117" s="172" t="s">
        <v>14</v>
      </c>
      <c r="D117" s="172" t="s">
        <v>15</v>
      </c>
      <c r="E117" s="173">
        <v>43017</v>
      </c>
      <c r="F117" s="176">
        <v>2408.7754799999998</v>
      </c>
      <c r="G117" s="175" t="s">
        <v>19</v>
      </c>
      <c r="H117" s="172" t="s">
        <v>20</v>
      </c>
      <c r="I117" s="175">
        <v>1</v>
      </c>
      <c r="J117" s="175" t="s">
        <v>18</v>
      </c>
      <c r="K117" s="175" t="s">
        <v>57</v>
      </c>
      <c r="L117" s="172" t="s">
        <v>56</v>
      </c>
      <c r="M117" s="172" t="s">
        <v>20</v>
      </c>
    </row>
    <row r="118" spans="1:13" x14ac:dyDescent="0.2">
      <c r="A118" s="172" t="s">
        <v>12</v>
      </c>
      <c r="B118" s="172" t="s">
        <v>13</v>
      </c>
      <c r="C118" s="172" t="s">
        <v>14</v>
      </c>
      <c r="D118" s="172" t="s">
        <v>15</v>
      </c>
      <c r="E118" s="173">
        <v>43010</v>
      </c>
      <c r="F118" s="174">
        <v>56.055810399999999</v>
      </c>
      <c r="G118" s="175" t="s">
        <v>16</v>
      </c>
      <c r="H118" s="172" t="s">
        <v>17</v>
      </c>
      <c r="I118" s="175">
        <v>1</v>
      </c>
      <c r="J118" s="175" t="s">
        <v>18</v>
      </c>
      <c r="K118" s="175" t="s">
        <v>57</v>
      </c>
      <c r="L118" s="172" t="s">
        <v>56</v>
      </c>
      <c r="M118" s="172" t="s">
        <v>17</v>
      </c>
    </row>
    <row r="119" spans="1:13" x14ac:dyDescent="0.2">
      <c r="A119" s="172" t="s">
        <v>12</v>
      </c>
      <c r="B119" s="172" t="s">
        <v>13</v>
      </c>
      <c r="C119" s="172" t="s">
        <v>14</v>
      </c>
      <c r="D119" s="172" t="s">
        <v>15</v>
      </c>
      <c r="E119" s="173">
        <v>43010</v>
      </c>
      <c r="F119" s="176">
        <v>9864.3651840000002</v>
      </c>
      <c r="G119" s="175" t="s">
        <v>19</v>
      </c>
      <c r="H119" s="172" t="s">
        <v>17</v>
      </c>
      <c r="I119" s="175">
        <v>1</v>
      </c>
      <c r="J119" s="175" t="s">
        <v>18</v>
      </c>
      <c r="K119" s="175" t="s">
        <v>57</v>
      </c>
      <c r="L119" s="172" t="s">
        <v>56</v>
      </c>
      <c r="M119" s="172" t="s">
        <v>17</v>
      </c>
    </row>
    <row r="120" spans="1:13" x14ac:dyDescent="0.2">
      <c r="A120" s="172" t="s">
        <v>12</v>
      </c>
      <c r="B120" s="172" t="s">
        <v>13</v>
      </c>
      <c r="C120" s="172" t="s">
        <v>14</v>
      </c>
      <c r="D120" s="172" t="s">
        <v>15</v>
      </c>
      <c r="E120" s="173">
        <v>43010</v>
      </c>
      <c r="F120" s="174">
        <v>37.777000000000001</v>
      </c>
      <c r="G120" s="175" t="s">
        <v>16</v>
      </c>
      <c r="H120" s="172" t="s">
        <v>20</v>
      </c>
      <c r="I120" s="175">
        <v>1</v>
      </c>
      <c r="J120" s="175" t="s">
        <v>18</v>
      </c>
      <c r="K120" s="175" t="s">
        <v>57</v>
      </c>
      <c r="L120" s="172" t="s">
        <v>56</v>
      </c>
      <c r="M120" s="172" t="s">
        <v>20</v>
      </c>
    </row>
    <row r="121" spans="1:13" x14ac:dyDescent="0.2">
      <c r="A121" s="172" t="s">
        <v>12</v>
      </c>
      <c r="B121" s="172" t="s">
        <v>13</v>
      </c>
      <c r="C121" s="172" t="s">
        <v>14</v>
      </c>
      <c r="D121" s="172" t="s">
        <v>15</v>
      </c>
      <c r="E121" s="173">
        <v>43010</v>
      </c>
      <c r="F121" s="176">
        <v>7561.4443199999996</v>
      </c>
      <c r="G121" s="175" t="s">
        <v>19</v>
      </c>
      <c r="H121" s="172" t="s">
        <v>20</v>
      </c>
      <c r="I121" s="175">
        <v>1</v>
      </c>
      <c r="J121" s="175" t="s">
        <v>18</v>
      </c>
      <c r="K121" s="175" t="s">
        <v>57</v>
      </c>
      <c r="L121" s="172" t="s">
        <v>56</v>
      </c>
      <c r="M121" s="172" t="s">
        <v>20</v>
      </c>
    </row>
    <row r="122" spans="1:13" x14ac:dyDescent="0.2">
      <c r="A122" s="172" t="s">
        <v>12</v>
      </c>
      <c r="B122" s="172" t="s">
        <v>13</v>
      </c>
      <c r="C122" s="172" t="s">
        <v>14</v>
      </c>
      <c r="D122" s="172" t="s">
        <v>15</v>
      </c>
      <c r="E122" s="173">
        <v>43003</v>
      </c>
      <c r="F122" s="174">
        <v>46.053241800000002</v>
      </c>
      <c r="G122" s="175" t="s">
        <v>16</v>
      </c>
      <c r="H122" s="172" t="s">
        <v>17</v>
      </c>
      <c r="I122" s="175">
        <v>1</v>
      </c>
      <c r="J122" s="175" t="s">
        <v>18</v>
      </c>
      <c r="K122" s="175" t="s">
        <v>57</v>
      </c>
      <c r="L122" s="172" t="s">
        <v>56</v>
      </c>
      <c r="M122" s="172" t="s">
        <v>17</v>
      </c>
    </row>
    <row r="123" spans="1:13" x14ac:dyDescent="0.2">
      <c r="A123" s="172" t="s">
        <v>12</v>
      </c>
      <c r="B123" s="172" t="s">
        <v>13</v>
      </c>
      <c r="C123" s="172" t="s">
        <v>14</v>
      </c>
      <c r="D123" s="172" t="s">
        <v>15</v>
      </c>
      <c r="E123" s="173">
        <v>43003</v>
      </c>
      <c r="F123" s="176">
        <v>8257.8067979999996</v>
      </c>
      <c r="G123" s="175" t="s">
        <v>19</v>
      </c>
      <c r="H123" s="172" t="s">
        <v>17</v>
      </c>
      <c r="I123" s="175">
        <v>1</v>
      </c>
      <c r="J123" s="175" t="s">
        <v>18</v>
      </c>
      <c r="K123" s="175" t="s">
        <v>57</v>
      </c>
      <c r="L123" s="172" t="s">
        <v>56</v>
      </c>
      <c r="M123" s="172" t="s">
        <v>17</v>
      </c>
    </row>
    <row r="124" spans="1:13" x14ac:dyDescent="0.2">
      <c r="A124" s="172" t="s">
        <v>12</v>
      </c>
      <c r="B124" s="172" t="s">
        <v>13</v>
      </c>
      <c r="C124" s="172" t="s">
        <v>14</v>
      </c>
      <c r="D124" s="172" t="s">
        <v>15</v>
      </c>
      <c r="E124" s="173">
        <v>43003</v>
      </c>
      <c r="F124" s="174">
        <v>52.12</v>
      </c>
      <c r="G124" s="175" t="s">
        <v>16</v>
      </c>
      <c r="H124" s="172" t="s">
        <v>20</v>
      </c>
      <c r="I124" s="175">
        <v>1</v>
      </c>
      <c r="J124" s="175" t="s">
        <v>18</v>
      </c>
      <c r="K124" s="175" t="s">
        <v>57</v>
      </c>
      <c r="L124" s="172" t="s">
        <v>56</v>
      </c>
      <c r="M124" s="172" t="s">
        <v>20</v>
      </c>
    </row>
    <row r="125" spans="1:13" x14ac:dyDescent="0.2">
      <c r="A125" s="172" t="s">
        <v>12</v>
      </c>
      <c r="B125" s="172" t="s">
        <v>13</v>
      </c>
      <c r="C125" s="172" t="s">
        <v>14</v>
      </c>
      <c r="D125" s="172" t="s">
        <v>15</v>
      </c>
      <c r="E125" s="173">
        <v>43003</v>
      </c>
      <c r="F125" s="176">
        <v>10301.934960000001</v>
      </c>
      <c r="G125" s="175" t="s">
        <v>19</v>
      </c>
      <c r="H125" s="172" t="s">
        <v>20</v>
      </c>
      <c r="I125" s="175">
        <v>1</v>
      </c>
      <c r="J125" s="175" t="s">
        <v>18</v>
      </c>
      <c r="K125" s="175" t="s">
        <v>57</v>
      </c>
      <c r="L125" s="172" t="s">
        <v>56</v>
      </c>
      <c r="M125" s="172" t="s">
        <v>20</v>
      </c>
    </row>
    <row r="126" spans="1:13" x14ac:dyDescent="0.2">
      <c r="A126" s="172" t="s">
        <v>12</v>
      </c>
      <c r="B126" s="172" t="s">
        <v>13</v>
      </c>
      <c r="C126" s="172" t="s">
        <v>14</v>
      </c>
      <c r="D126" s="172" t="s">
        <v>15</v>
      </c>
      <c r="E126" s="173">
        <v>42997</v>
      </c>
      <c r="F126" s="174">
        <v>105.9038857</v>
      </c>
      <c r="G126" s="175" t="s">
        <v>16</v>
      </c>
      <c r="H126" s="172" t="s">
        <v>17</v>
      </c>
      <c r="I126" s="175">
        <v>1</v>
      </c>
      <c r="J126" s="175" t="s">
        <v>18</v>
      </c>
      <c r="K126" s="175" t="s">
        <v>57</v>
      </c>
      <c r="L126" s="172" t="s">
        <v>56</v>
      </c>
      <c r="M126" s="172" t="s">
        <v>17</v>
      </c>
    </row>
    <row r="127" spans="1:13" x14ac:dyDescent="0.2">
      <c r="A127" s="172" t="s">
        <v>12</v>
      </c>
      <c r="B127" s="172" t="s">
        <v>13</v>
      </c>
      <c r="C127" s="172" t="s">
        <v>14</v>
      </c>
      <c r="D127" s="172" t="s">
        <v>15</v>
      </c>
      <c r="E127" s="173">
        <v>42997</v>
      </c>
      <c r="F127" s="176">
        <v>15456.672119999999</v>
      </c>
      <c r="G127" s="175" t="s">
        <v>19</v>
      </c>
      <c r="H127" s="172" t="s">
        <v>17</v>
      </c>
      <c r="I127" s="175">
        <v>1</v>
      </c>
      <c r="J127" s="175" t="s">
        <v>18</v>
      </c>
      <c r="K127" s="175" t="s">
        <v>57</v>
      </c>
      <c r="L127" s="172" t="s">
        <v>56</v>
      </c>
      <c r="M127" s="172" t="s">
        <v>17</v>
      </c>
    </row>
    <row r="128" spans="1:13" x14ac:dyDescent="0.2">
      <c r="A128" s="172" t="s">
        <v>12</v>
      </c>
      <c r="B128" s="172" t="s">
        <v>13</v>
      </c>
      <c r="C128" s="172" t="s">
        <v>14</v>
      </c>
      <c r="D128" s="172" t="s">
        <v>15</v>
      </c>
      <c r="E128" s="173">
        <v>42997</v>
      </c>
      <c r="F128" s="227">
        <v>109.31</v>
      </c>
      <c r="G128" s="175" t="s">
        <v>16</v>
      </c>
      <c r="H128" s="172" t="s">
        <v>20</v>
      </c>
      <c r="I128" s="175">
        <v>1</v>
      </c>
      <c r="J128" s="175" t="s">
        <v>18</v>
      </c>
      <c r="K128" s="175" t="s">
        <v>57</v>
      </c>
      <c r="L128" s="172" t="s">
        <v>56</v>
      </c>
      <c r="M128" s="172" t="s">
        <v>20</v>
      </c>
    </row>
    <row r="129" spans="1:13" x14ac:dyDescent="0.2">
      <c r="A129" s="172" t="s">
        <v>12</v>
      </c>
      <c r="B129" s="172" t="s">
        <v>13</v>
      </c>
      <c r="C129" s="172" t="s">
        <v>14</v>
      </c>
      <c r="D129" s="172" t="s">
        <v>15</v>
      </c>
      <c r="E129" s="173">
        <v>42997</v>
      </c>
      <c r="F129" s="228">
        <v>19053.388859999999</v>
      </c>
      <c r="G129" s="175" t="s">
        <v>19</v>
      </c>
      <c r="H129" s="172" t="s">
        <v>20</v>
      </c>
      <c r="I129" s="175">
        <v>1</v>
      </c>
      <c r="J129" s="175" t="s">
        <v>18</v>
      </c>
      <c r="K129" s="175" t="s">
        <v>57</v>
      </c>
      <c r="L129" s="172" t="s">
        <v>56</v>
      </c>
      <c r="M129" s="172" t="s">
        <v>20</v>
      </c>
    </row>
    <row r="130" spans="1:13" x14ac:dyDescent="0.2">
      <c r="A130" s="172" t="s">
        <v>12</v>
      </c>
      <c r="B130" s="172" t="s">
        <v>13</v>
      </c>
      <c r="C130" s="172" t="s">
        <v>14</v>
      </c>
      <c r="D130" s="172" t="s">
        <v>15</v>
      </c>
      <c r="E130" s="173">
        <v>42984</v>
      </c>
      <c r="F130" s="174">
        <v>45.325017500000001</v>
      </c>
      <c r="G130" s="175" t="s">
        <v>16</v>
      </c>
      <c r="H130" s="172" t="s">
        <v>17</v>
      </c>
      <c r="I130" s="175">
        <v>1</v>
      </c>
      <c r="J130" s="175" t="s">
        <v>18</v>
      </c>
      <c r="K130" s="175" t="s">
        <v>57</v>
      </c>
      <c r="L130" s="172" t="s">
        <v>56</v>
      </c>
      <c r="M130" s="172" t="s">
        <v>17</v>
      </c>
    </row>
    <row r="131" spans="1:13" x14ac:dyDescent="0.2">
      <c r="A131" s="172" t="s">
        <v>12</v>
      </c>
      <c r="B131" s="172" t="s">
        <v>13</v>
      </c>
      <c r="C131" s="172" t="s">
        <v>14</v>
      </c>
      <c r="D131" s="172" t="s">
        <v>15</v>
      </c>
      <c r="E131" s="173">
        <v>42984</v>
      </c>
      <c r="F131" s="176">
        <v>6463.9820520000003</v>
      </c>
      <c r="G131" s="175" t="s">
        <v>19</v>
      </c>
      <c r="H131" s="172" t="s">
        <v>17</v>
      </c>
      <c r="I131" s="175">
        <v>1</v>
      </c>
      <c r="J131" s="175" t="s">
        <v>18</v>
      </c>
      <c r="K131" s="175" t="s">
        <v>57</v>
      </c>
      <c r="L131" s="172" t="s">
        <v>56</v>
      </c>
      <c r="M131" s="172" t="s">
        <v>17</v>
      </c>
    </row>
    <row r="132" spans="1:13" x14ac:dyDescent="0.2">
      <c r="A132" s="172" t="s">
        <v>12</v>
      </c>
      <c r="B132" s="172" t="s">
        <v>13</v>
      </c>
      <c r="C132" s="172" t="s">
        <v>14</v>
      </c>
      <c r="D132" s="172" t="s">
        <v>15</v>
      </c>
      <c r="E132" s="173">
        <v>42984</v>
      </c>
      <c r="F132" s="174">
        <v>49.24</v>
      </c>
      <c r="G132" s="175" t="s">
        <v>16</v>
      </c>
      <c r="H132" s="172" t="s">
        <v>20</v>
      </c>
      <c r="I132" s="175">
        <v>1</v>
      </c>
      <c r="J132" s="175" t="s">
        <v>18</v>
      </c>
      <c r="K132" s="175" t="s">
        <v>57</v>
      </c>
      <c r="L132" s="172" t="s">
        <v>56</v>
      </c>
      <c r="M132" s="172" t="s">
        <v>20</v>
      </c>
    </row>
    <row r="133" spans="1:13" x14ac:dyDescent="0.2">
      <c r="A133" s="172" t="s">
        <v>12</v>
      </c>
      <c r="B133" s="172" t="s">
        <v>13</v>
      </c>
      <c r="C133" s="172" t="s">
        <v>14</v>
      </c>
      <c r="D133" s="172" t="s">
        <v>15</v>
      </c>
      <c r="E133" s="173">
        <v>42984</v>
      </c>
      <c r="F133" s="176">
        <v>8254.2981600000003</v>
      </c>
      <c r="G133" s="175" t="s">
        <v>19</v>
      </c>
      <c r="H133" s="172" t="s">
        <v>20</v>
      </c>
      <c r="I133" s="175">
        <v>1</v>
      </c>
      <c r="J133" s="175" t="s">
        <v>18</v>
      </c>
      <c r="K133" s="175" t="s">
        <v>57</v>
      </c>
      <c r="L133" s="172" t="s">
        <v>56</v>
      </c>
      <c r="M133" s="172" t="s">
        <v>20</v>
      </c>
    </row>
    <row r="134" spans="1:13" x14ac:dyDescent="0.2">
      <c r="A134" s="172" t="s">
        <v>12</v>
      </c>
      <c r="B134" s="172" t="s">
        <v>13</v>
      </c>
      <c r="C134" s="172" t="s">
        <v>14</v>
      </c>
      <c r="D134" s="172" t="s">
        <v>15</v>
      </c>
      <c r="E134" s="173">
        <v>42977</v>
      </c>
      <c r="F134" s="174">
        <v>39.752484500000001</v>
      </c>
      <c r="G134" s="175" t="s">
        <v>16</v>
      </c>
      <c r="H134" s="172" t="s">
        <v>17</v>
      </c>
      <c r="I134" s="175">
        <v>1</v>
      </c>
      <c r="J134" s="175" t="s">
        <v>18</v>
      </c>
      <c r="K134" s="175" t="s">
        <v>57</v>
      </c>
      <c r="L134" s="172" t="s">
        <v>56</v>
      </c>
      <c r="M134" s="172" t="s">
        <v>17</v>
      </c>
    </row>
    <row r="135" spans="1:13" x14ac:dyDescent="0.2">
      <c r="A135" s="172" t="s">
        <v>12</v>
      </c>
      <c r="B135" s="172" t="s">
        <v>13</v>
      </c>
      <c r="C135" s="172" t="s">
        <v>14</v>
      </c>
      <c r="D135" s="172" t="s">
        <v>15</v>
      </c>
      <c r="E135" s="173">
        <v>42977</v>
      </c>
      <c r="F135" s="176">
        <v>6431.7929880000002</v>
      </c>
      <c r="G135" s="175" t="s">
        <v>19</v>
      </c>
      <c r="H135" s="172" t="s">
        <v>17</v>
      </c>
      <c r="I135" s="175">
        <v>1</v>
      </c>
      <c r="J135" s="175" t="s">
        <v>18</v>
      </c>
      <c r="K135" s="175" t="s">
        <v>57</v>
      </c>
      <c r="L135" s="172" t="s">
        <v>56</v>
      </c>
      <c r="M135" s="172" t="s">
        <v>17</v>
      </c>
    </row>
    <row r="136" spans="1:13" x14ac:dyDescent="0.2">
      <c r="A136" s="172" t="s">
        <v>12</v>
      </c>
      <c r="B136" s="172" t="s">
        <v>13</v>
      </c>
      <c r="C136" s="172" t="s">
        <v>14</v>
      </c>
      <c r="D136" s="172" t="s">
        <v>15</v>
      </c>
      <c r="E136" s="173">
        <v>42977</v>
      </c>
      <c r="F136" s="174">
        <v>40.549999999999997</v>
      </c>
      <c r="G136" s="175" t="s">
        <v>16</v>
      </c>
      <c r="H136" s="172" t="s">
        <v>20</v>
      </c>
      <c r="I136" s="175">
        <v>1</v>
      </c>
      <c r="J136" s="175" t="s">
        <v>18</v>
      </c>
      <c r="K136" s="175" t="s">
        <v>57</v>
      </c>
      <c r="L136" s="172" t="s">
        <v>56</v>
      </c>
      <c r="M136" s="172" t="s">
        <v>20</v>
      </c>
    </row>
    <row r="137" spans="1:13" x14ac:dyDescent="0.2">
      <c r="A137" s="172" t="s">
        <v>12</v>
      </c>
      <c r="B137" s="172" t="s">
        <v>13</v>
      </c>
      <c r="C137" s="172" t="s">
        <v>14</v>
      </c>
      <c r="D137" s="172" t="s">
        <v>15</v>
      </c>
      <c r="E137" s="173">
        <v>42977</v>
      </c>
      <c r="F137" s="176">
        <v>7372.4766</v>
      </c>
      <c r="G137" s="175" t="s">
        <v>19</v>
      </c>
      <c r="H137" s="172" t="s">
        <v>20</v>
      </c>
      <c r="I137" s="175">
        <v>1</v>
      </c>
      <c r="J137" s="175" t="s">
        <v>18</v>
      </c>
      <c r="K137" s="175" t="s">
        <v>57</v>
      </c>
      <c r="L137" s="172" t="s">
        <v>56</v>
      </c>
      <c r="M137" s="172" t="s">
        <v>20</v>
      </c>
    </row>
    <row r="138" spans="1:13" x14ac:dyDescent="0.2">
      <c r="A138" s="172" t="s">
        <v>12</v>
      </c>
      <c r="B138" s="172" t="s">
        <v>13</v>
      </c>
      <c r="C138" s="172" t="s">
        <v>14</v>
      </c>
      <c r="D138" s="172" t="s">
        <v>15</v>
      </c>
      <c r="E138" s="173">
        <v>42970</v>
      </c>
      <c r="F138" s="174">
        <v>47.368329699999997</v>
      </c>
      <c r="G138" s="175" t="s">
        <v>16</v>
      </c>
      <c r="H138" s="172" t="s">
        <v>17</v>
      </c>
      <c r="I138" s="175">
        <v>1</v>
      </c>
      <c r="J138" s="175" t="s">
        <v>18</v>
      </c>
      <c r="K138" s="175" t="s">
        <v>57</v>
      </c>
      <c r="L138" s="172" t="s">
        <v>56</v>
      </c>
      <c r="M138" s="172" t="s">
        <v>17</v>
      </c>
    </row>
    <row r="139" spans="1:13" x14ac:dyDescent="0.2">
      <c r="A139" s="172" t="s">
        <v>12</v>
      </c>
      <c r="B139" s="172" t="s">
        <v>13</v>
      </c>
      <c r="C139" s="172" t="s">
        <v>14</v>
      </c>
      <c r="D139" s="172" t="s">
        <v>15</v>
      </c>
      <c r="E139" s="173">
        <v>42970</v>
      </c>
      <c r="F139" s="176">
        <v>7308.4595939999999</v>
      </c>
      <c r="G139" s="175" t="s">
        <v>19</v>
      </c>
      <c r="H139" s="172" t="s">
        <v>17</v>
      </c>
      <c r="I139" s="175">
        <v>1</v>
      </c>
      <c r="J139" s="175" t="s">
        <v>18</v>
      </c>
      <c r="K139" s="175" t="s">
        <v>57</v>
      </c>
      <c r="L139" s="172" t="s">
        <v>56</v>
      </c>
      <c r="M139" s="172" t="s">
        <v>17</v>
      </c>
    </row>
    <row r="140" spans="1:13" x14ac:dyDescent="0.2">
      <c r="A140" s="172" t="s">
        <v>12</v>
      </c>
      <c r="B140" s="172" t="s">
        <v>13</v>
      </c>
      <c r="C140" s="172" t="s">
        <v>14</v>
      </c>
      <c r="D140" s="172" t="s">
        <v>15</v>
      </c>
      <c r="E140" s="173">
        <v>42970</v>
      </c>
      <c r="F140" s="174">
        <v>37.54</v>
      </c>
      <c r="G140" s="175" t="s">
        <v>16</v>
      </c>
      <c r="H140" s="172" t="s">
        <v>20</v>
      </c>
      <c r="I140" s="175">
        <v>1</v>
      </c>
      <c r="J140" s="175" t="s">
        <v>18</v>
      </c>
      <c r="K140" s="175" t="s">
        <v>57</v>
      </c>
      <c r="L140" s="172" t="s">
        <v>56</v>
      </c>
      <c r="M140" s="172" t="s">
        <v>20</v>
      </c>
    </row>
    <row r="141" spans="1:13" x14ac:dyDescent="0.2">
      <c r="A141" s="172" t="s">
        <v>12</v>
      </c>
      <c r="B141" s="172" t="s">
        <v>13</v>
      </c>
      <c r="C141" s="172" t="s">
        <v>14</v>
      </c>
      <c r="D141" s="172" t="s">
        <v>15</v>
      </c>
      <c r="E141" s="173">
        <v>42970</v>
      </c>
      <c r="F141" s="176">
        <v>6606.0639600000004</v>
      </c>
      <c r="G141" s="175" t="s">
        <v>19</v>
      </c>
      <c r="H141" s="172" t="s">
        <v>20</v>
      </c>
      <c r="I141" s="175">
        <v>1</v>
      </c>
      <c r="J141" s="175" t="s">
        <v>18</v>
      </c>
      <c r="K141" s="175" t="s">
        <v>57</v>
      </c>
      <c r="L141" s="172" t="s">
        <v>56</v>
      </c>
      <c r="M141" s="172" t="s">
        <v>20</v>
      </c>
    </row>
    <row r="142" spans="1:13" x14ac:dyDescent="0.2">
      <c r="A142" s="172" t="s">
        <v>12</v>
      </c>
      <c r="B142" s="172" t="s">
        <v>13</v>
      </c>
      <c r="C142" s="172" t="s">
        <v>14</v>
      </c>
      <c r="D142" s="172" t="s">
        <v>15</v>
      </c>
      <c r="E142" s="173">
        <v>42963</v>
      </c>
      <c r="F142" s="174">
        <v>26.538039600000001</v>
      </c>
      <c r="G142" s="175" t="s">
        <v>16</v>
      </c>
      <c r="H142" s="172" t="s">
        <v>17</v>
      </c>
      <c r="I142" s="175">
        <v>1</v>
      </c>
      <c r="J142" s="175" t="s">
        <v>18</v>
      </c>
      <c r="K142" s="175" t="s">
        <v>57</v>
      </c>
      <c r="L142" s="172" t="s">
        <v>56</v>
      </c>
      <c r="M142" s="172" t="s">
        <v>17</v>
      </c>
    </row>
    <row r="143" spans="1:13" x14ac:dyDescent="0.2">
      <c r="A143" s="172" t="s">
        <v>12</v>
      </c>
      <c r="B143" s="172" t="s">
        <v>13</v>
      </c>
      <c r="C143" s="172" t="s">
        <v>14</v>
      </c>
      <c r="D143" s="172" t="s">
        <v>15</v>
      </c>
      <c r="E143" s="173">
        <v>42963</v>
      </c>
      <c r="F143" s="176">
        <v>4470.8104560000002</v>
      </c>
      <c r="G143" s="175" t="s">
        <v>19</v>
      </c>
      <c r="H143" s="172" t="s">
        <v>17</v>
      </c>
      <c r="I143" s="175">
        <v>1</v>
      </c>
      <c r="J143" s="175" t="s">
        <v>18</v>
      </c>
      <c r="K143" s="175" t="s">
        <v>57</v>
      </c>
      <c r="L143" s="172" t="s">
        <v>56</v>
      </c>
      <c r="M143" s="172" t="s">
        <v>17</v>
      </c>
    </row>
    <row r="144" spans="1:13" x14ac:dyDescent="0.2">
      <c r="A144" s="172" t="s">
        <v>12</v>
      </c>
      <c r="B144" s="172" t="s">
        <v>13</v>
      </c>
      <c r="C144" s="172" t="s">
        <v>14</v>
      </c>
      <c r="D144" s="172" t="s">
        <v>15</v>
      </c>
      <c r="E144" s="173">
        <v>42963</v>
      </c>
      <c r="F144" s="174">
        <v>45.11</v>
      </c>
      <c r="G144" s="175" t="s">
        <v>16</v>
      </c>
      <c r="H144" s="172" t="s">
        <v>20</v>
      </c>
      <c r="I144" s="175">
        <v>1</v>
      </c>
      <c r="J144" s="175" t="s">
        <v>18</v>
      </c>
      <c r="K144" s="175" t="s">
        <v>57</v>
      </c>
      <c r="L144" s="172" t="s">
        <v>56</v>
      </c>
      <c r="M144" s="172" t="s">
        <v>20</v>
      </c>
    </row>
    <row r="145" spans="1:13" x14ac:dyDescent="0.2">
      <c r="A145" s="172" t="s">
        <v>12</v>
      </c>
      <c r="B145" s="172" t="s">
        <v>13</v>
      </c>
      <c r="C145" s="172" t="s">
        <v>14</v>
      </c>
      <c r="D145" s="172" t="s">
        <v>15</v>
      </c>
      <c r="E145" s="173">
        <v>42963</v>
      </c>
      <c r="F145" s="176">
        <v>8464.8914999999997</v>
      </c>
      <c r="G145" s="175" t="s">
        <v>19</v>
      </c>
      <c r="H145" s="172" t="s">
        <v>20</v>
      </c>
      <c r="I145" s="175">
        <v>1</v>
      </c>
      <c r="J145" s="175" t="s">
        <v>18</v>
      </c>
      <c r="K145" s="175" t="s">
        <v>57</v>
      </c>
      <c r="L145" s="172" t="s">
        <v>56</v>
      </c>
      <c r="M145" s="172" t="s">
        <v>20</v>
      </c>
    </row>
    <row r="146" spans="1:13" x14ac:dyDescent="0.2">
      <c r="A146" s="172" t="s">
        <v>12</v>
      </c>
      <c r="B146" s="172" t="s">
        <v>13</v>
      </c>
      <c r="C146" s="172" t="s">
        <v>14</v>
      </c>
      <c r="D146" s="172" t="s">
        <v>15</v>
      </c>
      <c r="E146" s="173">
        <v>42957</v>
      </c>
      <c r="F146" s="174">
        <v>40.961685099999997</v>
      </c>
      <c r="G146" s="175" t="s">
        <v>16</v>
      </c>
      <c r="H146" s="172" t="s">
        <v>17</v>
      </c>
      <c r="I146" s="175">
        <v>1</v>
      </c>
      <c r="J146" s="175" t="s">
        <v>18</v>
      </c>
      <c r="K146" s="175" t="s">
        <v>57</v>
      </c>
      <c r="L146" s="172" t="s">
        <v>56</v>
      </c>
      <c r="M146" s="172" t="s">
        <v>17</v>
      </c>
    </row>
    <row r="147" spans="1:13" x14ac:dyDescent="0.2">
      <c r="A147" s="172" t="s">
        <v>12</v>
      </c>
      <c r="B147" s="172" t="s">
        <v>13</v>
      </c>
      <c r="C147" s="172" t="s">
        <v>14</v>
      </c>
      <c r="D147" s="172" t="s">
        <v>15</v>
      </c>
      <c r="E147" s="173">
        <v>42957</v>
      </c>
      <c r="F147" s="176">
        <v>7379.001816</v>
      </c>
      <c r="G147" s="175" t="s">
        <v>19</v>
      </c>
      <c r="H147" s="172" t="s">
        <v>17</v>
      </c>
      <c r="I147" s="175">
        <v>1</v>
      </c>
      <c r="J147" s="175" t="s">
        <v>18</v>
      </c>
      <c r="K147" s="175" t="s">
        <v>57</v>
      </c>
      <c r="L147" s="172" t="s">
        <v>56</v>
      </c>
      <c r="M147" s="172" t="s">
        <v>17</v>
      </c>
    </row>
    <row r="148" spans="1:13" x14ac:dyDescent="0.2">
      <c r="A148" s="172" t="s">
        <v>12</v>
      </c>
      <c r="B148" s="172" t="s">
        <v>13</v>
      </c>
      <c r="C148" s="172" t="s">
        <v>14</v>
      </c>
      <c r="D148" s="172" t="s">
        <v>15</v>
      </c>
      <c r="E148" s="173">
        <v>42957</v>
      </c>
      <c r="F148" s="174">
        <v>34.86</v>
      </c>
      <c r="G148" s="175" t="s">
        <v>16</v>
      </c>
      <c r="H148" s="172" t="s">
        <v>20</v>
      </c>
      <c r="I148" s="175">
        <v>1</v>
      </c>
      <c r="J148" s="175" t="s">
        <v>18</v>
      </c>
      <c r="K148" s="175" t="s">
        <v>57</v>
      </c>
      <c r="L148" s="172" t="s">
        <v>56</v>
      </c>
      <c r="M148" s="172" t="s">
        <v>20</v>
      </c>
    </row>
    <row r="149" spans="1:13" x14ac:dyDescent="0.2">
      <c r="A149" s="172" t="s">
        <v>12</v>
      </c>
      <c r="B149" s="172" t="s">
        <v>13</v>
      </c>
      <c r="C149" s="172" t="s">
        <v>14</v>
      </c>
      <c r="D149" s="172" t="s">
        <v>15</v>
      </c>
      <c r="E149" s="173">
        <v>42957</v>
      </c>
      <c r="F149" s="176">
        <v>7152.0170399999997</v>
      </c>
      <c r="G149" s="175" t="s">
        <v>19</v>
      </c>
      <c r="H149" s="172" t="s">
        <v>20</v>
      </c>
      <c r="I149" s="175">
        <v>1</v>
      </c>
      <c r="J149" s="175" t="s">
        <v>18</v>
      </c>
      <c r="K149" s="175" t="s">
        <v>57</v>
      </c>
      <c r="L149" s="172" t="s">
        <v>56</v>
      </c>
      <c r="M149" s="172" t="s">
        <v>20</v>
      </c>
    </row>
    <row r="150" spans="1:13" x14ac:dyDescent="0.2">
      <c r="A150" s="172" t="s">
        <v>12</v>
      </c>
      <c r="B150" s="172" t="s">
        <v>13</v>
      </c>
      <c r="C150" s="172" t="s">
        <v>14</v>
      </c>
      <c r="D150" s="172" t="s">
        <v>15</v>
      </c>
      <c r="E150" s="173">
        <v>42949</v>
      </c>
      <c r="F150" s="174">
        <v>31.444773699999999</v>
      </c>
      <c r="G150" s="175" t="s">
        <v>16</v>
      </c>
      <c r="H150" s="172" t="s">
        <v>17</v>
      </c>
      <c r="I150" s="175">
        <v>1</v>
      </c>
      <c r="J150" s="175" t="s">
        <v>18</v>
      </c>
      <c r="K150" s="175" t="s">
        <v>57</v>
      </c>
      <c r="L150" s="172" t="s">
        <v>56</v>
      </c>
      <c r="M150" s="172" t="s">
        <v>17</v>
      </c>
    </row>
    <row r="151" spans="1:13" x14ac:dyDescent="0.2">
      <c r="A151" s="172" t="s">
        <v>12</v>
      </c>
      <c r="B151" s="172" t="s">
        <v>13</v>
      </c>
      <c r="C151" s="172" t="s">
        <v>14</v>
      </c>
      <c r="D151" s="172" t="s">
        <v>15</v>
      </c>
      <c r="E151" s="173">
        <v>42949</v>
      </c>
      <c r="F151" s="176">
        <v>7185.6339120000002</v>
      </c>
      <c r="G151" s="175" t="s">
        <v>19</v>
      </c>
      <c r="H151" s="172" t="s">
        <v>17</v>
      </c>
      <c r="I151" s="175">
        <v>1</v>
      </c>
      <c r="J151" s="175" t="s">
        <v>18</v>
      </c>
      <c r="K151" s="175" t="s">
        <v>57</v>
      </c>
      <c r="L151" s="172" t="s">
        <v>56</v>
      </c>
      <c r="M151" s="172" t="s">
        <v>17</v>
      </c>
    </row>
    <row r="152" spans="1:13" x14ac:dyDescent="0.2">
      <c r="A152" s="172" t="s">
        <v>12</v>
      </c>
      <c r="B152" s="172" t="s">
        <v>13</v>
      </c>
      <c r="C152" s="172" t="s">
        <v>14</v>
      </c>
      <c r="D152" s="172" t="s">
        <v>15</v>
      </c>
      <c r="E152" s="173">
        <v>42949</v>
      </c>
      <c r="F152" s="174">
        <v>21.05</v>
      </c>
      <c r="G152" s="175" t="s">
        <v>16</v>
      </c>
      <c r="H152" s="172" t="s">
        <v>20</v>
      </c>
      <c r="I152" s="175">
        <v>1</v>
      </c>
      <c r="J152" s="175" t="s">
        <v>18</v>
      </c>
      <c r="K152" s="175" t="s">
        <v>57</v>
      </c>
      <c r="L152" s="172" t="s">
        <v>56</v>
      </c>
      <c r="M152" s="172" t="s">
        <v>20</v>
      </c>
    </row>
    <row r="153" spans="1:13" x14ac:dyDescent="0.2">
      <c r="A153" s="172" t="s">
        <v>12</v>
      </c>
      <c r="B153" s="172" t="s">
        <v>13</v>
      </c>
      <c r="C153" s="172" t="s">
        <v>14</v>
      </c>
      <c r="D153" s="172" t="s">
        <v>15</v>
      </c>
      <c r="E153" s="173">
        <v>42949</v>
      </c>
      <c r="F153" s="176">
        <v>5477.3783999999996</v>
      </c>
      <c r="G153" s="175" t="s">
        <v>19</v>
      </c>
      <c r="H153" s="172" t="s">
        <v>20</v>
      </c>
      <c r="I153" s="175">
        <v>1</v>
      </c>
      <c r="J153" s="175" t="s">
        <v>18</v>
      </c>
      <c r="K153" s="175" t="s">
        <v>57</v>
      </c>
      <c r="L153" s="172" t="s">
        <v>56</v>
      </c>
      <c r="M153" s="172" t="s">
        <v>20</v>
      </c>
    </row>
    <row r="154" spans="1:13" x14ac:dyDescent="0.2">
      <c r="A154" s="172" t="s">
        <v>12</v>
      </c>
      <c r="B154" s="172" t="s">
        <v>13</v>
      </c>
      <c r="C154" s="172" t="s">
        <v>14</v>
      </c>
      <c r="D154" s="172" t="s">
        <v>15</v>
      </c>
      <c r="E154" s="173">
        <v>42914</v>
      </c>
      <c r="F154" s="174">
        <v>30.596397400000001</v>
      </c>
      <c r="G154" s="175" t="s">
        <v>16</v>
      </c>
      <c r="H154" s="172" t="s">
        <v>17</v>
      </c>
      <c r="I154" s="175">
        <v>1</v>
      </c>
      <c r="J154" s="175" t="s">
        <v>18</v>
      </c>
      <c r="K154" s="175" t="s">
        <v>57</v>
      </c>
      <c r="L154" s="172" t="s">
        <v>56</v>
      </c>
      <c r="M154" s="172" t="s">
        <v>17</v>
      </c>
    </row>
    <row r="155" spans="1:13" x14ac:dyDescent="0.2">
      <c r="A155" s="172" t="s">
        <v>12</v>
      </c>
      <c r="B155" s="172" t="s">
        <v>13</v>
      </c>
      <c r="C155" s="172" t="s">
        <v>14</v>
      </c>
      <c r="D155" s="172" t="s">
        <v>15</v>
      </c>
      <c r="E155" s="173">
        <v>42914</v>
      </c>
      <c r="F155" s="176">
        <v>10079.371218</v>
      </c>
      <c r="G155" s="175" t="s">
        <v>19</v>
      </c>
      <c r="H155" s="172" t="s">
        <v>17</v>
      </c>
      <c r="I155" s="175">
        <v>1</v>
      </c>
      <c r="J155" s="175" t="s">
        <v>18</v>
      </c>
      <c r="K155" s="175" t="s">
        <v>57</v>
      </c>
      <c r="L155" s="172" t="s">
        <v>56</v>
      </c>
      <c r="M155" s="172" t="s">
        <v>17</v>
      </c>
    </row>
    <row r="156" spans="1:13" x14ac:dyDescent="0.2">
      <c r="A156" s="172" t="s">
        <v>12</v>
      </c>
      <c r="B156" s="172" t="s">
        <v>13</v>
      </c>
      <c r="C156" s="172" t="s">
        <v>14</v>
      </c>
      <c r="D156" s="172" t="s">
        <v>15</v>
      </c>
      <c r="E156" s="173">
        <v>42914</v>
      </c>
      <c r="F156" s="174">
        <v>29.196000000000002</v>
      </c>
      <c r="G156" s="175" t="s">
        <v>16</v>
      </c>
      <c r="H156" s="172" t="s">
        <v>20</v>
      </c>
      <c r="I156" s="175">
        <v>1</v>
      </c>
      <c r="J156" s="175" t="s">
        <v>18</v>
      </c>
      <c r="K156" s="175" t="s">
        <v>57</v>
      </c>
      <c r="L156" s="172" t="s">
        <v>56</v>
      </c>
      <c r="M156" s="172" t="s">
        <v>20</v>
      </c>
    </row>
    <row r="157" spans="1:13" x14ac:dyDescent="0.2">
      <c r="A157" s="172" t="s">
        <v>12</v>
      </c>
      <c r="B157" s="172" t="s">
        <v>13</v>
      </c>
      <c r="C157" s="172" t="s">
        <v>14</v>
      </c>
      <c r="D157" s="172" t="s">
        <v>15</v>
      </c>
      <c r="E157" s="173">
        <v>42914</v>
      </c>
      <c r="F157" s="176">
        <v>9423.2425679999997</v>
      </c>
      <c r="G157" s="175" t="s">
        <v>19</v>
      </c>
      <c r="H157" s="172" t="s">
        <v>20</v>
      </c>
      <c r="I157" s="175">
        <v>1</v>
      </c>
      <c r="J157" s="175" t="s">
        <v>18</v>
      </c>
      <c r="K157" s="175" t="s">
        <v>57</v>
      </c>
      <c r="L157" s="172" t="s">
        <v>56</v>
      </c>
      <c r="M157" s="172" t="s">
        <v>20</v>
      </c>
    </row>
    <row r="158" spans="1:13" x14ac:dyDescent="0.2">
      <c r="A158" s="172" t="s">
        <v>12</v>
      </c>
      <c r="B158" s="172" t="s">
        <v>13</v>
      </c>
      <c r="C158" s="172" t="s">
        <v>14</v>
      </c>
      <c r="D158" s="172" t="s">
        <v>15</v>
      </c>
      <c r="E158" s="173">
        <v>42906</v>
      </c>
      <c r="F158" s="174">
        <v>34.964399999999998</v>
      </c>
      <c r="G158" s="175" t="s">
        <v>16</v>
      </c>
      <c r="H158" s="172" t="s">
        <v>17</v>
      </c>
      <c r="I158" s="175">
        <v>1</v>
      </c>
      <c r="J158" s="175" t="s">
        <v>18</v>
      </c>
      <c r="K158" s="175" t="s">
        <v>57</v>
      </c>
      <c r="L158" s="172" t="s">
        <v>56</v>
      </c>
      <c r="M158" s="172" t="s">
        <v>17</v>
      </c>
    </row>
    <row r="159" spans="1:13" x14ac:dyDescent="0.2">
      <c r="A159" s="172" t="s">
        <v>12</v>
      </c>
      <c r="B159" s="172" t="s">
        <v>13</v>
      </c>
      <c r="C159" s="172" t="s">
        <v>14</v>
      </c>
      <c r="D159" s="172" t="s">
        <v>15</v>
      </c>
      <c r="E159" s="173">
        <v>42906</v>
      </c>
      <c r="F159" s="176">
        <v>7873.2835919999998</v>
      </c>
      <c r="G159" s="175" t="s">
        <v>19</v>
      </c>
      <c r="H159" s="172" t="s">
        <v>17</v>
      </c>
      <c r="I159" s="175">
        <v>1</v>
      </c>
      <c r="J159" s="175" t="s">
        <v>18</v>
      </c>
      <c r="K159" s="175" t="s">
        <v>57</v>
      </c>
      <c r="L159" s="172" t="s">
        <v>56</v>
      </c>
      <c r="M159" s="172" t="s">
        <v>17</v>
      </c>
    </row>
    <row r="160" spans="1:13" x14ac:dyDescent="0.2">
      <c r="A160" s="172" t="s">
        <v>12</v>
      </c>
      <c r="B160" s="172" t="s">
        <v>13</v>
      </c>
      <c r="C160" s="172" t="s">
        <v>14</v>
      </c>
      <c r="D160" s="172" t="s">
        <v>15</v>
      </c>
      <c r="E160" s="173">
        <v>42906</v>
      </c>
      <c r="F160" s="174">
        <v>34.9</v>
      </c>
      <c r="G160" s="175" t="s">
        <v>16</v>
      </c>
      <c r="H160" s="172" t="s">
        <v>20</v>
      </c>
      <c r="I160" s="175">
        <v>1</v>
      </c>
      <c r="J160" s="175" t="s">
        <v>18</v>
      </c>
      <c r="K160" s="175" t="s">
        <v>57</v>
      </c>
      <c r="L160" s="172" t="s">
        <v>56</v>
      </c>
      <c r="M160" s="172" t="s">
        <v>20</v>
      </c>
    </row>
    <row r="161" spans="1:13" x14ac:dyDescent="0.2">
      <c r="A161" s="172" t="s">
        <v>12</v>
      </c>
      <c r="B161" s="172" t="s">
        <v>13</v>
      </c>
      <c r="C161" s="172" t="s">
        <v>14</v>
      </c>
      <c r="D161" s="172" t="s">
        <v>15</v>
      </c>
      <c r="E161" s="173">
        <v>42906</v>
      </c>
      <c r="F161" s="176">
        <v>8178.9546</v>
      </c>
      <c r="G161" s="175" t="s">
        <v>19</v>
      </c>
      <c r="H161" s="172" t="s">
        <v>20</v>
      </c>
      <c r="I161" s="175">
        <v>1</v>
      </c>
      <c r="J161" s="175" t="s">
        <v>18</v>
      </c>
      <c r="K161" s="175" t="s">
        <v>57</v>
      </c>
      <c r="L161" s="172" t="s">
        <v>56</v>
      </c>
      <c r="M161" s="172" t="s">
        <v>20</v>
      </c>
    </row>
    <row r="162" spans="1:13" x14ac:dyDescent="0.2">
      <c r="A162" s="172" t="s">
        <v>12</v>
      </c>
      <c r="B162" s="172" t="s">
        <v>13</v>
      </c>
      <c r="C162" s="172" t="s">
        <v>14</v>
      </c>
      <c r="D162" s="172" t="s">
        <v>15</v>
      </c>
      <c r="E162" s="173">
        <v>42898</v>
      </c>
      <c r="F162" s="174">
        <v>46.721673000000003</v>
      </c>
      <c r="G162" s="175" t="s">
        <v>16</v>
      </c>
      <c r="H162" s="172" t="s">
        <v>17</v>
      </c>
      <c r="I162" s="175">
        <v>1</v>
      </c>
      <c r="J162" s="175" t="s">
        <v>18</v>
      </c>
      <c r="K162" s="175" t="s">
        <v>57</v>
      </c>
      <c r="L162" s="172" t="s">
        <v>56</v>
      </c>
      <c r="M162" s="172" t="s">
        <v>17</v>
      </c>
    </row>
    <row r="163" spans="1:13" x14ac:dyDescent="0.2">
      <c r="A163" s="172" t="s">
        <v>12</v>
      </c>
      <c r="B163" s="172" t="s">
        <v>13</v>
      </c>
      <c r="C163" s="172" t="s">
        <v>14</v>
      </c>
      <c r="D163" s="172" t="s">
        <v>15</v>
      </c>
      <c r="E163" s="173">
        <v>42898</v>
      </c>
      <c r="F163" s="176">
        <v>10248.0252</v>
      </c>
      <c r="G163" s="175" t="s">
        <v>19</v>
      </c>
      <c r="H163" s="172" t="s">
        <v>17</v>
      </c>
      <c r="I163" s="175">
        <v>1</v>
      </c>
      <c r="J163" s="175" t="s">
        <v>18</v>
      </c>
      <c r="K163" s="175" t="s">
        <v>57</v>
      </c>
      <c r="L163" s="172" t="s">
        <v>56</v>
      </c>
      <c r="M163" s="172" t="s">
        <v>17</v>
      </c>
    </row>
    <row r="164" spans="1:13" x14ac:dyDescent="0.2">
      <c r="A164" s="172" t="s">
        <v>12</v>
      </c>
      <c r="B164" s="172" t="s">
        <v>13</v>
      </c>
      <c r="C164" s="172" t="s">
        <v>14</v>
      </c>
      <c r="D164" s="172" t="s">
        <v>15</v>
      </c>
      <c r="E164" s="173">
        <v>42898</v>
      </c>
      <c r="F164" s="174">
        <v>21.72</v>
      </c>
      <c r="G164" s="175" t="s">
        <v>16</v>
      </c>
      <c r="H164" s="172" t="s">
        <v>20</v>
      </c>
      <c r="I164" s="175">
        <v>1</v>
      </c>
      <c r="J164" s="175" t="s">
        <v>18</v>
      </c>
      <c r="K164" s="175" t="s">
        <v>57</v>
      </c>
      <c r="L164" s="172" t="s">
        <v>56</v>
      </c>
      <c r="M164" s="172" t="s">
        <v>20</v>
      </c>
    </row>
    <row r="165" spans="1:13" x14ac:dyDescent="0.2">
      <c r="A165" s="172" t="s">
        <v>12</v>
      </c>
      <c r="B165" s="172" t="s">
        <v>13</v>
      </c>
      <c r="C165" s="172" t="s">
        <v>14</v>
      </c>
      <c r="D165" s="172" t="s">
        <v>15</v>
      </c>
      <c r="E165" s="173">
        <v>42898</v>
      </c>
      <c r="F165" s="176">
        <v>5017.7109600000003</v>
      </c>
      <c r="G165" s="175" t="s">
        <v>19</v>
      </c>
      <c r="H165" s="172" t="s">
        <v>20</v>
      </c>
      <c r="I165" s="175">
        <v>1</v>
      </c>
      <c r="J165" s="175" t="s">
        <v>18</v>
      </c>
      <c r="K165" s="175" t="s">
        <v>57</v>
      </c>
      <c r="L165" s="172" t="s">
        <v>56</v>
      </c>
      <c r="M165" s="172" t="s">
        <v>20</v>
      </c>
    </row>
    <row r="166" spans="1:13" x14ac:dyDescent="0.2">
      <c r="A166" s="172" t="s">
        <v>12</v>
      </c>
      <c r="B166" s="172" t="s">
        <v>13</v>
      </c>
      <c r="C166" s="172" t="s">
        <v>14</v>
      </c>
      <c r="D166" s="172" t="s">
        <v>15</v>
      </c>
      <c r="E166" s="173">
        <v>42892</v>
      </c>
      <c r="F166" s="174">
        <v>33.641021600000002</v>
      </c>
      <c r="G166" s="175" t="s">
        <v>16</v>
      </c>
      <c r="H166" s="172" t="s">
        <v>17</v>
      </c>
      <c r="I166" s="175">
        <v>1</v>
      </c>
      <c r="J166" s="175" t="s">
        <v>18</v>
      </c>
      <c r="K166" s="175" t="s">
        <v>57</v>
      </c>
      <c r="L166" s="172" t="s">
        <v>56</v>
      </c>
      <c r="M166" s="172" t="s">
        <v>17</v>
      </c>
    </row>
    <row r="167" spans="1:13" x14ac:dyDescent="0.2">
      <c r="A167" s="172" t="s">
        <v>12</v>
      </c>
      <c r="B167" s="172" t="s">
        <v>13</v>
      </c>
      <c r="C167" s="172" t="s">
        <v>14</v>
      </c>
      <c r="D167" s="172" t="s">
        <v>15</v>
      </c>
      <c r="E167" s="173">
        <v>42892</v>
      </c>
      <c r="F167" s="176">
        <v>9062.2857000000004</v>
      </c>
      <c r="G167" s="175" t="s">
        <v>19</v>
      </c>
      <c r="H167" s="172" t="s">
        <v>17</v>
      </c>
      <c r="I167" s="175">
        <v>1</v>
      </c>
      <c r="J167" s="175" t="s">
        <v>18</v>
      </c>
      <c r="K167" s="175" t="s">
        <v>57</v>
      </c>
      <c r="L167" s="172" t="s">
        <v>56</v>
      </c>
      <c r="M167" s="172" t="s">
        <v>17</v>
      </c>
    </row>
    <row r="168" spans="1:13" x14ac:dyDescent="0.2">
      <c r="A168" s="172" t="s">
        <v>12</v>
      </c>
      <c r="B168" s="172" t="s">
        <v>13</v>
      </c>
      <c r="C168" s="172" t="s">
        <v>14</v>
      </c>
      <c r="D168" s="172" t="s">
        <v>15</v>
      </c>
      <c r="E168" s="173">
        <v>42892</v>
      </c>
      <c r="F168" s="174">
        <v>21.015999999999998</v>
      </c>
      <c r="G168" s="175" t="s">
        <v>16</v>
      </c>
      <c r="H168" s="172" t="s">
        <v>20</v>
      </c>
      <c r="I168" s="175">
        <v>1</v>
      </c>
      <c r="J168" s="175" t="s">
        <v>18</v>
      </c>
      <c r="K168" s="175" t="s">
        <v>57</v>
      </c>
      <c r="L168" s="172" t="s">
        <v>56</v>
      </c>
      <c r="M168" s="172" t="s">
        <v>20</v>
      </c>
    </row>
    <row r="169" spans="1:13" x14ac:dyDescent="0.2">
      <c r="A169" s="172" t="s">
        <v>12</v>
      </c>
      <c r="B169" s="172" t="s">
        <v>13</v>
      </c>
      <c r="C169" s="172" t="s">
        <v>14</v>
      </c>
      <c r="D169" s="172" t="s">
        <v>15</v>
      </c>
      <c r="E169" s="173">
        <v>42892</v>
      </c>
      <c r="F169" s="176">
        <v>5924.2422720000004</v>
      </c>
      <c r="G169" s="175" t="s">
        <v>19</v>
      </c>
      <c r="H169" s="172" t="s">
        <v>20</v>
      </c>
      <c r="I169" s="175">
        <v>1</v>
      </c>
      <c r="J169" s="175" t="s">
        <v>18</v>
      </c>
      <c r="K169" s="175" t="s">
        <v>57</v>
      </c>
      <c r="L169" s="172" t="s">
        <v>56</v>
      </c>
      <c r="M169" s="172" t="s">
        <v>20</v>
      </c>
    </row>
    <row r="170" spans="1:13" x14ac:dyDescent="0.2">
      <c r="A170" s="172" t="s">
        <v>12</v>
      </c>
      <c r="B170" s="172" t="s">
        <v>13</v>
      </c>
      <c r="C170" s="172" t="s">
        <v>14</v>
      </c>
      <c r="D170" s="172" t="s">
        <v>15</v>
      </c>
      <c r="E170" s="173">
        <v>42887</v>
      </c>
      <c r="F170" s="174">
        <v>24.114937099999999</v>
      </c>
      <c r="G170" s="175" t="s">
        <v>16</v>
      </c>
      <c r="H170" s="172" t="s">
        <v>17</v>
      </c>
      <c r="I170" s="175">
        <v>1</v>
      </c>
      <c r="J170" s="175" t="s">
        <v>18</v>
      </c>
      <c r="K170" s="175" t="s">
        <v>57</v>
      </c>
      <c r="L170" s="172" t="s">
        <v>56</v>
      </c>
      <c r="M170" s="172" t="s">
        <v>17</v>
      </c>
    </row>
    <row r="171" spans="1:13" x14ac:dyDescent="0.2">
      <c r="A171" s="172" t="s">
        <v>12</v>
      </c>
      <c r="B171" s="172" t="s">
        <v>13</v>
      </c>
      <c r="C171" s="172" t="s">
        <v>14</v>
      </c>
      <c r="D171" s="172" t="s">
        <v>15</v>
      </c>
      <c r="E171" s="173">
        <v>42887</v>
      </c>
      <c r="F171" s="176">
        <v>8004.5193300000001</v>
      </c>
      <c r="G171" s="175" t="s">
        <v>19</v>
      </c>
      <c r="H171" s="172" t="s">
        <v>17</v>
      </c>
      <c r="I171" s="175">
        <v>1</v>
      </c>
      <c r="J171" s="175" t="s">
        <v>18</v>
      </c>
      <c r="K171" s="175" t="s">
        <v>57</v>
      </c>
      <c r="L171" s="172" t="s">
        <v>56</v>
      </c>
      <c r="M171" s="172" t="s">
        <v>17</v>
      </c>
    </row>
    <row r="172" spans="1:13" x14ac:dyDescent="0.2">
      <c r="A172" s="172" t="s">
        <v>12</v>
      </c>
      <c r="B172" s="172" t="s">
        <v>13</v>
      </c>
      <c r="C172" s="172" t="s">
        <v>14</v>
      </c>
      <c r="D172" s="172" t="s">
        <v>15</v>
      </c>
      <c r="E172" s="173">
        <v>42887</v>
      </c>
      <c r="F172" s="174">
        <v>36.475999999999999</v>
      </c>
      <c r="G172" s="175" t="s">
        <v>16</v>
      </c>
      <c r="H172" s="172" t="s">
        <v>20</v>
      </c>
      <c r="I172" s="175">
        <v>1</v>
      </c>
      <c r="J172" s="175" t="s">
        <v>18</v>
      </c>
      <c r="K172" s="175" t="s">
        <v>57</v>
      </c>
      <c r="L172" s="172" t="s">
        <v>56</v>
      </c>
      <c r="M172" s="172" t="s">
        <v>20</v>
      </c>
    </row>
    <row r="173" spans="1:13" x14ac:dyDescent="0.2">
      <c r="A173" s="172" t="s">
        <v>12</v>
      </c>
      <c r="B173" s="172" t="s">
        <v>13</v>
      </c>
      <c r="C173" s="172" t="s">
        <v>14</v>
      </c>
      <c r="D173" s="172" t="s">
        <v>15</v>
      </c>
      <c r="E173" s="173">
        <v>42887</v>
      </c>
      <c r="F173" s="176">
        <v>12776.81328</v>
      </c>
      <c r="G173" s="175" t="s">
        <v>19</v>
      </c>
      <c r="H173" s="172" t="s">
        <v>20</v>
      </c>
      <c r="I173" s="175">
        <v>1</v>
      </c>
      <c r="J173" s="175" t="s">
        <v>18</v>
      </c>
      <c r="K173" s="175" t="s">
        <v>57</v>
      </c>
      <c r="L173" s="172" t="s">
        <v>56</v>
      </c>
      <c r="M173" s="172" t="s">
        <v>20</v>
      </c>
    </row>
    <row r="174" spans="1:13" x14ac:dyDescent="0.2">
      <c r="A174" s="172" t="s">
        <v>12</v>
      </c>
      <c r="B174" s="172" t="s">
        <v>13</v>
      </c>
      <c r="C174" s="172" t="s">
        <v>14</v>
      </c>
      <c r="D174" s="172" t="s">
        <v>15</v>
      </c>
      <c r="E174" s="173">
        <v>42877</v>
      </c>
      <c r="F174" s="174">
        <v>24.844883800000002</v>
      </c>
      <c r="G174" s="175" t="s">
        <v>16</v>
      </c>
      <c r="H174" s="172" t="s">
        <v>17</v>
      </c>
      <c r="I174" s="175">
        <v>1</v>
      </c>
      <c r="J174" s="175" t="s">
        <v>18</v>
      </c>
      <c r="K174" s="175" t="s">
        <v>57</v>
      </c>
      <c r="L174" s="172" t="s">
        <v>56</v>
      </c>
      <c r="M174" s="172" t="s">
        <v>17</v>
      </c>
    </row>
    <row r="175" spans="1:13" x14ac:dyDescent="0.2">
      <c r="A175" s="172" t="s">
        <v>12</v>
      </c>
      <c r="B175" s="172" t="s">
        <v>13</v>
      </c>
      <c r="C175" s="172" t="s">
        <v>14</v>
      </c>
      <c r="D175" s="172" t="s">
        <v>15</v>
      </c>
      <c r="E175" s="173">
        <v>42877</v>
      </c>
      <c r="F175" s="176">
        <v>7314.3834960000004</v>
      </c>
      <c r="G175" s="175" t="s">
        <v>19</v>
      </c>
      <c r="H175" s="172" t="s">
        <v>17</v>
      </c>
      <c r="I175" s="175">
        <v>1</v>
      </c>
      <c r="J175" s="175" t="s">
        <v>18</v>
      </c>
      <c r="K175" s="175" t="s">
        <v>57</v>
      </c>
      <c r="L175" s="172" t="s">
        <v>56</v>
      </c>
      <c r="M175" s="172" t="s">
        <v>17</v>
      </c>
    </row>
    <row r="176" spans="1:13" x14ac:dyDescent="0.2">
      <c r="A176" s="172" t="s">
        <v>12</v>
      </c>
      <c r="B176" s="172" t="s">
        <v>13</v>
      </c>
      <c r="C176" s="172" t="s">
        <v>14</v>
      </c>
      <c r="D176" s="172" t="s">
        <v>15</v>
      </c>
      <c r="E176" s="173">
        <v>42877</v>
      </c>
      <c r="F176" s="174">
        <v>22.24</v>
      </c>
      <c r="G176" s="175" t="s">
        <v>16</v>
      </c>
      <c r="H176" s="172" t="s">
        <v>20</v>
      </c>
      <c r="I176" s="175">
        <v>1</v>
      </c>
      <c r="J176" s="175" t="s">
        <v>18</v>
      </c>
      <c r="K176" s="175" t="s">
        <v>57</v>
      </c>
      <c r="L176" s="172" t="s">
        <v>56</v>
      </c>
      <c r="M176" s="172" t="s">
        <v>20</v>
      </c>
    </row>
    <row r="177" spans="1:13" x14ac:dyDescent="0.2">
      <c r="A177" s="172" t="s">
        <v>12</v>
      </c>
      <c r="B177" s="172" t="s">
        <v>13</v>
      </c>
      <c r="C177" s="172" t="s">
        <v>14</v>
      </c>
      <c r="D177" s="172" t="s">
        <v>15</v>
      </c>
      <c r="E177" s="173">
        <v>42877</v>
      </c>
      <c r="F177" s="176">
        <v>7011.2044800000003</v>
      </c>
      <c r="G177" s="175" t="s">
        <v>19</v>
      </c>
      <c r="H177" s="172" t="s">
        <v>20</v>
      </c>
      <c r="I177" s="175">
        <v>1</v>
      </c>
      <c r="J177" s="175" t="s">
        <v>18</v>
      </c>
      <c r="K177" s="175" t="s">
        <v>57</v>
      </c>
      <c r="L177" s="172" t="s">
        <v>56</v>
      </c>
      <c r="M177" s="172" t="s">
        <v>20</v>
      </c>
    </row>
    <row r="178" spans="1:13" x14ac:dyDescent="0.2">
      <c r="A178" s="172" t="s">
        <v>12</v>
      </c>
      <c r="B178" s="172" t="s">
        <v>13</v>
      </c>
      <c r="C178" s="172" t="s">
        <v>14</v>
      </c>
      <c r="D178" s="172" t="s">
        <v>15</v>
      </c>
      <c r="E178" s="173">
        <v>42870</v>
      </c>
      <c r="F178" s="174">
        <v>31.837692300000001</v>
      </c>
      <c r="G178" s="175" t="s">
        <v>16</v>
      </c>
      <c r="H178" s="172" t="s">
        <v>17</v>
      </c>
      <c r="I178" s="175">
        <v>1</v>
      </c>
      <c r="J178" s="175" t="s">
        <v>18</v>
      </c>
      <c r="K178" s="175" t="s">
        <v>57</v>
      </c>
      <c r="L178" s="172" t="s">
        <v>56</v>
      </c>
      <c r="M178" s="172" t="s">
        <v>17</v>
      </c>
    </row>
    <row r="179" spans="1:13" x14ac:dyDescent="0.2">
      <c r="A179" s="172" t="s">
        <v>12</v>
      </c>
      <c r="B179" s="172" t="s">
        <v>13</v>
      </c>
      <c r="C179" s="172" t="s">
        <v>14</v>
      </c>
      <c r="D179" s="172" t="s">
        <v>15</v>
      </c>
      <c r="E179" s="173">
        <v>42870</v>
      </c>
      <c r="F179" s="176">
        <v>10010.34354</v>
      </c>
      <c r="G179" s="175" t="s">
        <v>19</v>
      </c>
      <c r="H179" s="172" t="s">
        <v>17</v>
      </c>
      <c r="I179" s="175">
        <v>1</v>
      </c>
      <c r="J179" s="175" t="s">
        <v>18</v>
      </c>
      <c r="K179" s="175" t="s">
        <v>57</v>
      </c>
      <c r="L179" s="172" t="s">
        <v>56</v>
      </c>
      <c r="M179" s="172" t="s">
        <v>17</v>
      </c>
    </row>
    <row r="180" spans="1:13" x14ac:dyDescent="0.2">
      <c r="A180" s="172" t="s">
        <v>12</v>
      </c>
      <c r="B180" s="172" t="s">
        <v>13</v>
      </c>
      <c r="C180" s="172" t="s">
        <v>14</v>
      </c>
      <c r="D180" s="172" t="s">
        <v>15</v>
      </c>
      <c r="E180" s="173">
        <v>42870</v>
      </c>
      <c r="F180" s="174">
        <v>18.37</v>
      </c>
      <c r="G180" s="175" t="s">
        <v>16</v>
      </c>
      <c r="H180" s="172" t="s">
        <v>20</v>
      </c>
      <c r="I180" s="175">
        <v>1</v>
      </c>
      <c r="J180" s="175" t="s">
        <v>18</v>
      </c>
      <c r="K180" s="175" t="s">
        <v>57</v>
      </c>
      <c r="L180" s="172" t="s">
        <v>56</v>
      </c>
      <c r="M180" s="172" t="s">
        <v>20</v>
      </c>
    </row>
    <row r="181" spans="1:13" x14ac:dyDescent="0.2">
      <c r="A181" s="172" t="s">
        <v>12</v>
      </c>
      <c r="B181" s="172" t="s">
        <v>13</v>
      </c>
      <c r="C181" s="172" t="s">
        <v>14</v>
      </c>
      <c r="D181" s="172" t="s">
        <v>15</v>
      </c>
      <c r="E181" s="173">
        <v>42870</v>
      </c>
      <c r="F181" s="176">
        <v>6158.8731600000001</v>
      </c>
      <c r="G181" s="175" t="s">
        <v>19</v>
      </c>
      <c r="H181" s="172" t="s">
        <v>20</v>
      </c>
      <c r="I181" s="175">
        <v>1</v>
      </c>
      <c r="J181" s="175" t="s">
        <v>18</v>
      </c>
      <c r="K181" s="175" t="s">
        <v>57</v>
      </c>
      <c r="L181" s="172" t="s">
        <v>56</v>
      </c>
      <c r="M181" s="172" t="s">
        <v>20</v>
      </c>
    </row>
    <row r="182" spans="1:13" x14ac:dyDescent="0.2">
      <c r="A182" s="172" t="s">
        <v>12</v>
      </c>
      <c r="B182" s="172" t="s">
        <v>13</v>
      </c>
      <c r="C182" s="172" t="s">
        <v>14</v>
      </c>
      <c r="D182" s="172" t="s">
        <v>15</v>
      </c>
      <c r="E182" s="173">
        <v>42862</v>
      </c>
      <c r="F182" s="174">
        <v>23.372631200000001</v>
      </c>
      <c r="G182" s="175" t="s">
        <v>16</v>
      </c>
      <c r="H182" s="172" t="s">
        <v>17</v>
      </c>
      <c r="I182" s="175">
        <v>1</v>
      </c>
      <c r="J182" s="175" t="s">
        <v>18</v>
      </c>
      <c r="K182" s="175" t="s">
        <v>57</v>
      </c>
      <c r="L182" s="172" t="s">
        <v>56</v>
      </c>
      <c r="M182" s="172" t="s">
        <v>17</v>
      </c>
    </row>
    <row r="183" spans="1:13" x14ac:dyDescent="0.2">
      <c r="A183" s="172" t="s">
        <v>12</v>
      </c>
      <c r="B183" s="172" t="s">
        <v>13</v>
      </c>
      <c r="C183" s="172" t="s">
        <v>14</v>
      </c>
      <c r="D183" s="172" t="s">
        <v>15</v>
      </c>
      <c r="E183" s="173">
        <v>42862</v>
      </c>
      <c r="F183" s="176">
        <v>7348.7759880000003</v>
      </c>
      <c r="G183" s="175" t="s">
        <v>19</v>
      </c>
      <c r="H183" s="172" t="s">
        <v>17</v>
      </c>
      <c r="I183" s="175">
        <v>1</v>
      </c>
      <c r="J183" s="175" t="s">
        <v>18</v>
      </c>
      <c r="K183" s="175" t="s">
        <v>57</v>
      </c>
      <c r="L183" s="172" t="s">
        <v>56</v>
      </c>
      <c r="M183" s="172" t="s">
        <v>17</v>
      </c>
    </row>
    <row r="184" spans="1:13" x14ac:dyDescent="0.2">
      <c r="A184" s="172" t="s">
        <v>12</v>
      </c>
      <c r="B184" s="172" t="s">
        <v>13</v>
      </c>
      <c r="C184" s="172" t="s">
        <v>14</v>
      </c>
      <c r="D184" s="172" t="s">
        <v>15</v>
      </c>
      <c r="E184" s="173">
        <v>42862</v>
      </c>
      <c r="F184" s="174">
        <v>17.32</v>
      </c>
      <c r="G184" s="175" t="s">
        <v>16</v>
      </c>
      <c r="H184" s="172" t="s">
        <v>20</v>
      </c>
      <c r="I184" s="175">
        <v>1</v>
      </c>
      <c r="J184" s="175" t="s">
        <v>18</v>
      </c>
      <c r="K184" s="175" t="s">
        <v>57</v>
      </c>
      <c r="L184" s="172" t="s">
        <v>56</v>
      </c>
      <c r="M184" s="172" t="s">
        <v>20</v>
      </c>
    </row>
    <row r="185" spans="1:13" x14ac:dyDescent="0.2">
      <c r="A185" s="172" t="s">
        <v>12</v>
      </c>
      <c r="B185" s="172" t="s">
        <v>13</v>
      </c>
      <c r="C185" s="172" t="s">
        <v>14</v>
      </c>
      <c r="D185" s="172" t="s">
        <v>15</v>
      </c>
      <c r="E185" s="173">
        <v>42862</v>
      </c>
      <c r="F185" s="176">
        <v>5720.1724800000002</v>
      </c>
      <c r="G185" s="175" t="s">
        <v>19</v>
      </c>
      <c r="H185" s="172" t="s">
        <v>20</v>
      </c>
      <c r="I185" s="175">
        <v>1</v>
      </c>
      <c r="J185" s="175" t="s">
        <v>18</v>
      </c>
      <c r="K185" s="175" t="s">
        <v>57</v>
      </c>
      <c r="L185" s="172" t="s">
        <v>56</v>
      </c>
      <c r="M185" s="172" t="s">
        <v>20</v>
      </c>
    </row>
    <row r="186" spans="1:13" x14ac:dyDescent="0.2">
      <c r="A186" s="172" t="s">
        <v>12</v>
      </c>
      <c r="B186" s="172" t="s">
        <v>13</v>
      </c>
      <c r="C186" s="172" t="s">
        <v>14</v>
      </c>
      <c r="D186" s="172" t="s">
        <v>15</v>
      </c>
      <c r="E186" s="173">
        <v>42856</v>
      </c>
      <c r="F186" s="174">
        <v>17.832244299999999</v>
      </c>
      <c r="G186" s="175" t="s">
        <v>16</v>
      </c>
      <c r="H186" s="172" t="s">
        <v>17</v>
      </c>
      <c r="I186" s="175">
        <v>1</v>
      </c>
      <c r="J186" s="175" t="s">
        <v>18</v>
      </c>
      <c r="K186" s="175" t="s">
        <v>57</v>
      </c>
      <c r="L186" s="172" t="s">
        <v>56</v>
      </c>
      <c r="M186" s="172" t="s">
        <v>17</v>
      </c>
    </row>
    <row r="187" spans="1:13" x14ac:dyDescent="0.2">
      <c r="A187" s="172" t="s">
        <v>12</v>
      </c>
      <c r="B187" s="172" t="s">
        <v>13</v>
      </c>
      <c r="C187" s="172" t="s">
        <v>14</v>
      </c>
      <c r="D187" s="172" t="s">
        <v>15</v>
      </c>
      <c r="E187" s="173">
        <v>42856</v>
      </c>
      <c r="F187" s="176">
        <v>9250.4411039999995</v>
      </c>
      <c r="G187" s="175" t="s">
        <v>19</v>
      </c>
      <c r="H187" s="172" t="s">
        <v>17</v>
      </c>
      <c r="I187" s="175">
        <v>1</v>
      </c>
      <c r="J187" s="175" t="s">
        <v>18</v>
      </c>
      <c r="K187" s="175" t="s">
        <v>57</v>
      </c>
      <c r="L187" s="172" t="s">
        <v>56</v>
      </c>
      <c r="M187" s="172" t="s">
        <v>17</v>
      </c>
    </row>
    <row r="188" spans="1:13" x14ac:dyDescent="0.2">
      <c r="A188" s="172" t="s">
        <v>12</v>
      </c>
      <c r="B188" s="172" t="s">
        <v>13</v>
      </c>
      <c r="C188" s="172" t="s">
        <v>14</v>
      </c>
      <c r="D188" s="172" t="s">
        <v>15</v>
      </c>
      <c r="E188" s="173">
        <v>42856</v>
      </c>
      <c r="F188" s="174">
        <v>18.440000000000001</v>
      </c>
      <c r="G188" s="175" t="s">
        <v>16</v>
      </c>
      <c r="H188" s="172" t="s">
        <v>20</v>
      </c>
      <c r="I188" s="175">
        <v>1</v>
      </c>
      <c r="J188" s="175" t="s">
        <v>18</v>
      </c>
      <c r="K188" s="175" t="s">
        <v>57</v>
      </c>
      <c r="L188" s="172" t="s">
        <v>56</v>
      </c>
      <c r="M188" s="172" t="s">
        <v>20</v>
      </c>
    </row>
    <row r="189" spans="1:13" x14ac:dyDescent="0.2">
      <c r="A189" s="172" t="s">
        <v>12</v>
      </c>
      <c r="B189" s="172" t="s">
        <v>13</v>
      </c>
      <c r="C189" s="172" t="s">
        <v>14</v>
      </c>
      <c r="D189" s="172" t="s">
        <v>15</v>
      </c>
      <c r="E189" s="173">
        <v>42856</v>
      </c>
      <c r="F189" s="176">
        <v>7597.2062400000004</v>
      </c>
      <c r="G189" s="175" t="s">
        <v>19</v>
      </c>
      <c r="H189" s="172" t="s">
        <v>20</v>
      </c>
      <c r="I189" s="175">
        <v>1</v>
      </c>
      <c r="J189" s="175" t="s">
        <v>18</v>
      </c>
      <c r="K189" s="175" t="s">
        <v>57</v>
      </c>
      <c r="L189" s="172" t="s">
        <v>56</v>
      </c>
      <c r="M189" s="172" t="s">
        <v>20</v>
      </c>
    </row>
    <row r="190" spans="1:13" x14ac:dyDescent="0.2">
      <c r="A190" s="172" t="s">
        <v>12</v>
      </c>
      <c r="B190" s="172" t="s">
        <v>13</v>
      </c>
      <c r="C190" s="172" t="s">
        <v>14</v>
      </c>
      <c r="D190" s="172" t="s">
        <v>15</v>
      </c>
      <c r="E190" s="173">
        <v>42850</v>
      </c>
      <c r="F190" s="174">
        <v>31.084583299999998</v>
      </c>
      <c r="G190" s="175" t="s">
        <v>16</v>
      </c>
      <c r="H190" s="172" t="s">
        <v>17</v>
      </c>
      <c r="I190" s="175">
        <v>1</v>
      </c>
      <c r="J190" s="175" t="s">
        <v>18</v>
      </c>
      <c r="K190" s="175" t="s">
        <v>57</v>
      </c>
      <c r="L190" s="172" t="s">
        <v>56</v>
      </c>
    </row>
    <row r="191" spans="1:13" x14ac:dyDescent="0.2">
      <c r="A191" s="172" t="s">
        <v>12</v>
      </c>
      <c r="B191" s="172" t="s">
        <v>13</v>
      </c>
      <c r="C191" s="172" t="s">
        <v>14</v>
      </c>
      <c r="D191" s="172" t="s">
        <v>15</v>
      </c>
      <c r="E191" s="173">
        <v>42850</v>
      </c>
      <c r="F191" s="176">
        <v>8088.4572600000001</v>
      </c>
      <c r="G191" s="175" t="s">
        <v>19</v>
      </c>
      <c r="H191" s="172" t="s">
        <v>17</v>
      </c>
      <c r="I191" s="175">
        <v>1</v>
      </c>
      <c r="J191" s="175" t="s">
        <v>18</v>
      </c>
      <c r="K191" s="175" t="s">
        <v>57</v>
      </c>
      <c r="L191" s="172" t="s">
        <v>56</v>
      </c>
    </row>
    <row r="192" spans="1:13" x14ac:dyDescent="0.2">
      <c r="A192" s="172" t="s">
        <v>12</v>
      </c>
      <c r="B192" s="172" t="s">
        <v>13</v>
      </c>
      <c r="C192" s="172" t="s">
        <v>14</v>
      </c>
      <c r="D192" s="172" t="s">
        <v>15</v>
      </c>
      <c r="E192" s="173">
        <v>42850</v>
      </c>
      <c r="F192" s="174">
        <v>33.570999999999998</v>
      </c>
      <c r="G192" s="175" t="s">
        <v>16</v>
      </c>
      <c r="H192" s="172" t="s">
        <v>20</v>
      </c>
      <c r="I192" s="175">
        <v>1</v>
      </c>
      <c r="J192" s="175" t="s">
        <v>18</v>
      </c>
      <c r="K192" s="175" t="s">
        <v>57</v>
      </c>
      <c r="L192" s="172" t="s">
        <v>56</v>
      </c>
    </row>
    <row r="193" spans="1:12" x14ac:dyDescent="0.2">
      <c r="A193" s="172" t="s">
        <v>12</v>
      </c>
      <c r="B193" s="172" t="s">
        <v>13</v>
      </c>
      <c r="C193" s="172" t="s">
        <v>14</v>
      </c>
      <c r="D193" s="172" t="s">
        <v>15</v>
      </c>
      <c r="E193" s="173">
        <v>42850</v>
      </c>
      <c r="F193" s="176">
        <v>9883.3695420000004</v>
      </c>
      <c r="G193" s="175" t="s">
        <v>19</v>
      </c>
      <c r="H193" s="172" t="s">
        <v>20</v>
      </c>
      <c r="I193" s="175">
        <v>1</v>
      </c>
      <c r="J193" s="175" t="s">
        <v>18</v>
      </c>
      <c r="K193" s="175" t="s">
        <v>57</v>
      </c>
      <c r="L193" s="172" t="s">
        <v>56</v>
      </c>
    </row>
    <row r="194" spans="1:12" x14ac:dyDescent="0.2">
      <c r="A194" s="172" t="s">
        <v>12</v>
      </c>
      <c r="B194" s="172" t="s">
        <v>13</v>
      </c>
      <c r="C194" s="172" t="s">
        <v>14</v>
      </c>
      <c r="D194" s="172" t="s">
        <v>15</v>
      </c>
      <c r="E194" s="173">
        <v>42834</v>
      </c>
      <c r="F194" s="174">
        <v>18.7137405</v>
      </c>
      <c r="G194" s="175" t="s">
        <v>16</v>
      </c>
      <c r="H194" s="172" t="s">
        <v>17</v>
      </c>
      <c r="I194" s="175">
        <v>1</v>
      </c>
      <c r="J194" s="175" t="s">
        <v>18</v>
      </c>
      <c r="K194" s="175" t="s">
        <v>57</v>
      </c>
      <c r="L194" s="172" t="s">
        <v>56</v>
      </c>
    </row>
    <row r="195" spans="1:12" x14ac:dyDescent="0.2">
      <c r="A195" s="172" t="s">
        <v>12</v>
      </c>
      <c r="B195" s="172" t="s">
        <v>13</v>
      </c>
      <c r="C195" s="172" t="s">
        <v>14</v>
      </c>
      <c r="D195" s="172" t="s">
        <v>15</v>
      </c>
      <c r="E195" s="173">
        <v>42834</v>
      </c>
      <c r="F195" s="176">
        <v>5774.6860559999996</v>
      </c>
      <c r="G195" s="175" t="s">
        <v>19</v>
      </c>
      <c r="H195" s="172" t="s">
        <v>17</v>
      </c>
      <c r="I195" s="175">
        <v>1</v>
      </c>
      <c r="J195" s="175" t="s">
        <v>18</v>
      </c>
      <c r="K195" s="175" t="s">
        <v>57</v>
      </c>
      <c r="L195" s="172" t="s">
        <v>56</v>
      </c>
    </row>
    <row r="196" spans="1:12" x14ac:dyDescent="0.2">
      <c r="A196" s="172" t="s">
        <v>12</v>
      </c>
      <c r="B196" s="172" t="s">
        <v>13</v>
      </c>
      <c r="C196" s="172" t="s">
        <v>14</v>
      </c>
      <c r="D196" s="172" t="s">
        <v>15</v>
      </c>
      <c r="E196" s="173">
        <v>42834</v>
      </c>
      <c r="F196" s="174">
        <v>16.532</v>
      </c>
      <c r="G196" s="175" t="s">
        <v>16</v>
      </c>
      <c r="H196" s="172" t="s">
        <v>20</v>
      </c>
      <c r="I196" s="175">
        <v>1</v>
      </c>
      <c r="J196" s="175" t="s">
        <v>18</v>
      </c>
      <c r="K196" s="175" t="s">
        <v>57</v>
      </c>
      <c r="L196" s="172" t="s">
        <v>56</v>
      </c>
    </row>
    <row r="197" spans="1:12" x14ac:dyDescent="0.2">
      <c r="A197" s="172" t="s">
        <v>12</v>
      </c>
      <c r="B197" s="172" t="s">
        <v>13</v>
      </c>
      <c r="C197" s="172" t="s">
        <v>14</v>
      </c>
      <c r="D197" s="172" t="s">
        <v>15</v>
      </c>
      <c r="E197" s="173">
        <v>42834</v>
      </c>
      <c r="F197" s="176">
        <v>5777.0412720000004</v>
      </c>
      <c r="G197" s="175" t="s">
        <v>19</v>
      </c>
      <c r="H197" s="172" t="s">
        <v>20</v>
      </c>
      <c r="I197" s="175">
        <v>1</v>
      </c>
      <c r="J197" s="175" t="s">
        <v>18</v>
      </c>
      <c r="K197" s="175" t="s">
        <v>57</v>
      </c>
      <c r="L197" s="172" t="s">
        <v>56</v>
      </c>
    </row>
    <row r="198" spans="1:12" x14ac:dyDescent="0.2">
      <c r="A198" s="172" t="s">
        <v>12</v>
      </c>
      <c r="B198" s="172" t="s">
        <v>13</v>
      </c>
      <c r="C198" s="172" t="s">
        <v>14</v>
      </c>
      <c r="D198" s="172" t="s">
        <v>15</v>
      </c>
      <c r="E198" s="173">
        <v>42829</v>
      </c>
      <c r="F198" s="174">
        <v>20.002639599999998</v>
      </c>
      <c r="G198" s="175" t="s">
        <v>16</v>
      </c>
      <c r="H198" s="172" t="s">
        <v>17</v>
      </c>
      <c r="I198" s="175">
        <v>1</v>
      </c>
      <c r="J198" s="175" t="s">
        <v>18</v>
      </c>
      <c r="K198" s="175" t="s">
        <v>57</v>
      </c>
      <c r="L198" s="172" t="s">
        <v>56</v>
      </c>
    </row>
    <row r="199" spans="1:12" x14ac:dyDescent="0.2">
      <c r="A199" s="172" t="s">
        <v>12</v>
      </c>
      <c r="B199" s="172" t="s">
        <v>13</v>
      </c>
      <c r="C199" s="172" t="s">
        <v>14</v>
      </c>
      <c r="D199" s="172" t="s">
        <v>15</v>
      </c>
      <c r="E199" s="173">
        <v>42829</v>
      </c>
      <c r="F199" s="176">
        <v>5972.2281300000004</v>
      </c>
      <c r="G199" s="175" t="s">
        <v>19</v>
      </c>
      <c r="H199" s="172" t="s">
        <v>17</v>
      </c>
      <c r="I199" s="175">
        <v>1</v>
      </c>
      <c r="J199" s="175" t="s">
        <v>18</v>
      </c>
      <c r="K199" s="175" t="s">
        <v>57</v>
      </c>
      <c r="L199" s="172" t="s">
        <v>56</v>
      </c>
    </row>
    <row r="200" spans="1:12" x14ac:dyDescent="0.2">
      <c r="A200" s="172" t="s">
        <v>12</v>
      </c>
      <c r="B200" s="172" t="s">
        <v>13</v>
      </c>
      <c r="C200" s="172" t="s">
        <v>14</v>
      </c>
      <c r="D200" s="172" t="s">
        <v>15</v>
      </c>
      <c r="E200" s="173">
        <v>42829</v>
      </c>
      <c r="F200" s="174">
        <v>24.652999999999999</v>
      </c>
      <c r="G200" s="175" t="s">
        <v>16</v>
      </c>
      <c r="H200" s="172" t="s">
        <v>20</v>
      </c>
      <c r="I200" s="175">
        <v>1</v>
      </c>
      <c r="J200" s="175" t="s">
        <v>18</v>
      </c>
      <c r="K200" s="175" t="s">
        <v>57</v>
      </c>
      <c r="L200" s="172" t="s">
        <v>56</v>
      </c>
    </row>
    <row r="201" spans="1:12" x14ac:dyDescent="0.2">
      <c r="A201" s="172" t="s">
        <v>12</v>
      </c>
      <c r="B201" s="172" t="s">
        <v>13</v>
      </c>
      <c r="C201" s="172" t="s">
        <v>14</v>
      </c>
      <c r="D201" s="172" t="s">
        <v>15</v>
      </c>
      <c r="E201" s="173">
        <v>42829</v>
      </c>
      <c r="F201" s="176">
        <v>8491.5286259999993</v>
      </c>
      <c r="G201" s="175" t="s">
        <v>19</v>
      </c>
      <c r="H201" s="172" t="s">
        <v>20</v>
      </c>
      <c r="I201" s="175">
        <v>1</v>
      </c>
      <c r="J201" s="175" t="s">
        <v>18</v>
      </c>
      <c r="K201" s="175" t="s">
        <v>57</v>
      </c>
      <c r="L201" s="172" t="s">
        <v>56</v>
      </c>
    </row>
    <row r="202" spans="1:12" x14ac:dyDescent="0.2">
      <c r="A202" s="172" t="s">
        <v>12</v>
      </c>
      <c r="B202" s="172" t="s">
        <v>13</v>
      </c>
      <c r="C202" s="172" t="s">
        <v>14</v>
      </c>
      <c r="D202" s="172" t="s">
        <v>15</v>
      </c>
      <c r="E202" s="173">
        <v>42820</v>
      </c>
      <c r="F202" s="174">
        <v>29.8260465</v>
      </c>
      <c r="G202" s="175" t="s">
        <v>16</v>
      </c>
      <c r="H202" s="172" t="s">
        <v>17</v>
      </c>
      <c r="I202" s="175">
        <v>1</v>
      </c>
      <c r="J202" s="175" t="s">
        <v>18</v>
      </c>
      <c r="K202" s="175" t="s">
        <v>57</v>
      </c>
      <c r="L202" s="172" t="s">
        <v>56</v>
      </c>
    </row>
    <row r="203" spans="1:12" x14ac:dyDescent="0.2">
      <c r="A203" s="172" t="s">
        <v>12</v>
      </c>
      <c r="B203" s="172" t="s">
        <v>13</v>
      </c>
      <c r="C203" s="172" t="s">
        <v>14</v>
      </c>
      <c r="D203" s="172" t="s">
        <v>15</v>
      </c>
      <c r="E203" s="173">
        <v>42820</v>
      </c>
      <c r="F203" s="176">
        <v>6417.7300800000003</v>
      </c>
      <c r="G203" s="175" t="s">
        <v>19</v>
      </c>
      <c r="H203" s="172" t="s">
        <v>17</v>
      </c>
      <c r="I203" s="175">
        <v>1</v>
      </c>
      <c r="J203" s="175" t="s">
        <v>18</v>
      </c>
      <c r="K203" s="175" t="s">
        <v>57</v>
      </c>
      <c r="L203" s="172" t="s">
        <v>56</v>
      </c>
    </row>
    <row r="204" spans="1:12" x14ac:dyDescent="0.2">
      <c r="A204" s="172" t="s">
        <v>12</v>
      </c>
      <c r="B204" s="172" t="s">
        <v>13</v>
      </c>
      <c r="C204" s="172" t="s">
        <v>14</v>
      </c>
      <c r="D204" s="172" t="s">
        <v>15</v>
      </c>
      <c r="E204" s="173">
        <v>42820</v>
      </c>
      <c r="F204" s="174">
        <v>30.081</v>
      </c>
      <c r="G204" s="175" t="s">
        <v>16</v>
      </c>
      <c r="H204" s="172" t="s">
        <v>20</v>
      </c>
      <c r="I204" s="175">
        <v>1</v>
      </c>
      <c r="J204" s="175" t="s">
        <v>18</v>
      </c>
      <c r="K204" s="175" t="s">
        <v>57</v>
      </c>
      <c r="L204" s="172" t="s">
        <v>56</v>
      </c>
    </row>
    <row r="205" spans="1:12" x14ac:dyDescent="0.2">
      <c r="A205" s="172" t="s">
        <v>12</v>
      </c>
      <c r="B205" s="172" t="s">
        <v>13</v>
      </c>
      <c r="C205" s="172" t="s">
        <v>14</v>
      </c>
      <c r="D205" s="172" t="s">
        <v>15</v>
      </c>
      <c r="E205" s="173">
        <v>42820</v>
      </c>
      <c r="F205" s="176">
        <v>7275.39066</v>
      </c>
      <c r="G205" s="175" t="s">
        <v>19</v>
      </c>
      <c r="H205" s="172" t="s">
        <v>20</v>
      </c>
      <c r="I205" s="175">
        <v>1</v>
      </c>
      <c r="J205" s="175" t="s">
        <v>18</v>
      </c>
      <c r="K205" s="175" t="s">
        <v>57</v>
      </c>
      <c r="L205" s="172" t="s">
        <v>56</v>
      </c>
    </row>
    <row r="206" spans="1:12" x14ac:dyDescent="0.2">
      <c r="A206" s="172" t="s">
        <v>12</v>
      </c>
      <c r="B206" s="172" t="s">
        <v>13</v>
      </c>
      <c r="C206" s="172" t="s">
        <v>14</v>
      </c>
      <c r="D206" s="172" t="s">
        <v>15</v>
      </c>
      <c r="E206" s="173">
        <v>42813</v>
      </c>
      <c r="F206" s="174">
        <v>28.340891500000001</v>
      </c>
      <c r="G206" s="175" t="s">
        <v>16</v>
      </c>
      <c r="H206" s="172" t="s">
        <v>17</v>
      </c>
      <c r="I206" s="175">
        <v>1</v>
      </c>
      <c r="J206" s="175" t="s">
        <v>18</v>
      </c>
      <c r="K206" s="175" t="s">
        <v>57</v>
      </c>
      <c r="L206" s="172" t="s">
        <v>56</v>
      </c>
    </row>
    <row r="207" spans="1:12" x14ac:dyDescent="0.2">
      <c r="A207" s="172" t="s">
        <v>12</v>
      </c>
      <c r="B207" s="172" t="s">
        <v>13</v>
      </c>
      <c r="C207" s="172" t="s">
        <v>14</v>
      </c>
      <c r="D207" s="172" t="s">
        <v>15</v>
      </c>
      <c r="E207" s="173">
        <v>42813</v>
      </c>
      <c r="F207" s="176">
        <v>5885.4395880000002</v>
      </c>
      <c r="G207" s="175" t="s">
        <v>19</v>
      </c>
      <c r="H207" s="172" t="s">
        <v>17</v>
      </c>
      <c r="I207" s="175">
        <v>1</v>
      </c>
      <c r="J207" s="175" t="s">
        <v>18</v>
      </c>
      <c r="K207" s="175" t="s">
        <v>57</v>
      </c>
      <c r="L207" s="172" t="s">
        <v>56</v>
      </c>
    </row>
    <row r="208" spans="1:12" x14ac:dyDescent="0.2">
      <c r="A208" s="172" t="s">
        <v>12</v>
      </c>
      <c r="B208" s="172" t="s">
        <v>13</v>
      </c>
      <c r="C208" s="172" t="s">
        <v>14</v>
      </c>
      <c r="D208" s="172" t="s">
        <v>15</v>
      </c>
      <c r="E208" s="173">
        <v>42813</v>
      </c>
      <c r="F208" s="174">
        <v>23.571999999999999</v>
      </c>
      <c r="G208" s="175" t="s">
        <v>16</v>
      </c>
      <c r="H208" s="172" t="s">
        <v>20</v>
      </c>
      <c r="I208" s="175">
        <v>1</v>
      </c>
      <c r="J208" s="175" t="s">
        <v>18</v>
      </c>
      <c r="K208" s="175" t="s">
        <v>57</v>
      </c>
      <c r="L208" s="172" t="s">
        <v>56</v>
      </c>
    </row>
    <row r="209" spans="1:12" x14ac:dyDescent="0.2">
      <c r="A209" s="172" t="s">
        <v>12</v>
      </c>
      <c r="B209" s="172" t="s">
        <v>13</v>
      </c>
      <c r="C209" s="172" t="s">
        <v>14</v>
      </c>
      <c r="D209" s="172" t="s">
        <v>15</v>
      </c>
      <c r="E209" s="173">
        <v>42813</v>
      </c>
      <c r="F209" s="176">
        <v>5504.5334400000002</v>
      </c>
      <c r="G209" s="175" t="s">
        <v>19</v>
      </c>
      <c r="H209" s="172" t="s">
        <v>20</v>
      </c>
      <c r="I209" s="175">
        <v>1</v>
      </c>
      <c r="J209" s="175" t="s">
        <v>18</v>
      </c>
      <c r="K209" s="175" t="s">
        <v>57</v>
      </c>
      <c r="L209" s="172" t="s">
        <v>56</v>
      </c>
    </row>
    <row r="210" spans="1:12" x14ac:dyDescent="0.2">
      <c r="A210" s="172" t="s">
        <v>12</v>
      </c>
      <c r="B210" s="172" t="s">
        <v>13</v>
      </c>
      <c r="C210" s="172" t="s">
        <v>14</v>
      </c>
      <c r="D210" s="172" t="s">
        <v>15</v>
      </c>
      <c r="E210" s="173">
        <v>42807</v>
      </c>
      <c r="F210" s="174">
        <v>27.7061159</v>
      </c>
      <c r="G210" s="175" t="s">
        <v>16</v>
      </c>
      <c r="H210" s="172" t="s">
        <v>17</v>
      </c>
      <c r="I210" s="175">
        <v>1</v>
      </c>
      <c r="J210" s="175" t="s">
        <v>18</v>
      </c>
      <c r="K210" s="175" t="s">
        <v>57</v>
      </c>
      <c r="L210" s="172" t="s">
        <v>56</v>
      </c>
    </row>
    <row r="211" spans="1:12" x14ac:dyDescent="0.2">
      <c r="A211" s="172" t="s">
        <v>12</v>
      </c>
      <c r="B211" s="172" t="s">
        <v>13</v>
      </c>
      <c r="C211" s="172" t="s">
        <v>14</v>
      </c>
      <c r="D211" s="172" t="s">
        <v>15</v>
      </c>
      <c r="E211" s="173">
        <v>42807</v>
      </c>
      <c r="F211" s="176">
        <v>6377.5045920000002</v>
      </c>
      <c r="G211" s="175" t="s">
        <v>19</v>
      </c>
      <c r="H211" s="172" t="s">
        <v>17</v>
      </c>
      <c r="I211" s="175">
        <v>1</v>
      </c>
      <c r="J211" s="175" t="s">
        <v>18</v>
      </c>
      <c r="K211" s="175" t="s">
        <v>57</v>
      </c>
      <c r="L211" s="172" t="s">
        <v>56</v>
      </c>
    </row>
    <row r="212" spans="1:12" x14ac:dyDescent="0.2">
      <c r="A212" s="172" t="s">
        <v>12</v>
      </c>
      <c r="B212" s="172" t="s">
        <v>13</v>
      </c>
      <c r="C212" s="172" t="s">
        <v>14</v>
      </c>
      <c r="D212" s="172" t="s">
        <v>15</v>
      </c>
      <c r="E212" s="173">
        <v>42807</v>
      </c>
      <c r="F212" s="174">
        <v>27.311</v>
      </c>
      <c r="G212" s="175" t="s">
        <v>16</v>
      </c>
      <c r="H212" s="172" t="s">
        <v>20</v>
      </c>
      <c r="I212" s="175">
        <v>1</v>
      </c>
      <c r="J212" s="175" t="s">
        <v>18</v>
      </c>
      <c r="K212" s="175" t="s">
        <v>57</v>
      </c>
      <c r="L212" s="172" t="s">
        <v>56</v>
      </c>
    </row>
    <row r="213" spans="1:12" x14ac:dyDescent="0.2">
      <c r="A213" s="172" t="s">
        <v>12</v>
      </c>
      <c r="B213" s="172" t="s">
        <v>13</v>
      </c>
      <c r="C213" s="172" t="s">
        <v>14</v>
      </c>
      <c r="D213" s="172" t="s">
        <v>15</v>
      </c>
      <c r="E213" s="173">
        <v>42807</v>
      </c>
      <c r="F213" s="176">
        <v>7197.6501840000001</v>
      </c>
      <c r="G213" s="175" t="s">
        <v>19</v>
      </c>
      <c r="H213" s="172" t="s">
        <v>20</v>
      </c>
      <c r="I213" s="175">
        <v>1</v>
      </c>
      <c r="J213" s="175" t="s">
        <v>18</v>
      </c>
      <c r="K213" s="175" t="s">
        <v>57</v>
      </c>
      <c r="L213" s="172" t="s">
        <v>56</v>
      </c>
    </row>
    <row r="214" spans="1:12" x14ac:dyDescent="0.2">
      <c r="A214" s="172" t="s">
        <v>12</v>
      </c>
      <c r="B214" s="172" t="s">
        <v>13</v>
      </c>
      <c r="C214" s="172" t="s">
        <v>14</v>
      </c>
      <c r="D214" s="172" t="s">
        <v>15</v>
      </c>
      <c r="E214" s="173">
        <v>42800</v>
      </c>
      <c r="F214" s="174">
        <v>19.932716899999999</v>
      </c>
      <c r="G214" s="175" t="s">
        <v>16</v>
      </c>
      <c r="H214" s="172" t="s">
        <v>17</v>
      </c>
      <c r="I214" s="175">
        <v>1</v>
      </c>
      <c r="J214" s="175" t="s">
        <v>18</v>
      </c>
      <c r="K214" s="175" t="s">
        <v>57</v>
      </c>
      <c r="L214" s="172" t="s">
        <v>56</v>
      </c>
    </row>
    <row r="215" spans="1:12" x14ac:dyDescent="0.2">
      <c r="A215" s="172" t="s">
        <v>12</v>
      </c>
      <c r="B215" s="172" t="s">
        <v>13</v>
      </c>
      <c r="C215" s="172" t="s">
        <v>14</v>
      </c>
      <c r="D215" s="172" t="s">
        <v>15</v>
      </c>
      <c r="E215" s="173">
        <v>42800</v>
      </c>
      <c r="F215" s="176">
        <v>5402.7629219999999</v>
      </c>
      <c r="G215" s="175" t="s">
        <v>19</v>
      </c>
      <c r="H215" s="172" t="s">
        <v>17</v>
      </c>
      <c r="I215" s="175">
        <v>1</v>
      </c>
      <c r="J215" s="175" t="s">
        <v>18</v>
      </c>
      <c r="K215" s="175" t="s">
        <v>57</v>
      </c>
      <c r="L215" s="172" t="s">
        <v>56</v>
      </c>
    </row>
    <row r="216" spans="1:12" x14ac:dyDescent="0.2">
      <c r="A216" s="172" t="s">
        <v>12</v>
      </c>
      <c r="B216" s="172" t="s">
        <v>13</v>
      </c>
      <c r="C216" s="172" t="s">
        <v>14</v>
      </c>
      <c r="D216" s="172" t="s">
        <v>15</v>
      </c>
      <c r="E216" s="173">
        <v>42800</v>
      </c>
      <c r="F216" s="174">
        <v>19.864000000000001</v>
      </c>
      <c r="G216" s="175" t="s">
        <v>16</v>
      </c>
      <c r="H216" s="172" t="s">
        <v>20</v>
      </c>
      <c r="I216" s="175">
        <v>1</v>
      </c>
      <c r="J216" s="175" t="s">
        <v>18</v>
      </c>
      <c r="K216" s="175" t="s">
        <v>57</v>
      </c>
      <c r="L216" s="172" t="s">
        <v>56</v>
      </c>
    </row>
    <row r="217" spans="1:12" x14ac:dyDescent="0.2">
      <c r="A217" s="172" t="s">
        <v>12</v>
      </c>
      <c r="B217" s="172" t="s">
        <v>13</v>
      </c>
      <c r="C217" s="172" t="s">
        <v>14</v>
      </c>
      <c r="D217" s="172" t="s">
        <v>15</v>
      </c>
      <c r="E217" s="173">
        <v>42800</v>
      </c>
      <c r="F217" s="176">
        <v>5930.8342080000002</v>
      </c>
      <c r="G217" s="175" t="s">
        <v>19</v>
      </c>
      <c r="H217" s="172" t="s">
        <v>20</v>
      </c>
      <c r="I217" s="175">
        <v>1</v>
      </c>
      <c r="J217" s="175" t="s">
        <v>18</v>
      </c>
      <c r="K217" s="175" t="s">
        <v>57</v>
      </c>
      <c r="L217" s="172" t="s">
        <v>56</v>
      </c>
    </row>
    <row r="218" spans="1:12" x14ac:dyDescent="0.2">
      <c r="A218" s="172" t="s">
        <v>12</v>
      </c>
      <c r="B218" s="172" t="s">
        <v>13</v>
      </c>
      <c r="C218" s="172" t="s">
        <v>14</v>
      </c>
      <c r="D218" s="172" t="s">
        <v>15</v>
      </c>
      <c r="E218" s="173">
        <v>42792</v>
      </c>
      <c r="F218" s="174">
        <v>36.182561900000003</v>
      </c>
      <c r="G218" s="175" t="s">
        <v>16</v>
      </c>
      <c r="H218" s="172" t="s">
        <v>17</v>
      </c>
      <c r="I218" s="175">
        <v>1</v>
      </c>
      <c r="J218" s="175" t="s">
        <v>18</v>
      </c>
      <c r="K218" s="175" t="s">
        <v>57</v>
      </c>
      <c r="L218" s="172" t="s">
        <v>56</v>
      </c>
    </row>
    <row r="219" spans="1:12" x14ac:dyDescent="0.2">
      <c r="A219" s="172" t="s">
        <v>12</v>
      </c>
      <c r="B219" s="172" t="s">
        <v>13</v>
      </c>
      <c r="C219" s="172" t="s">
        <v>14</v>
      </c>
      <c r="D219" s="172" t="s">
        <v>15</v>
      </c>
      <c r="E219" s="173">
        <v>42792</v>
      </c>
      <c r="F219" s="176">
        <v>7302.6541200000001</v>
      </c>
      <c r="G219" s="175" t="s">
        <v>19</v>
      </c>
      <c r="H219" s="172" t="s">
        <v>17</v>
      </c>
      <c r="I219" s="175">
        <v>1</v>
      </c>
      <c r="J219" s="175" t="s">
        <v>18</v>
      </c>
      <c r="K219" s="175" t="s">
        <v>57</v>
      </c>
      <c r="L219" s="172" t="s">
        <v>56</v>
      </c>
    </row>
    <row r="220" spans="1:12" x14ac:dyDescent="0.2">
      <c r="A220" s="172" t="s">
        <v>12</v>
      </c>
      <c r="B220" s="172" t="s">
        <v>13</v>
      </c>
      <c r="C220" s="172" t="s">
        <v>14</v>
      </c>
      <c r="D220" s="172" t="s">
        <v>15</v>
      </c>
      <c r="E220" s="173">
        <v>42792</v>
      </c>
      <c r="F220" s="174">
        <v>33.21</v>
      </c>
      <c r="G220" s="175" t="s">
        <v>16</v>
      </c>
      <c r="H220" s="172" t="s">
        <v>20</v>
      </c>
      <c r="I220" s="175">
        <v>1</v>
      </c>
      <c r="J220" s="175" t="s">
        <v>18</v>
      </c>
      <c r="K220" s="175" t="s">
        <v>57</v>
      </c>
      <c r="L220" s="172" t="s">
        <v>56</v>
      </c>
    </row>
    <row r="221" spans="1:12" x14ac:dyDescent="0.2">
      <c r="A221" s="172" t="s">
        <v>12</v>
      </c>
      <c r="B221" s="172" t="s">
        <v>13</v>
      </c>
      <c r="C221" s="172" t="s">
        <v>14</v>
      </c>
      <c r="D221" s="172" t="s">
        <v>15</v>
      </c>
      <c r="E221" s="173">
        <v>42792</v>
      </c>
      <c r="F221" s="176">
        <v>6896.5878599999996</v>
      </c>
      <c r="G221" s="175" t="s">
        <v>19</v>
      </c>
      <c r="H221" s="172" t="s">
        <v>20</v>
      </c>
      <c r="I221" s="175">
        <v>1</v>
      </c>
      <c r="J221" s="175" t="s">
        <v>18</v>
      </c>
      <c r="K221" s="175" t="s">
        <v>57</v>
      </c>
      <c r="L221" s="172" t="s">
        <v>56</v>
      </c>
    </row>
    <row r="222" spans="1:12" x14ac:dyDescent="0.2">
      <c r="A222" s="172" t="s">
        <v>12</v>
      </c>
      <c r="B222" s="172" t="s">
        <v>13</v>
      </c>
      <c r="C222" s="172" t="s">
        <v>14</v>
      </c>
      <c r="D222" s="172" t="s">
        <v>15</v>
      </c>
      <c r="E222" s="173">
        <v>42786</v>
      </c>
      <c r="F222" s="174">
        <v>33.578572000000001</v>
      </c>
      <c r="G222" s="175" t="s">
        <v>16</v>
      </c>
      <c r="H222" s="172" t="s">
        <v>17</v>
      </c>
      <c r="I222" s="175">
        <v>1</v>
      </c>
      <c r="J222" s="175" t="s">
        <v>18</v>
      </c>
      <c r="K222" s="175" t="s">
        <v>57</v>
      </c>
      <c r="L222" s="172" t="s">
        <v>56</v>
      </c>
    </row>
    <row r="223" spans="1:12" x14ac:dyDescent="0.2">
      <c r="A223" s="172" t="s">
        <v>12</v>
      </c>
      <c r="B223" s="172" t="s">
        <v>13</v>
      </c>
      <c r="C223" s="172" t="s">
        <v>14</v>
      </c>
      <c r="D223" s="172" t="s">
        <v>15</v>
      </c>
      <c r="E223" s="173">
        <v>42786</v>
      </c>
      <c r="F223" s="176">
        <v>6413.0371619999996</v>
      </c>
      <c r="G223" s="175" t="s">
        <v>19</v>
      </c>
      <c r="H223" s="172" t="s">
        <v>17</v>
      </c>
      <c r="I223" s="175">
        <v>1</v>
      </c>
      <c r="J223" s="175" t="s">
        <v>18</v>
      </c>
      <c r="K223" s="175" t="s">
        <v>57</v>
      </c>
      <c r="L223" s="172" t="s">
        <v>56</v>
      </c>
    </row>
    <row r="224" spans="1:12" x14ac:dyDescent="0.2">
      <c r="A224" s="172" t="s">
        <v>12</v>
      </c>
      <c r="B224" s="172" t="s">
        <v>13</v>
      </c>
      <c r="C224" s="172" t="s">
        <v>14</v>
      </c>
      <c r="D224" s="172" t="s">
        <v>15</v>
      </c>
      <c r="E224" s="173">
        <v>42786</v>
      </c>
      <c r="F224" s="174">
        <v>33.444000000000003</v>
      </c>
      <c r="G224" s="175" t="s">
        <v>16</v>
      </c>
      <c r="H224" s="172" t="s">
        <v>20</v>
      </c>
      <c r="I224" s="175">
        <v>1</v>
      </c>
      <c r="J224" s="175" t="s">
        <v>18</v>
      </c>
      <c r="K224" s="175" t="s">
        <v>57</v>
      </c>
      <c r="L224" s="172" t="s">
        <v>56</v>
      </c>
    </row>
    <row r="225" spans="1:12" x14ac:dyDescent="0.2">
      <c r="A225" s="172" t="s">
        <v>12</v>
      </c>
      <c r="B225" s="172" t="s">
        <v>13</v>
      </c>
      <c r="C225" s="172" t="s">
        <v>14</v>
      </c>
      <c r="D225" s="172" t="s">
        <v>15</v>
      </c>
      <c r="E225" s="173">
        <v>42786</v>
      </c>
      <c r="F225" s="176">
        <v>6582.5818559999998</v>
      </c>
      <c r="G225" s="175" t="s">
        <v>19</v>
      </c>
      <c r="H225" s="172" t="s">
        <v>20</v>
      </c>
      <c r="I225" s="175">
        <v>1</v>
      </c>
      <c r="J225" s="175" t="s">
        <v>18</v>
      </c>
      <c r="K225" s="175" t="s">
        <v>57</v>
      </c>
      <c r="L225" s="172" t="s">
        <v>56</v>
      </c>
    </row>
    <row r="226" spans="1:12" x14ac:dyDescent="0.2">
      <c r="A226" s="172" t="s">
        <v>12</v>
      </c>
      <c r="B226" s="172" t="s">
        <v>13</v>
      </c>
      <c r="C226" s="172" t="s">
        <v>14</v>
      </c>
      <c r="D226" s="172" t="s">
        <v>15</v>
      </c>
      <c r="E226" s="173">
        <v>42779</v>
      </c>
      <c r="F226" s="174">
        <v>38.398524199999997</v>
      </c>
      <c r="G226" s="175" t="s">
        <v>16</v>
      </c>
      <c r="H226" s="172" t="s">
        <v>17</v>
      </c>
      <c r="I226" s="175">
        <v>1</v>
      </c>
      <c r="J226" s="175" t="s">
        <v>18</v>
      </c>
      <c r="K226" s="175" t="s">
        <v>57</v>
      </c>
      <c r="L226" s="172" t="s">
        <v>56</v>
      </c>
    </row>
    <row r="227" spans="1:12" x14ac:dyDescent="0.2">
      <c r="A227" s="172" t="s">
        <v>12</v>
      </c>
      <c r="B227" s="172" t="s">
        <v>13</v>
      </c>
      <c r="C227" s="172" t="s">
        <v>14</v>
      </c>
      <c r="D227" s="172" t="s">
        <v>15</v>
      </c>
      <c r="E227" s="173">
        <v>42779</v>
      </c>
      <c r="F227" s="176">
        <v>6597.0200640000003</v>
      </c>
      <c r="G227" s="175" t="s">
        <v>19</v>
      </c>
      <c r="H227" s="172" t="s">
        <v>17</v>
      </c>
      <c r="I227" s="175">
        <v>1</v>
      </c>
      <c r="J227" s="175" t="s">
        <v>18</v>
      </c>
      <c r="K227" s="175" t="s">
        <v>57</v>
      </c>
      <c r="L227" s="172" t="s">
        <v>56</v>
      </c>
    </row>
    <row r="228" spans="1:12" x14ac:dyDescent="0.2">
      <c r="A228" s="172" t="s">
        <v>12</v>
      </c>
      <c r="B228" s="172" t="s">
        <v>13</v>
      </c>
      <c r="C228" s="172" t="s">
        <v>14</v>
      </c>
      <c r="D228" s="172" t="s">
        <v>15</v>
      </c>
      <c r="E228" s="173">
        <v>42779</v>
      </c>
      <c r="F228" s="174">
        <v>36.869999999999997</v>
      </c>
      <c r="G228" s="175" t="s">
        <v>16</v>
      </c>
      <c r="H228" s="172" t="s">
        <v>20</v>
      </c>
      <c r="I228" s="175">
        <v>1</v>
      </c>
      <c r="J228" s="175" t="s">
        <v>18</v>
      </c>
      <c r="K228" s="175" t="s">
        <v>57</v>
      </c>
      <c r="L228" s="172" t="s">
        <v>56</v>
      </c>
    </row>
    <row r="229" spans="1:12" x14ac:dyDescent="0.2">
      <c r="A229" s="172" t="s">
        <v>12</v>
      </c>
      <c r="B229" s="172" t="s">
        <v>13</v>
      </c>
      <c r="C229" s="172" t="s">
        <v>14</v>
      </c>
      <c r="D229" s="172" t="s">
        <v>15</v>
      </c>
      <c r="E229" s="173">
        <v>42779</v>
      </c>
      <c r="F229" s="176">
        <v>7318.4000400000004</v>
      </c>
      <c r="G229" s="175" t="s">
        <v>19</v>
      </c>
      <c r="H229" s="172" t="s">
        <v>20</v>
      </c>
      <c r="I229" s="175">
        <v>1</v>
      </c>
      <c r="J229" s="175" t="s">
        <v>18</v>
      </c>
      <c r="K229" s="175" t="s">
        <v>57</v>
      </c>
      <c r="L229" s="172" t="s">
        <v>56</v>
      </c>
    </row>
    <row r="230" spans="1:12" x14ac:dyDescent="0.2">
      <c r="A230" s="172" t="s">
        <v>12</v>
      </c>
      <c r="B230" s="172" t="s">
        <v>13</v>
      </c>
      <c r="C230" s="172" t="s">
        <v>14</v>
      </c>
      <c r="D230" s="172" t="s">
        <v>15</v>
      </c>
      <c r="E230" s="173">
        <v>42772</v>
      </c>
      <c r="F230" s="174">
        <v>48.5056978</v>
      </c>
      <c r="G230" s="175" t="s">
        <v>16</v>
      </c>
      <c r="H230" s="172" t="s">
        <v>17</v>
      </c>
      <c r="I230" s="175">
        <v>1</v>
      </c>
      <c r="J230" s="175" t="s">
        <v>18</v>
      </c>
      <c r="K230" s="175" t="s">
        <v>57</v>
      </c>
      <c r="L230" s="172" t="s">
        <v>56</v>
      </c>
    </row>
    <row r="231" spans="1:12" x14ac:dyDescent="0.2">
      <c r="A231" s="172" t="s">
        <v>12</v>
      </c>
      <c r="B231" s="172" t="s">
        <v>13</v>
      </c>
      <c r="C231" s="172" t="s">
        <v>14</v>
      </c>
      <c r="D231" s="172" t="s">
        <v>15</v>
      </c>
      <c r="E231" s="173">
        <v>42772</v>
      </c>
      <c r="F231" s="176">
        <v>9506.6317259999996</v>
      </c>
      <c r="G231" s="175" t="s">
        <v>19</v>
      </c>
      <c r="H231" s="172" t="s">
        <v>17</v>
      </c>
      <c r="I231" s="175">
        <v>1</v>
      </c>
      <c r="J231" s="175" t="s">
        <v>18</v>
      </c>
      <c r="K231" s="175" t="s">
        <v>57</v>
      </c>
      <c r="L231" s="172" t="s">
        <v>56</v>
      </c>
    </row>
    <row r="232" spans="1:12" x14ac:dyDescent="0.2">
      <c r="A232" s="172" t="s">
        <v>12</v>
      </c>
      <c r="B232" s="172" t="s">
        <v>13</v>
      </c>
      <c r="C232" s="172" t="s">
        <v>14</v>
      </c>
      <c r="D232" s="172" t="s">
        <v>15</v>
      </c>
      <c r="E232" s="173">
        <v>42772</v>
      </c>
      <c r="F232" s="174">
        <v>35.316000000000003</v>
      </c>
      <c r="G232" s="175" t="s">
        <v>16</v>
      </c>
      <c r="H232" s="172" t="s">
        <v>20</v>
      </c>
      <c r="I232" s="175">
        <v>1</v>
      </c>
      <c r="J232" s="175" t="s">
        <v>18</v>
      </c>
      <c r="K232" s="175" t="s">
        <v>57</v>
      </c>
      <c r="L232" s="172" t="s">
        <v>56</v>
      </c>
    </row>
    <row r="233" spans="1:12" x14ac:dyDescent="0.2">
      <c r="A233" s="172" t="s">
        <v>12</v>
      </c>
      <c r="B233" s="172" t="s">
        <v>13</v>
      </c>
      <c r="C233" s="172" t="s">
        <v>14</v>
      </c>
      <c r="D233" s="172" t="s">
        <v>15</v>
      </c>
      <c r="E233" s="173">
        <v>42772</v>
      </c>
      <c r="F233" s="176">
        <v>6244.1513279999999</v>
      </c>
      <c r="G233" s="175" t="s">
        <v>19</v>
      </c>
      <c r="H233" s="172" t="s">
        <v>20</v>
      </c>
      <c r="I233" s="175">
        <v>1</v>
      </c>
      <c r="J233" s="175" t="s">
        <v>18</v>
      </c>
      <c r="K233" s="175" t="s">
        <v>57</v>
      </c>
      <c r="L233" s="172" t="s">
        <v>56</v>
      </c>
    </row>
    <row r="234" spans="1:12" x14ac:dyDescent="0.2">
      <c r="A234" s="172" t="s">
        <v>12</v>
      </c>
      <c r="B234" s="172" t="s">
        <v>13</v>
      </c>
      <c r="C234" s="172" t="s">
        <v>14</v>
      </c>
      <c r="D234" s="172" t="s">
        <v>15</v>
      </c>
      <c r="E234" s="173">
        <v>42767</v>
      </c>
      <c r="F234" s="174">
        <v>35.603541300000003</v>
      </c>
      <c r="G234" s="175" t="s">
        <v>16</v>
      </c>
      <c r="H234" s="172" t="s">
        <v>17</v>
      </c>
      <c r="I234" s="175">
        <v>1</v>
      </c>
      <c r="J234" s="175" t="s">
        <v>18</v>
      </c>
      <c r="K234" s="175" t="s">
        <v>57</v>
      </c>
      <c r="L234" s="172" t="s">
        <v>56</v>
      </c>
    </row>
    <row r="235" spans="1:12" x14ac:dyDescent="0.2">
      <c r="A235" s="172" t="s">
        <v>12</v>
      </c>
      <c r="B235" s="172" t="s">
        <v>13</v>
      </c>
      <c r="C235" s="172" t="s">
        <v>14</v>
      </c>
      <c r="D235" s="172" t="s">
        <v>15</v>
      </c>
      <c r="E235" s="173">
        <v>42767</v>
      </c>
      <c r="F235" s="176">
        <v>7898.4320280000002</v>
      </c>
      <c r="G235" s="175" t="s">
        <v>19</v>
      </c>
      <c r="H235" s="172" t="s">
        <v>17</v>
      </c>
      <c r="I235" s="175">
        <v>1</v>
      </c>
      <c r="J235" s="175" t="s">
        <v>18</v>
      </c>
      <c r="K235" s="175" t="s">
        <v>57</v>
      </c>
      <c r="L235" s="172" t="s">
        <v>56</v>
      </c>
    </row>
    <row r="236" spans="1:12" x14ac:dyDescent="0.2">
      <c r="A236" s="172" t="s">
        <v>12</v>
      </c>
      <c r="B236" s="172" t="s">
        <v>13</v>
      </c>
      <c r="C236" s="172" t="s">
        <v>14</v>
      </c>
      <c r="D236" s="172" t="s">
        <v>15</v>
      </c>
      <c r="E236" s="173">
        <v>42767</v>
      </c>
      <c r="F236" s="174">
        <v>32.664000000000001</v>
      </c>
      <c r="G236" s="175" t="s">
        <v>16</v>
      </c>
      <c r="H236" s="172" t="s">
        <v>20</v>
      </c>
      <c r="I236" s="175">
        <v>1</v>
      </c>
      <c r="J236" s="175" t="s">
        <v>18</v>
      </c>
      <c r="K236" s="175" t="s">
        <v>57</v>
      </c>
      <c r="L236" s="172" t="s">
        <v>56</v>
      </c>
    </row>
    <row r="237" spans="1:12" x14ac:dyDescent="0.2">
      <c r="A237" s="172" t="s">
        <v>12</v>
      </c>
      <c r="B237" s="172" t="s">
        <v>13</v>
      </c>
      <c r="C237" s="172" t="s">
        <v>14</v>
      </c>
      <c r="D237" s="172" t="s">
        <v>15</v>
      </c>
      <c r="E237" s="173">
        <v>42767</v>
      </c>
      <c r="F237" s="176">
        <v>5911.4653920000001</v>
      </c>
      <c r="G237" s="175" t="s">
        <v>19</v>
      </c>
      <c r="H237" s="172" t="s">
        <v>20</v>
      </c>
      <c r="I237" s="175">
        <v>1</v>
      </c>
      <c r="J237" s="175" t="s">
        <v>18</v>
      </c>
      <c r="K237" s="175" t="s">
        <v>57</v>
      </c>
      <c r="L237" s="172" t="s">
        <v>56</v>
      </c>
    </row>
    <row r="238" spans="1:12" x14ac:dyDescent="0.2">
      <c r="A238" s="172" t="s">
        <v>12</v>
      </c>
      <c r="B238" s="172" t="s">
        <v>13</v>
      </c>
      <c r="C238" s="172" t="s">
        <v>14</v>
      </c>
      <c r="D238" s="172" t="s">
        <v>15</v>
      </c>
      <c r="E238" s="173">
        <v>42758</v>
      </c>
      <c r="F238" s="174">
        <v>34.394010700000003</v>
      </c>
      <c r="G238" s="175" t="s">
        <v>16</v>
      </c>
      <c r="H238" s="172" t="s">
        <v>17</v>
      </c>
      <c r="I238" s="175">
        <v>1</v>
      </c>
      <c r="J238" s="175" t="s">
        <v>18</v>
      </c>
      <c r="K238" s="175" t="s">
        <v>57</v>
      </c>
      <c r="L238" s="172" t="s">
        <v>56</v>
      </c>
    </row>
    <row r="239" spans="1:12" x14ac:dyDescent="0.2">
      <c r="A239" s="172" t="s">
        <v>12</v>
      </c>
      <c r="B239" s="172" t="s">
        <v>13</v>
      </c>
      <c r="C239" s="172" t="s">
        <v>14</v>
      </c>
      <c r="D239" s="172" t="s">
        <v>15</v>
      </c>
      <c r="E239" s="173">
        <v>42758</v>
      </c>
      <c r="F239" s="176">
        <v>7974.3201900000004</v>
      </c>
      <c r="G239" s="175" t="s">
        <v>19</v>
      </c>
      <c r="H239" s="172" t="s">
        <v>17</v>
      </c>
      <c r="I239" s="175">
        <v>1</v>
      </c>
      <c r="J239" s="175" t="s">
        <v>18</v>
      </c>
      <c r="K239" s="175" t="s">
        <v>57</v>
      </c>
      <c r="L239" s="172" t="s">
        <v>56</v>
      </c>
    </row>
    <row r="240" spans="1:12" x14ac:dyDescent="0.2">
      <c r="A240" s="172" t="s">
        <v>12</v>
      </c>
      <c r="B240" s="172" t="s">
        <v>13</v>
      </c>
      <c r="C240" s="172" t="s">
        <v>14</v>
      </c>
      <c r="D240" s="172" t="s">
        <v>15</v>
      </c>
      <c r="E240" s="173">
        <v>42758</v>
      </c>
      <c r="F240" s="174">
        <v>32.950000000000003</v>
      </c>
      <c r="G240" s="175" t="s">
        <v>16</v>
      </c>
      <c r="H240" s="172" t="s">
        <v>20</v>
      </c>
      <c r="I240" s="175">
        <v>1</v>
      </c>
      <c r="J240" s="175" t="s">
        <v>18</v>
      </c>
      <c r="K240" s="175" t="s">
        <v>57</v>
      </c>
      <c r="L240" s="172" t="s">
        <v>56</v>
      </c>
    </row>
    <row r="241" spans="1:12" x14ac:dyDescent="0.2">
      <c r="A241" s="172" t="s">
        <v>12</v>
      </c>
      <c r="B241" s="172" t="s">
        <v>13</v>
      </c>
      <c r="C241" s="172" t="s">
        <v>14</v>
      </c>
      <c r="D241" s="172" t="s">
        <v>15</v>
      </c>
      <c r="E241" s="173">
        <v>42758</v>
      </c>
      <c r="F241" s="176">
        <v>6760.1538</v>
      </c>
      <c r="G241" s="175" t="s">
        <v>19</v>
      </c>
      <c r="H241" s="172" t="s">
        <v>20</v>
      </c>
      <c r="I241" s="175">
        <v>1</v>
      </c>
      <c r="J241" s="175" t="s">
        <v>18</v>
      </c>
      <c r="K241" s="175" t="s">
        <v>57</v>
      </c>
      <c r="L241" s="172" t="s">
        <v>56</v>
      </c>
    </row>
    <row r="242" spans="1:12" x14ac:dyDescent="0.2">
      <c r="A242" s="172" t="s">
        <v>12</v>
      </c>
      <c r="B242" s="172" t="s">
        <v>13</v>
      </c>
      <c r="C242" s="172" t="s">
        <v>14</v>
      </c>
      <c r="D242" s="172" t="s">
        <v>15</v>
      </c>
      <c r="E242" s="173">
        <v>42751</v>
      </c>
      <c r="F242" s="174">
        <v>26.779901200000001</v>
      </c>
      <c r="G242" s="175" t="s">
        <v>16</v>
      </c>
      <c r="H242" s="172" t="s">
        <v>17</v>
      </c>
      <c r="I242" s="175">
        <v>1</v>
      </c>
      <c r="J242" s="175" t="s">
        <v>18</v>
      </c>
      <c r="K242" s="175" t="s">
        <v>57</v>
      </c>
      <c r="L242" s="172" t="s">
        <v>56</v>
      </c>
    </row>
    <row r="243" spans="1:12" x14ac:dyDescent="0.2">
      <c r="A243" s="172" t="s">
        <v>12</v>
      </c>
      <c r="B243" s="172" t="s">
        <v>13</v>
      </c>
      <c r="C243" s="172" t="s">
        <v>14</v>
      </c>
      <c r="D243" s="172" t="s">
        <v>15</v>
      </c>
      <c r="E243" s="173">
        <v>42751</v>
      </c>
      <c r="F243" s="176">
        <v>7236.3577919999998</v>
      </c>
      <c r="G243" s="175" t="s">
        <v>19</v>
      </c>
      <c r="H243" s="172" t="s">
        <v>17</v>
      </c>
      <c r="I243" s="175">
        <v>1</v>
      </c>
      <c r="J243" s="175" t="s">
        <v>18</v>
      </c>
      <c r="K243" s="175" t="s">
        <v>57</v>
      </c>
      <c r="L243" s="172" t="s">
        <v>56</v>
      </c>
    </row>
    <row r="244" spans="1:12" x14ac:dyDescent="0.2">
      <c r="A244" s="172" t="s">
        <v>12</v>
      </c>
      <c r="B244" s="172" t="s">
        <v>13</v>
      </c>
      <c r="C244" s="172" t="s">
        <v>14</v>
      </c>
      <c r="D244" s="172" t="s">
        <v>15</v>
      </c>
      <c r="E244" s="173">
        <v>42751</v>
      </c>
      <c r="F244" s="174">
        <v>28.27</v>
      </c>
      <c r="G244" s="175" t="s">
        <v>16</v>
      </c>
      <c r="H244" s="172" t="s">
        <v>20</v>
      </c>
      <c r="I244" s="175">
        <v>1</v>
      </c>
      <c r="J244" s="175" t="s">
        <v>18</v>
      </c>
      <c r="K244" s="175" t="s">
        <v>57</v>
      </c>
      <c r="L244" s="172" t="s">
        <v>56</v>
      </c>
    </row>
    <row r="245" spans="1:12" x14ac:dyDescent="0.2">
      <c r="A245" s="172" t="s">
        <v>12</v>
      </c>
      <c r="B245" s="172" t="s">
        <v>13</v>
      </c>
      <c r="C245" s="172" t="s">
        <v>14</v>
      </c>
      <c r="D245" s="172" t="s">
        <v>15</v>
      </c>
      <c r="E245" s="173">
        <v>42751</v>
      </c>
      <c r="F245" s="176">
        <v>5682.1003799999999</v>
      </c>
      <c r="G245" s="175" t="s">
        <v>19</v>
      </c>
      <c r="H245" s="172" t="s">
        <v>20</v>
      </c>
      <c r="I245" s="175">
        <v>1</v>
      </c>
      <c r="J245" s="175" t="s">
        <v>18</v>
      </c>
      <c r="K245" s="175" t="s">
        <v>57</v>
      </c>
      <c r="L245" s="172" t="s">
        <v>56</v>
      </c>
    </row>
    <row r="246" spans="1:12" x14ac:dyDescent="0.2">
      <c r="A246" s="172" t="s">
        <v>12</v>
      </c>
      <c r="B246" s="172" t="s">
        <v>13</v>
      </c>
      <c r="C246" s="172" t="s">
        <v>14</v>
      </c>
      <c r="D246" s="172" t="s">
        <v>15</v>
      </c>
      <c r="E246" s="173">
        <v>42743</v>
      </c>
      <c r="F246" s="174">
        <v>41.054258900000001</v>
      </c>
      <c r="G246" s="175" t="s">
        <v>16</v>
      </c>
      <c r="H246" s="172" t="s">
        <v>17</v>
      </c>
      <c r="I246" s="175">
        <v>1</v>
      </c>
      <c r="J246" s="175" t="s">
        <v>18</v>
      </c>
      <c r="K246" s="175" t="s">
        <v>57</v>
      </c>
      <c r="L246" s="172" t="s">
        <v>56</v>
      </c>
    </row>
    <row r="247" spans="1:12" x14ac:dyDescent="0.2">
      <c r="A247" s="172" t="s">
        <v>12</v>
      </c>
      <c r="B247" s="172" t="s">
        <v>13</v>
      </c>
      <c r="C247" s="172" t="s">
        <v>14</v>
      </c>
      <c r="D247" s="172" t="s">
        <v>15</v>
      </c>
      <c r="E247" s="173">
        <v>42743</v>
      </c>
      <c r="F247" s="176">
        <v>8594.0522459999993</v>
      </c>
      <c r="G247" s="175" t="s">
        <v>19</v>
      </c>
      <c r="H247" s="172" t="s">
        <v>17</v>
      </c>
      <c r="I247" s="175">
        <v>1</v>
      </c>
      <c r="J247" s="175" t="s">
        <v>18</v>
      </c>
      <c r="K247" s="175" t="s">
        <v>57</v>
      </c>
      <c r="L247" s="172" t="s">
        <v>56</v>
      </c>
    </row>
    <row r="248" spans="1:12" x14ac:dyDescent="0.2">
      <c r="A248" s="172" t="s">
        <v>12</v>
      </c>
      <c r="B248" s="172" t="s">
        <v>13</v>
      </c>
      <c r="C248" s="172" t="s">
        <v>14</v>
      </c>
      <c r="D248" s="172" t="s">
        <v>15</v>
      </c>
      <c r="E248" s="173">
        <v>42743</v>
      </c>
      <c r="F248" s="174">
        <v>35.899000000000001</v>
      </c>
      <c r="G248" s="175" t="s">
        <v>16</v>
      </c>
      <c r="H248" s="172" t="s">
        <v>20</v>
      </c>
      <c r="I248" s="175">
        <v>1</v>
      </c>
      <c r="J248" s="175" t="s">
        <v>18</v>
      </c>
      <c r="K248" s="175" t="s">
        <v>57</v>
      </c>
      <c r="L248" s="172" t="s">
        <v>56</v>
      </c>
    </row>
    <row r="249" spans="1:12" x14ac:dyDescent="0.2">
      <c r="A249" s="172" t="s">
        <v>12</v>
      </c>
      <c r="B249" s="172" t="s">
        <v>13</v>
      </c>
      <c r="C249" s="172" t="s">
        <v>14</v>
      </c>
      <c r="D249" s="172" t="s">
        <v>15</v>
      </c>
      <c r="E249" s="173">
        <v>42743</v>
      </c>
      <c r="F249" s="176">
        <v>7904.0982240000003</v>
      </c>
      <c r="G249" s="175" t="s">
        <v>19</v>
      </c>
      <c r="H249" s="172" t="s">
        <v>20</v>
      </c>
      <c r="I249" s="175">
        <v>1</v>
      </c>
      <c r="J249" s="175" t="s">
        <v>18</v>
      </c>
      <c r="K249" s="175" t="s">
        <v>57</v>
      </c>
      <c r="L249" s="172" t="s">
        <v>56</v>
      </c>
    </row>
    <row r="250" spans="1:12" x14ac:dyDescent="0.2">
      <c r="A250" s="172" t="s">
        <v>12</v>
      </c>
      <c r="B250" s="172" t="s">
        <v>13</v>
      </c>
      <c r="C250" s="172" t="s">
        <v>14</v>
      </c>
      <c r="D250" s="172" t="s">
        <v>15</v>
      </c>
      <c r="E250" s="173">
        <v>42738</v>
      </c>
      <c r="F250" s="174">
        <v>33.828724999999999</v>
      </c>
      <c r="G250" s="175" t="s">
        <v>16</v>
      </c>
      <c r="H250" s="172" t="s">
        <v>17</v>
      </c>
      <c r="I250" s="175">
        <v>1</v>
      </c>
      <c r="J250" s="175" t="s">
        <v>18</v>
      </c>
      <c r="K250" s="175" t="s">
        <v>57</v>
      </c>
      <c r="L250" s="172" t="s">
        <v>56</v>
      </c>
    </row>
    <row r="251" spans="1:12" x14ac:dyDescent="0.2">
      <c r="A251" s="172" t="s">
        <v>12</v>
      </c>
      <c r="B251" s="172" t="s">
        <v>13</v>
      </c>
      <c r="C251" s="172" t="s">
        <v>14</v>
      </c>
      <c r="D251" s="172" t="s">
        <v>15</v>
      </c>
      <c r="E251" s="173">
        <v>42738</v>
      </c>
      <c r="F251" s="176">
        <v>7081.50234</v>
      </c>
      <c r="G251" s="175" t="s">
        <v>19</v>
      </c>
      <c r="H251" s="172" t="s">
        <v>17</v>
      </c>
      <c r="I251" s="175">
        <v>1</v>
      </c>
      <c r="J251" s="175" t="s">
        <v>18</v>
      </c>
      <c r="K251" s="175" t="s">
        <v>57</v>
      </c>
      <c r="L251" s="172" t="s">
        <v>56</v>
      </c>
    </row>
    <row r="252" spans="1:12" x14ac:dyDescent="0.2">
      <c r="A252" s="172" t="s">
        <v>12</v>
      </c>
      <c r="B252" s="172" t="s">
        <v>13</v>
      </c>
      <c r="C252" s="172" t="s">
        <v>14</v>
      </c>
      <c r="D252" s="172" t="s">
        <v>15</v>
      </c>
      <c r="E252" s="173">
        <v>42738</v>
      </c>
      <c r="F252" s="174">
        <v>30.12</v>
      </c>
      <c r="G252" s="175" t="s">
        <v>16</v>
      </c>
      <c r="H252" s="172" t="s">
        <v>20</v>
      </c>
      <c r="I252" s="175">
        <v>1</v>
      </c>
      <c r="J252" s="175" t="s">
        <v>18</v>
      </c>
      <c r="K252" s="175" t="s">
        <v>57</v>
      </c>
      <c r="L252" s="172" t="s">
        <v>56</v>
      </c>
    </row>
    <row r="253" spans="1:12" x14ac:dyDescent="0.2">
      <c r="A253" s="172" t="s">
        <v>12</v>
      </c>
      <c r="B253" s="172" t="s">
        <v>13</v>
      </c>
      <c r="C253" s="172" t="s">
        <v>14</v>
      </c>
      <c r="D253" s="172" t="s">
        <v>15</v>
      </c>
      <c r="E253" s="173">
        <v>42738</v>
      </c>
      <c r="F253" s="176">
        <v>6681.94128</v>
      </c>
      <c r="G253" s="175" t="s">
        <v>19</v>
      </c>
      <c r="H253" s="172" t="s">
        <v>20</v>
      </c>
      <c r="I253" s="175">
        <v>1</v>
      </c>
      <c r="J253" s="175" t="s">
        <v>18</v>
      </c>
      <c r="K253" s="175" t="s">
        <v>57</v>
      </c>
      <c r="L253" s="172" t="s">
        <v>56</v>
      </c>
    </row>
    <row r="254" spans="1:12" x14ac:dyDescent="0.2">
      <c r="A254" s="172" t="s">
        <v>12</v>
      </c>
      <c r="B254" s="172" t="s">
        <v>13</v>
      </c>
      <c r="C254" s="172" t="s">
        <v>14</v>
      </c>
      <c r="D254" s="172" t="s">
        <v>15</v>
      </c>
      <c r="E254" s="173">
        <v>42730</v>
      </c>
      <c r="F254" s="174">
        <v>24.163719499999999</v>
      </c>
      <c r="G254" s="175" t="s">
        <v>16</v>
      </c>
      <c r="H254" s="172" t="s">
        <v>17</v>
      </c>
      <c r="I254" s="175">
        <v>1</v>
      </c>
      <c r="J254" s="175" t="s">
        <v>18</v>
      </c>
      <c r="K254" s="175" t="s">
        <v>57</v>
      </c>
      <c r="L254" s="172" t="s">
        <v>56</v>
      </c>
    </row>
    <row r="255" spans="1:12" x14ac:dyDescent="0.2">
      <c r="A255" s="172" t="s">
        <v>12</v>
      </c>
      <c r="B255" s="172" t="s">
        <v>13</v>
      </c>
      <c r="C255" s="172" t="s">
        <v>14</v>
      </c>
      <c r="D255" s="172" t="s">
        <v>15</v>
      </c>
      <c r="E255" s="173">
        <v>42730</v>
      </c>
      <c r="F255" s="176">
        <v>6610.0338000000002</v>
      </c>
      <c r="G255" s="175" t="s">
        <v>19</v>
      </c>
      <c r="H255" s="172" t="s">
        <v>17</v>
      </c>
      <c r="I255" s="175">
        <v>1</v>
      </c>
      <c r="J255" s="175" t="s">
        <v>18</v>
      </c>
      <c r="K255" s="175" t="s">
        <v>57</v>
      </c>
      <c r="L255" s="172" t="s">
        <v>56</v>
      </c>
    </row>
    <row r="256" spans="1:12" x14ac:dyDescent="0.2">
      <c r="A256" s="172" t="s">
        <v>12</v>
      </c>
      <c r="B256" s="172" t="s">
        <v>13</v>
      </c>
      <c r="C256" s="172" t="s">
        <v>14</v>
      </c>
      <c r="D256" s="172" t="s">
        <v>15</v>
      </c>
      <c r="E256" s="173">
        <v>42730</v>
      </c>
      <c r="F256" s="174">
        <v>22.788</v>
      </c>
      <c r="G256" s="175" t="s">
        <v>16</v>
      </c>
      <c r="H256" s="172" t="s">
        <v>20</v>
      </c>
      <c r="I256" s="175">
        <v>1</v>
      </c>
      <c r="J256" s="175" t="s">
        <v>18</v>
      </c>
      <c r="K256" s="175" t="s">
        <v>57</v>
      </c>
      <c r="L256" s="172" t="s">
        <v>56</v>
      </c>
    </row>
    <row r="257" spans="1:12" x14ac:dyDescent="0.2">
      <c r="A257" s="172" t="s">
        <v>12</v>
      </c>
      <c r="B257" s="172" t="s">
        <v>13</v>
      </c>
      <c r="C257" s="172" t="s">
        <v>14</v>
      </c>
      <c r="D257" s="172" t="s">
        <v>15</v>
      </c>
      <c r="E257" s="173">
        <v>42730</v>
      </c>
      <c r="F257" s="176">
        <v>6385.7445120000002</v>
      </c>
      <c r="G257" s="175" t="s">
        <v>19</v>
      </c>
      <c r="H257" s="172" t="s">
        <v>20</v>
      </c>
      <c r="I257" s="175">
        <v>1</v>
      </c>
      <c r="J257" s="175" t="s">
        <v>18</v>
      </c>
      <c r="K257" s="175" t="s">
        <v>57</v>
      </c>
      <c r="L257" s="172" t="s">
        <v>56</v>
      </c>
    </row>
    <row r="258" spans="1:12" x14ac:dyDescent="0.2">
      <c r="A258" s="172" t="s">
        <v>12</v>
      </c>
      <c r="B258" s="172" t="s">
        <v>13</v>
      </c>
      <c r="C258" s="172" t="s">
        <v>14</v>
      </c>
      <c r="D258" s="172" t="s">
        <v>15</v>
      </c>
      <c r="E258" s="173">
        <v>42724</v>
      </c>
      <c r="F258" s="174">
        <v>29.4628075</v>
      </c>
      <c r="G258" s="175" t="s">
        <v>16</v>
      </c>
      <c r="H258" s="172" t="s">
        <v>17</v>
      </c>
      <c r="I258" s="175">
        <v>1</v>
      </c>
      <c r="J258" s="175" t="s">
        <v>18</v>
      </c>
      <c r="K258" s="175" t="s">
        <v>57</v>
      </c>
      <c r="L258" s="172" t="s">
        <v>56</v>
      </c>
    </row>
    <row r="259" spans="1:12" x14ac:dyDescent="0.2">
      <c r="A259" s="172" t="s">
        <v>12</v>
      </c>
      <c r="B259" s="172" t="s">
        <v>13</v>
      </c>
      <c r="C259" s="172" t="s">
        <v>14</v>
      </c>
      <c r="D259" s="172" t="s">
        <v>15</v>
      </c>
      <c r="E259" s="173">
        <v>42724</v>
      </c>
      <c r="F259" s="176">
        <v>5872.7035740000001</v>
      </c>
      <c r="G259" s="175" t="s">
        <v>19</v>
      </c>
      <c r="H259" s="172" t="s">
        <v>17</v>
      </c>
      <c r="I259" s="175">
        <v>1</v>
      </c>
      <c r="J259" s="175" t="s">
        <v>18</v>
      </c>
      <c r="K259" s="175" t="s">
        <v>57</v>
      </c>
      <c r="L259" s="172" t="s">
        <v>56</v>
      </c>
    </row>
    <row r="260" spans="1:12" x14ac:dyDescent="0.2">
      <c r="A260" s="172" t="s">
        <v>12</v>
      </c>
      <c r="B260" s="172" t="s">
        <v>13</v>
      </c>
      <c r="C260" s="172" t="s">
        <v>14</v>
      </c>
      <c r="D260" s="172" t="s">
        <v>15</v>
      </c>
      <c r="E260" s="173">
        <v>42724</v>
      </c>
      <c r="F260" s="174">
        <v>34.01</v>
      </c>
      <c r="G260" s="175" t="s">
        <v>16</v>
      </c>
      <c r="H260" s="172" t="s">
        <v>20</v>
      </c>
      <c r="I260" s="175">
        <v>1</v>
      </c>
      <c r="J260" s="175" t="s">
        <v>18</v>
      </c>
      <c r="K260" s="175" t="s">
        <v>57</v>
      </c>
      <c r="L260" s="172" t="s">
        <v>56</v>
      </c>
    </row>
    <row r="261" spans="1:12" x14ac:dyDescent="0.2">
      <c r="A261" s="172" t="s">
        <v>12</v>
      </c>
      <c r="B261" s="172" t="s">
        <v>13</v>
      </c>
      <c r="C261" s="172" t="s">
        <v>14</v>
      </c>
      <c r="D261" s="172" t="s">
        <v>15</v>
      </c>
      <c r="E261" s="173">
        <v>42724</v>
      </c>
      <c r="F261" s="176">
        <v>7317.9997199999998</v>
      </c>
      <c r="G261" s="175" t="s">
        <v>19</v>
      </c>
      <c r="H261" s="172" t="s">
        <v>20</v>
      </c>
      <c r="I261" s="175">
        <v>1</v>
      </c>
      <c r="J261" s="175" t="s">
        <v>18</v>
      </c>
      <c r="K261" s="175" t="s">
        <v>57</v>
      </c>
      <c r="L261" s="172" t="s">
        <v>56</v>
      </c>
    </row>
    <row r="262" spans="1:12" x14ac:dyDescent="0.2">
      <c r="A262" s="172" t="s">
        <v>12</v>
      </c>
      <c r="B262" s="172" t="s">
        <v>13</v>
      </c>
      <c r="C262" s="172" t="s">
        <v>14</v>
      </c>
      <c r="D262" s="172" t="s">
        <v>15</v>
      </c>
      <c r="E262" s="173">
        <v>42717</v>
      </c>
      <c r="F262" s="174">
        <v>35.383453299999999</v>
      </c>
      <c r="G262" s="175" t="s">
        <v>16</v>
      </c>
      <c r="H262" s="172" t="s">
        <v>17</v>
      </c>
      <c r="I262" s="175">
        <v>1</v>
      </c>
      <c r="J262" s="175" t="s">
        <v>18</v>
      </c>
      <c r="K262" s="175" t="s">
        <v>57</v>
      </c>
      <c r="L262" s="172" t="s">
        <v>56</v>
      </c>
    </row>
    <row r="263" spans="1:12" x14ac:dyDescent="0.2">
      <c r="A263" s="172" t="s">
        <v>12</v>
      </c>
      <c r="B263" s="172" t="s">
        <v>13</v>
      </c>
      <c r="C263" s="172" t="s">
        <v>14</v>
      </c>
      <c r="D263" s="172" t="s">
        <v>15</v>
      </c>
      <c r="E263" s="173">
        <v>42717</v>
      </c>
      <c r="F263" s="176">
        <v>6639.7050179999997</v>
      </c>
      <c r="G263" s="175" t="s">
        <v>19</v>
      </c>
      <c r="H263" s="172" t="s">
        <v>17</v>
      </c>
      <c r="I263" s="175">
        <v>1</v>
      </c>
      <c r="J263" s="175" t="s">
        <v>18</v>
      </c>
      <c r="K263" s="175" t="s">
        <v>57</v>
      </c>
      <c r="L263" s="172" t="s">
        <v>56</v>
      </c>
    </row>
    <row r="264" spans="1:12" x14ac:dyDescent="0.2">
      <c r="A264" s="172" t="s">
        <v>12</v>
      </c>
      <c r="B264" s="172" t="s">
        <v>13</v>
      </c>
      <c r="C264" s="172" t="s">
        <v>14</v>
      </c>
      <c r="D264" s="172" t="s">
        <v>15</v>
      </c>
      <c r="E264" s="173">
        <v>42717</v>
      </c>
      <c r="F264" s="174">
        <v>39.200000000000003</v>
      </c>
      <c r="G264" s="175" t="s">
        <v>16</v>
      </c>
      <c r="H264" s="172" t="s">
        <v>20</v>
      </c>
      <c r="I264" s="175">
        <v>1</v>
      </c>
      <c r="J264" s="175" t="s">
        <v>18</v>
      </c>
      <c r="K264" s="175" t="s">
        <v>57</v>
      </c>
      <c r="L264" s="172" t="s">
        <v>56</v>
      </c>
    </row>
    <row r="265" spans="1:12" x14ac:dyDescent="0.2">
      <c r="A265" s="172" t="s">
        <v>12</v>
      </c>
      <c r="B265" s="172" t="s">
        <v>13</v>
      </c>
      <c r="C265" s="172" t="s">
        <v>14</v>
      </c>
      <c r="D265" s="172" t="s">
        <v>15</v>
      </c>
      <c r="E265" s="173">
        <v>42717</v>
      </c>
      <c r="F265" s="176">
        <v>8042.4287999999997</v>
      </c>
      <c r="G265" s="175" t="s">
        <v>19</v>
      </c>
      <c r="H265" s="172" t="s">
        <v>20</v>
      </c>
      <c r="I265" s="175">
        <v>1</v>
      </c>
      <c r="J265" s="175" t="s">
        <v>18</v>
      </c>
      <c r="K265" s="175" t="s">
        <v>57</v>
      </c>
      <c r="L265" s="172" t="s">
        <v>56</v>
      </c>
    </row>
    <row r="266" spans="1:12" x14ac:dyDescent="0.2">
      <c r="A266" s="172" t="s">
        <v>12</v>
      </c>
      <c r="B266" s="172" t="s">
        <v>13</v>
      </c>
      <c r="C266" s="172" t="s">
        <v>14</v>
      </c>
      <c r="D266" s="172" t="s">
        <v>15</v>
      </c>
      <c r="E266" s="173">
        <v>42711</v>
      </c>
      <c r="F266" s="177">
        <v>51.943260500000001</v>
      </c>
      <c r="G266" s="175" t="s">
        <v>16</v>
      </c>
      <c r="H266" s="172" t="s">
        <v>17</v>
      </c>
      <c r="I266" s="175">
        <v>1</v>
      </c>
      <c r="J266" s="175" t="s">
        <v>18</v>
      </c>
      <c r="K266" s="175" t="s">
        <v>57</v>
      </c>
      <c r="L266" s="172" t="s">
        <v>56</v>
      </c>
    </row>
    <row r="267" spans="1:12" x14ac:dyDescent="0.2">
      <c r="A267" s="172" t="s">
        <v>12</v>
      </c>
      <c r="B267" s="172" t="s">
        <v>13</v>
      </c>
      <c r="C267" s="172" t="s">
        <v>14</v>
      </c>
      <c r="D267" s="172" t="s">
        <v>15</v>
      </c>
      <c r="E267" s="173">
        <v>42711</v>
      </c>
      <c r="F267" s="178">
        <v>11306.697294</v>
      </c>
      <c r="G267" s="175" t="s">
        <v>19</v>
      </c>
      <c r="H267" s="172" t="s">
        <v>17</v>
      </c>
      <c r="I267" s="175">
        <v>1</v>
      </c>
      <c r="J267" s="175" t="s">
        <v>18</v>
      </c>
      <c r="K267" s="175" t="s">
        <v>57</v>
      </c>
      <c r="L267" s="172" t="s">
        <v>56</v>
      </c>
    </row>
    <row r="268" spans="1:12" x14ac:dyDescent="0.2">
      <c r="A268" s="172" t="s">
        <v>12</v>
      </c>
      <c r="B268" s="172" t="s">
        <v>13</v>
      </c>
      <c r="C268" s="172" t="s">
        <v>14</v>
      </c>
      <c r="D268" s="172" t="s">
        <v>15</v>
      </c>
      <c r="E268" s="173">
        <v>42711</v>
      </c>
      <c r="F268" s="179">
        <v>114.922</v>
      </c>
      <c r="G268" s="175" t="s">
        <v>16</v>
      </c>
      <c r="H268" s="172" t="s">
        <v>20</v>
      </c>
      <c r="I268" s="175">
        <v>1</v>
      </c>
      <c r="J268" s="175" t="s">
        <v>18</v>
      </c>
      <c r="K268" s="175" t="s">
        <v>57</v>
      </c>
      <c r="L268" s="172" t="s">
        <v>56</v>
      </c>
    </row>
    <row r="269" spans="1:12" x14ac:dyDescent="0.2">
      <c r="A269" s="172" t="s">
        <v>12</v>
      </c>
      <c r="B269" s="172" t="s">
        <v>13</v>
      </c>
      <c r="C269" s="172" t="s">
        <v>14</v>
      </c>
      <c r="D269" s="172" t="s">
        <v>15</v>
      </c>
      <c r="E269" s="173">
        <v>42711</v>
      </c>
      <c r="F269" s="180">
        <v>26069.825855999999</v>
      </c>
      <c r="G269" s="181" t="s">
        <v>19</v>
      </c>
      <c r="H269" s="182" t="s">
        <v>20</v>
      </c>
      <c r="I269" s="175">
        <v>1</v>
      </c>
      <c r="J269" s="175" t="s">
        <v>18</v>
      </c>
      <c r="K269" s="175" t="s">
        <v>57</v>
      </c>
      <c r="L269" s="172" t="s">
        <v>56</v>
      </c>
    </row>
    <row r="270" spans="1:12" x14ac:dyDescent="0.2">
      <c r="A270" s="172" t="s">
        <v>12</v>
      </c>
      <c r="B270" s="172" t="s">
        <v>13</v>
      </c>
      <c r="C270" s="172" t="s">
        <v>14</v>
      </c>
      <c r="D270" s="172" t="s">
        <v>15</v>
      </c>
      <c r="E270" s="173">
        <v>42705</v>
      </c>
      <c r="F270" s="174">
        <v>36.037995799999997</v>
      </c>
      <c r="G270" s="175" t="s">
        <v>16</v>
      </c>
      <c r="H270" s="172" t="s">
        <v>17</v>
      </c>
      <c r="I270" s="175">
        <v>1</v>
      </c>
      <c r="J270" s="175" t="s">
        <v>18</v>
      </c>
      <c r="K270" s="175" t="s">
        <v>57</v>
      </c>
      <c r="L270" s="172" t="s">
        <v>56</v>
      </c>
    </row>
    <row r="271" spans="1:12" x14ac:dyDescent="0.2">
      <c r="A271" s="172" t="s">
        <v>12</v>
      </c>
      <c r="B271" s="172" t="s">
        <v>13</v>
      </c>
      <c r="C271" s="172" t="s">
        <v>14</v>
      </c>
      <c r="D271" s="172" t="s">
        <v>15</v>
      </c>
      <c r="E271" s="173">
        <v>42705</v>
      </c>
      <c r="F271" s="176">
        <v>7183.3095540000004</v>
      </c>
      <c r="G271" s="175" t="s">
        <v>19</v>
      </c>
      <c r="H271" s="172" t="s">
        <v>17</v>
      </c>
      <c r="I271" s="175">
        <v>1</v>
      </c>
      <c r="J271" s="175" t="s">
        <v>18</v>
      </c>
      <c r="K271" s="175" t="s">
        <v>57</v>
      </c>
      <c r="L271" s="172" t="s">
        <v>56</v>
      </c>
    </row>
    <row r="272" spans="1:12" x14ac:dyDescent="0.2">
      <c r="A272" s="172" t="s">
        <v>12</v>
      </c>
      <c r="B272" s="172" t="s">
        <v>13</v>
      </c>
      <c r="C272" s="172" t="s">
        <v>14</v>
      </c>
      <c r="D272" s="172" t="s">
        <v>15</v>
      </c>
      <c r="E272" s="173">
        <v>42705</v>
      </c>
      <c r="F272" s="174">
        <v>33.843000000000004</v>
      </c>
      <c r="G272" s="175" t="s">
        <v>16</v>
      </c>
      <c r="H272" s="172" t="s">
        <v>20</v>
      </c>
      <c r="I272" s="175">
        <v>1</v>
      </c>
      <c r="J272" s="175" t="s">
        <v>18</v>
      </c>
      <c r="K272" s="175" t="s">
        <v>57</v>
      </c>
      <c r="L272" s="172" t="s">
        <v>56</v>
      </c>
    </row>
    <row r="273" spans="1:12" x14ac:dyDescent="0.2">
      <c r="A273" s="172" t="s">
        <v>12</v>
      </c>
      <c r="B273" s="172" t="s">
        <v>13</v>
      </c>
      <c r="C273" s="172" t="s">
        <v>14</v>
      </c>
      <c r="D273" s="172" t="s">
        <v>15</v>
      </c>
      <c r="E273" s="173">
        <v>42705</v>
      </c>
      <c r="F273" s="176">
        <v>7028.040438</v>
      </c>
      <c r="G273" s="175" t="s">
        <v>19</v>
      </c>
      <c r="H273" s="172" t="s">
        <v>20</v>
      </c>
      <c r="I273" s="175">
        <v>1</v>
      </c>
      <c r="J273" s="175" t="s">
        <v>18</v>
      </c>
      <c r="K273" s="175" t="s">
        <v>57</v>
      </c>
      <c r="L273" s="172" t="s">
        <v>56</v>
      </c>
    </row>
    <row r="274" spans="1:12" x14ac:dyDescent="0.2">
      <c r="A274" s="172" t="s">
        <v>12</v>
      </c>
      <c r="B274" s="172" t="s">
        <v>13</v>
      </c>
      <c r="C274" s="172" t="s">
        <v>14</v>
      </c>
      <c r="D274" s="172" t="s">
        <v>15</v>
      </c>
      <c r="E274" s="173">
        <v>42695</v>
      </c>
      <c r="F274" s="174">
        <v>37.726137899999998</v>
      </c>
      <c r="G274" s="175" t="s">
        <v>16</v>
      </c>
      <c r="H274" s="172" t="s">
        <v>17</v>
      </c>
      <c r="I274" s="175">
        <v>1</v>
      </c>
      <c r="J274" s="175" t="s">
        <v>18</v>
      </c>
      <c r="K274" s="175" t="s">
        <v>57</v>
      </c>
      <c r="L274" s="172" t="s">
        <v>56</v>
      </c>
    </row>
    <row r="275" spans="1:12" x14ac:dyDescent="0.2">
      <c r="A275" s="172" t="s">
        <v>12</v>
      </c>
      <c r="B275" s="172" t="s">
        <v>13</v>
      </c>
      <c r="C275" s="172" t="s">
        <v>14</v>
      </c>
      <c r="D275" s="172" t="s">
        <v>15</v>
      </c>
      <c r="E275" s="173">
        <v>42695</v>
      </c>
      <c r="F275" s="176">
        <v>7299.5549758999996</v>
      </c>
      <c r="G275" s="175" t="s">
        <v>19</v>
      </c>
      <c r="H275" s="172" t="s">
        <v>17</v>
      </c>
      <c r="I275" s="175">
        <v>1</v>
      </c>
      <c r="J275" s="175" t="s">
        <v>18</v>
      </c>
      <c r="K275" s="175" t="s">
        <v>57</v>
      </c>
      <c r="L275" s="172" t="s">
        <v>56</v>
      </c>
    </row>
    <row r="276" spans="1:12" x14ac:dyDescent="0.2">
      <c r="A276" s="172" t="s">
        <v>12</v>
      </c>
      <c r="B276" s="172" t="s">
        <v>13</v>
      </c>
      <c r="C276" s="172" t="s">
        <v>14</v>
      </c>
      <c r="D276" s="172" t="s">
        <v>15</v>
      </c>
      <c r="E276" s="173">
        <v>42695</v>
      </c>
      <c r="F276" s="174">
        <v>56.006999999999998</v>
      </c>
      <c r="G276" s="175" t="s">
        <v>16</v>
      </c>
      <c r="H276" s="172" t="s">
        <v>20</v>
      </c>
      <c r="I276" s="175">
        <v>1</v>
      </c>
      <c r="J276" s="175" t="s">
        <v>18</v>
      </c>
      <c r="K276" s="175" t="s">
        <v>57</v>
      </c>
      <c r="L276" s="172" t="s">
        <v>56</v>
      </c>
    </row>
    <row r="277" spans="1:12" x14ac:dyDescent="0.2">
      <c r="A277" s="172" t="s">
        <v>12</v>
      </c>
      <c r="B277" s="172" t="s">
        <v>13</v>
      </c>
      <c r="C277" s="172" t="s">
        <v>14</v>
      </c>
      <c r="D277" s="172" t="s">
        <v>15</v>
      </c>
      <c r="E277" s="173">
        <v>42695</v>
      </c>
      <c r="F277" s="176">
        <v>11257.070958</v>
      </c>
      <c r="G277" s="175" t="s">
        <v>19</v>
      </c>
      <c r="H277" s="172" t="s">
        <v>20</v>
      </c>
      <c r="I277" s="175">
        <v>1</v>
      </c>
      <c r="J277" s="175" t="s">
        <v>18</v>
      </c>
      <c r="K277" s="175" t="s">
        <v>57</v>
      </c>
      <c r="L277" s="172" t="s">
        <v>56</v>
      </c>
    </row>
    <row r="278" spans="1:12" x14ac:dyDescent="0.2">
      <c r="A278" s="172" t="s">
        <v>12</v>
      </c>
      <c r="B278" s="172" t="s">
        <v>13</v>
      </c>
      <c r="C278" s="172" t="s">
        <v>14</v>
      </c>
      <c r="D278" s="172" t="s">
        <v>15</v>
      </c>
      <c r="E278" s="173">
        <v>42691</v>
      </c>
      <c r="F278" s="174">
        <v>44.891650599999998</v>
      </c>
      <c r="G278" s="175" t="s">
        <v>16</v>
      </c>
      <c r="H278" s="172" t="s">
        <v>17</v>
      </c>
      <c r="I278" s="175">
        <v>1</v>
      </c>
      <c r="J278" s="175" t="s">
        <v>18</v>
      </c>
      <c r="K278" s="175" t="s">
        <v>57</v>
      </c>
      <c r="L278" s="172" t="s">
        <v>56</v>
      </c>
    </row>
    <row r="279" spans="1:12" x14ac:dyDescent="0.2">
      <c r="A279" s="172" t="s">
        <v>12</v>
      </c>
      <c r="B279" s="172" t="s">
        <v>13</v>
      </c>
      <c r="C279" s="172" t="s">
        <v>14</v>
      </c>
      <c r="D279" s="172" t="s">
        <v>15</v>
      </c>
      <c r="E279" s="173">
        <v>42691</v>
      </c>
      <c r="F279" s="176">
        <v>8573.6767920000002</v>
      </c>
      <c r="G279" s="175" t="s">
        <v>19</v>
      </c>
      <c r="H279" s="172" t="s">
        <v>17</v>
      </c>
      <c r="I279" s="175">
        <v>1</v>
      </c>
      <c r="J279" s="175" t="s">
        <v>18</v>
      </c>
      <c r="K279" s="175" t="s">
        <v>57</v>
      </c>
      <c r="L279" s="172" t="s">
        <v>56</v>
      </c>
    </row>
    <row r="280" spans="1:12" x14ac:dyDescent="0.2">
      <c r="A280" s="172" t="s">
        <v>12</v>
      </c>
      <c r="B280" s="172" t="s">
        <v>13</v>
      </c>
      <c r="C280" s="172" t="s">
        <v>14</v>
      </c>
      <c r="D280" s="172" t="s">
        <v>15</v>
      </c>
      <c r="E280" s="173">
        <v>42691</v>
      </c>
      <c r="F280" s="174">
        <v>33.491999999999997</v>
      </c>
      <c r="G280" s="175" t="s">
        <v>16</v>
      </c>
      <c r="H280" s="172" t="s">
        <v>20</v>
      </c>
      <c r="I280" s="175">
        <v>1</v>
      </c>
      <c r="J280" s="175" t="s">
        <v>18</v>
      </c>
      <c r="K280" s="175" t="s">
        <v>57</v>
      </c>
      <c r="L280" s="172" t="s">
        <v>56</v>
      </c>
    </row>
    <row r="281" spans="1:12" x14ac:dyDescent="0.2">
      <c r="A281" s="172" t="s">
        <v>12</v>
      </c>
      <c r="B281" s="172" t="s">
        <v>13</v>
      </c>
      <c r="C281" s="172" t="s">
        <v>14</v>
      </c>
      <c r="D281" s="172" t="s">
        <v>15</v>
      </c>
      <c r="E281" s="173">
        <v>42691</v>
      </c>
      <c r="F281" s="176">
        <v>6675.8263919000001</v>
      </c>
      <c r="G281" s="175" t="s">
        <v>19</v>
      </c>
      <c r="H281" s="172" t="s">
        <v>20</v>
      </c>
      <c r="I281" s="175">
        <v>1</v>
      </c>
      <c r="J281" s="175" t="s">
        <v>18</v>
      </c>
      <c r="K281" s="175" t="s">
        <v>57</v>
      </c>
      <c r="L281" s="172" t="s">
        <v>56</v>
      </c>
    </row>
    <row r="282" spans="1:12" x14ac:dyDescent="0.2">
      <c r="A282" s="172" t="s">
        <v>12</v>
      </c>
      <c r="B282" s="172" t="s">
        <v>13</v>
      </c>
      <c r="C282" s="172" t="s">
        <v>14</v>
      </c>
      <c r="D282" s="172" t="s">
        <v>15</v>
      </c>
      <c r="E282" s="173">
        <v>42681</v>
      </c>
      <c r="F282" s="174">
        <v>38.1155477</v>
      </c>
      <c r="G282" s="175" t="s">
        <v>16</v>
      </c>
      <c r="H282" s="172" t="s">
        <v>17</v>
      </c>
      <c r="I282" s="175">
        <v>1</v>
      </c>
      <c r="J282" s="175" t="s">
        <v>18</v>
      </c>
      <c r="K282" s="175" t="s">
        <v>57</v>
      </c>
      <c r="L282" s="172" t="s">
        <v>56</v>
      </c>
    </row>
    <row r="283" spans="1:12" x14ac:dyDescent="0.2">
      <c r="A283" s="172" t="s">
        <v>12</v>
      </c>
      <c r="B283" s="172" t="s">
        <v>13</v>
      </c>
      <c r="C283" s="172" t="s">
        <v>14</v>
      </c>
      <c r="D283" s="172" t="s">
        <v>15</v>
      </c>
      <c r="E283" s="173">
        <v>42681</v>
      </c>
      <c r="F283" s="176">
        <v>7660.9963979000004</v>
      </c>
      <c r="G283" s="175" t="s">
        <v>19</v>
      </c>
      <c r="H283" s="172" t="s">
        <v>17</v>
      </c>
      <c r="I283" s="175">
        <v>1</v>
      </c>
      <c r="J283" s="175" t="s">
        <v>18</v>
      </c>
      <c r="K283" s="175" t="s">
        <v>57</v>
      </c>
      <c r="L283" s="172" t="s">
        <v>56</v>
      </c>
    </row>
    <row r="284" spans="1:12" x14ac:dyDescent="0.2">
      <c r="A284" s="172" t="s">
        <v>12</v>
      </c>
      <c r="B284" s="172" t="s">
        <v>13</v>
      </c>
      <c r="C284" s="172" t="s">
        <v>14</v>
      </c>
      <c r="D284" s="172" t="s">
        <v>15</v>
      </c>
      <c r="E284" s="173">
        <v>42681</v>
      </c>
      <c r="F284" s="174">
        <v>31.704999999999998</v>
      </c>
      <c r="G284" s="175" t="s">
        <v>16</v>
      </c>
      <c r="H284" s="172" t="s">
        <v>20</v>
      </c>
      <c r="I284" s="175">
        <v>1</v>
      </c>
      <c r="J284" s="175" t="s">
        <v>18</v>
      </c>
      <c r="K284" s="175" t="s">
        <v>57</v>
      </c>
      <c r="L284" s="172" t="s">
        <v>56</v>
      </c>
    </row>
    <row r="285" spans="1:12" x14ac:dyDescent="0.2">
      <c r="A285" s="172" t="s">
        <v>12</v>
      </c>
      <c r="B285" s="172" t="s">
        <v>13</v>
      </c>
      <c r="C285" s="172" t="s">
        <v>14</v>
      </c>
      <c r="D285" s="172" t="s">
        <v>15</v>
      </c>
      <c r="E285" s="173">
        <v>42681</v>
      </c>
      <c r="F285" s="176">
        <v>6636.9344699000003</v>
      </c>
      <c r="G285" s="175" t="s">
        <v>19</v>
      </c>
      <c r="H285" s="172" t="s">
        <v>20</v>
      </c>
      <c r="I285" s="175">
        <v>1</v>
      </c>
      <c r="J285" s="175" t="s">
        <v>18</v>
      </c>
      <c r="K285" s="175" t="s">
        <v>57</v>
      </c>
      <c r="L285" s="172" t="s">
        <v>56</v>
      </c>
    </row>
    <row r="286" spans="1:12" x14ac:dyDescent="0.2">
      <c r="A286" s="172" t="s">
        <v>12</v>
      </c>
      <c r="B286" s="172" t="s">
        <v>13</v>
      </c>
      <c r="C286" s="172" t="s">
        <v>14</v>
      </c>
      <c r="D286" s="172" t="s">
        <v>15</v>
      </c>
      <c r="E286" s="173">
        <v>42678</v>
      </c>
      <c r="F286" s="174">
        <v>24.507643399999999</v>
      </c>
      <c r="G286" s="175" t="s">
        <v>16</v>
      </c>
      <c r="H286" s="172" t="s">
        <v>17</v>
      </c>
      <c r="I286" s="175">
        <v>1</v>
      </c>
      <c r="J286" s="175" t="s">
        <v>18</v>
      </c>
      <c r="K286" s="175" t="s">
        <v>57</v>
      </c>
      <c r="L286" s="172" t="s">
        <v>56</v>
      </c>
    </row>
    <row r="287" spans="1:12" x14ac:dyDescent="0.2">
      <c r="A287" s="172" t="s">
        <v>12</v>
      </c>
      <c r="B287" s="172" t="s">
        <v>13</v>
      </c>
      <c r="C287" s="172" t="s">
        <v>14</v>
      </c>
      <c r="D287" s="172" t="s">
        <v>15</v>
      </c>
      <c r="E287" s="173">
        <v>42678</v>
      </c>
      <c r="F287" s="176">
        <v>5273.3586478999996</v>
      </c>
      <c r="G287" s="175" t="s">
        <v>19</v>
      </c>
      <c r="H287" s="172" t="s">
        <v>17</v>
      </c>
      <c r="I287" s="175">
        <v>1</v>
      </c>
      <c r="J287" s="175" t="s">
        <v>18</v>
      </c>
      <c r="K287" s="175" t="s">
        <v>57</v>
      </c>
      <c r="L287" s="172" t="s">
        <v>56</v>
      </c>
    </row>
    <row r="288" spans="1:12" x14ac:dyDescent="0.2">
      <c r="A288" s="172" t="s">
        <v>12</v>
      </c>
      <c r="B288" s="172" t="s">
        <v>13</v>
      </c>
      <c r="C288" s="172" t="s">
        <v>14</v>
      </c>
      <c r="D288" s="172" t="s">
        <v>15</v>
      </c>
      <c r="E288" s="173">
        <v>42678</v>
      </c>
      <c r="F288" s="174">
        <v>29.936</v>
      </c>
      <c r="G288" s="175" t="s">
        <v>16</v>
      </c>
      <c r="H288" s="172" t="s">
        <v>20</v>
      </c>
      <c r="I288" s="175">
        <v>1</v>
      </c>
      <c r="J288" s="175" t="s">
        <v>18</v>
      </c>
      <c r="K288" s="175" t="s">
        <v>57</v>
      </c>
      <c r="L288" s="172" t="s">
        <v>56</v>
      </c>
    </row>
    <row r="289" spans="1:12" x14ac:dyDescent="0.2">
      <c r="A289" s="172" t="s">
        <v>12</v>
      </c>
      <c r="B289" s="172" t="s">
        <v>13</v>
      </c>
      <c r="C289" s="172" t="s">
        <v>14</v>
      </c>
      <c r="D289" s="172" t="s">
        <v>15</v>
      </c>
      <c r="E289" s="173">
        <v>42678</v>
      </c>
      <c r="F289" s="176">
        <v>6416.4223679999996</v>
      </c>
      <c r="G289" s="175" t="s">
        <v>19</v>
      </c>
      <c r="H289" s="172" t="s">
        <v>20</v>
      </c>
      <c r="I289" s="175">
        <v>1</v>
      </c>
      <c r="J289" s="175" t="s">
        <v>18</v>
      </c>
      <c r="K289" s="175" t="s">
        <v>57</v>
      </c>
      <c r="L289" s="172" t="s">
        <v>56</v>
      </c>
    </row>
    <row r="290" spans="1:12" x14ac:dyDescent="0.2">
      <c r="A290" s="172" t="s">
        <v>12</v>
      </c>
      <c r="B290" s="172" t="s">
        <v>13</v>
      </c>
      <c r="C290" s="172" t="s">
        <v>14</v>
      </c>
      <c r="D290" s="172" t="s">
        <v>15</v>
      </c>
      <c r="E290" s="173">
        <v>42670</v>
      </c>
      <c r="F290" s="174">
        <v>38.969819100000002</v>
      </c>
      <c r="G290" s="175" t="s">
        <v>16</v>
      </c>
      <c r="H290" s="172" t="s">
        <v>17</v>
      </c>
      <c r="I290" s="175">
        <v>1</v>
      </c>
      <c r="J290" s="175" t="s">
        <v>18</v>
      </c>
      <c r="K290" s="175" t="s">
        <v>57</v>
      </c>
      <c r="L290" s="172" t="s">
        <v>56</v>
      </c>
    </row>
    <row r="291" spans="1:12" x14ac:dyDescent="0.2">
      <c r="A291" s="172" t="s">
        <v>12</v>
      </c>
      <c r="B291" s="172" t="s">
        <v>13</v>
      </c>
      <c r="C291" s="172" t="s">
        <v>14</v>
      </c>
      <c r="D291" s="172" t="s">
        <v>15</v>
      </c>
      <c r="E291" s="173">
        <v>42670</v>
      </c>
      <c r="F291" s="176">
        <v>8807.7247138999992</v>
      </c>
      <c r="G291" s="175" t="s">
        <v>19</v>
      </c>
      <c r="H291" s="172" t="s">
        <v>17</v>
      </c>
      <c r="I291" s="175">
        <v>1</v>
      </c>
      <c r="J291" s="175" t="s">
        <v>18</v>
      </c>
      <c r="K291" s="175" t="s">
        <v>57</v>
      </c>
      <c r="L291" s="172" t="s">
        <v>56</v>
      </c>
    </row>
    <row r="292" spans="1:12" x14ac:dyDescent="0.2">
      <c r="A292" s="172" t="s">
        <v>12</v>
      </c>
      <c r="B292" s="172" t="s">
        <v>13</v>
      </c>
      <c r="C292" s="172" t="s">
        <v>14</v>
      </c>
      <c r="D292" s="172" t="s">
        <v>15</v>
      </c>
      <c r="E292" s="173">
        <v>42670</v>
      </c>
      <c r="F292" s="174">
        <v>49.8</v>
      </c>
      <c r="G292" s="175" t="s">
        <v>16</v>
      </c>
      <c r="H292" s="172" t="s">
        <v>20</v>
      </c>
      <c r="I292" s="175">
        <v>1</v>
      </c>
      <c r="J292" s="175" t="s">
        <v>18</v>
      </c>
      <c r="K292" s="175" t="s">
        <v>57</v>
      </c>
      <c r="L292" s="172" t="s">
        <v>56</v>
      </c>
    </row>
    <row r="293" spans="1:12" x14ac:dyDescent="0.2">
      <c r="A293" s="172" t="s">
        <v>12</v>
      </c>
      <c r="B293" s="172" t="s">
        <v>13</v>
      </c>
      <c r="C293" s="172" t="s">
        <v>14</v>
      </c>
      <c r="D293" s="172" t="s">
        <v>15</v>
      </c>
      <c r="E293" s="173">
        <v>42670</v>
      </c>
      <c r="F293" s="176">
        <v>10674.032399899999</v>
      </c>
      <c r="G293" s="175" t="s">
        <v>19</v>
      </c>
      <c r="H293" s="172" t="s">
        <v>20</v>
      </c>
      <c r="I293" s="175">
        <v>1</v>
      </c>
      <c r="J293" s="175" t="s">
        <v>18</v>
      </c>
      <c r="K293" s="175" t="s">
        <v>57</v>
      </c>
      <c r="L293" s="172" t="s">
        <v>56</v>
      </c>
    </row>
    <row r="294" spans="1:12" x14ac:dyDescent="0.2">
      <c r="A294" s="172" t="s">
        <v>12</v>
      </c>
      <c r="B294" s="172" t="s">
        <v>13</v>
      </c>
      <c r="C294" s="172" t="s">
        <v>14</v>
      </c>
      <c r="D294" s="172" t="s">
        <v>15</v>
      </c>
      <c r="E294" s="173">
        <v>42654</v>
      </c>
      <c r="F294" s="174">
        <v>24.844185299999999</v>
      </c>
      <c r="G294" s="175" t="s">
        <v>16</v>
      </c>
      <c r="H294" s="172" t="s">
        <v>17</v>
      </c>
      <c r="I294" s="175">
        <v>1</v>
      </c>
      <c r="J294" s="175" t="s">
        <v>18</v>
      </c>
      <c r="K294" s="175" t="s">
        <v>57</v>
      </c>
      <c r="L294" s="172" t="s">
        <v>56</v>
      </c>
    </row>
    <row r="295" spans="1:12" x14ac:dyDescent="0.2">
      <c r="A295" s="172" t="s">
        <v>12</v>
      </c>
      <c r="B295" s="172" t="s">
        <v>13</v>
      </c>
      <c r="C295" s="172" t="s">
        <v>14</v>
      </c>
      <c r="D295" s="172" t="s">
        <v>15</v>
      </c>
      <c r="E295" s="173">
        <v>42654</v>
      </c>
      <c r="F295" s="176">
        <v>6506.0958827000004</v>
      </c>
      <c r="G295" s="175" t="s">
        <v>19</v>
      </c>
      <c r="H295" s="172" t="s">
        <v>17</v>
      </c>
      <c r="I295" s="175">
        <v>1</v>
      </c>
      <c r="J295" s="175" t="s">
        <v>18</v>
      </c>
      <c r="K295" s="175" t="s">
        <v>57</v>
      </c>
      <c r="L295" s="172" t="s">
        <v>56</v>
      </c>
    </row>
    <row r="296" spans="1:12" x14ac:dyDescent="0.2">
      <c r="A296" s="172" t="s">
        <v>12</v>
      </c>
      <c r="B296" s="172" t="s">
        <v>13</v>
      </c>
      <c r="C296" s="172" t="s">
        <v>14</v>
      </c>
      <c r="D296" s="172" t="s">
        <v>15</v>
      </c>
      <c r="E296" s="173">
        <v>42654</v>
      </c>
      <c r="F296" s="174">
        <v>19.8729999</v>
      </c>
      <c r="G296" s="175" t="s">
        <v>16</v>
      </c>
      <c r="H296" s="172" t="s">
        <v>20</v>
      </c>
      <c r="I296" s="175">
        <v>1</v>
      </c>
      <c r="J296" s="175" t="s">
        <v>18</v>
      </c>
      <c r="K296" s="175" t="s">
        <v>57</v>
      </c>
      <c r="L296" s="172" t="s">
        <v>56</v>
      </c>
    </row>
    <row r="297" spans="1:12" x14ac:dyDescent="0.2">
      <c r="A297" s="172" t="s">
        <v>12</v>
      </c>
      <c r="B297" s="172" t="s">
        <v>13</v>
      </c>
      <c r="C297" s="172" t="s">
        <v>14</v>
      </c>
      <c r="D297" s="172" t="s">
        <v>15</v>
      </c>
      <c r="E297" s="173">
        <v>42654</v>
      </c>
      <c r="F297" s="176">
        <v>4027.5019259000001</v>
      </c>
      <c r="G297" s="175" t="s">
        <v>19</v>
      </c>
      <c r="H297" s="172" t="s">
        <v>20</v>
      </c>
      <c r="I297" s="175">
        <v>1</v>
      </c>
      <c r="J297" s="175" t="s">
        <v>18</v>
      </c>
      <c r="K297" s="175" t="s">
        <v>57</v>
      </c>
      <c r="L297" s="172" t="s">
        <v>56</v>
      </c>
    </row>
    <row r="298" spans="1:12" x14ac:dyDescent="0.2">
      <c r="A298" s="172" t="s">
        <v>12</v>
      </c>
      <c r="B298" s="172" t="s">
        <v>13</v>
      </c>
      <c r="C298" s="172" t="s">
        <v>14</v>
      </c>
      <c r="D298" s="172" t="s">
        <v>15</v>
      </c>
      <c r="E298" s="173">
        <v>42645</v>
      </c>
      <c r="F298" s="174">
        <v>17.388932799999999</v>
      </c>
      <c r="G298" s="175" t="s">
        <v>16</v>
      </c>
      <c r="H298" s="172" t="s">
        <v>17</v>
      </c>
      <c r="I298" s="175">
        <v>1</v>
      </c>
      <c r="J298" s="175" t="s">
        <v>18</v>
      </c>
      <c r="K298" s="175" t="s">
        <v>57</v>
      </c>
      <c r="L298" s="172" t="s">
        <v>56</v>
      </c>
    </row>
    <row r="299" spans="1:12" x14ac:dyDescent="0.2">
      <c r="A299" s="172" t="s">
        <v>12</v>
      </c>
      <c r="B299" s="172" t="s">
        <v>13</v>
      </c>
      <c r="C299" s="172" t="s">
        <v>14</v>
      </c>
      <c r="D299" s="172" t="s">
        <v>15</v>
      </c>
      <c r="E299" s="173">
        <v>42645</v>
      </c>
      <c r="F299" s="176">
        <v>6482.5594019999999</v>
      </c>
      <c r="G299" s="175" t="s">
        <v>19</v>
      </c>
      <c r="H299" s="172" t="s">
        <v>17</v>
      </c>
      <c r="I299" s="175">
        <v>1</v>
      </c>
      <c r="J299" s="175" t="s">
        <v>18</v>
      </c>
      <c r="K299" s="175" t="s">
        <v>57</v>
      </c>
      <c r="L299" s="172" t="s">
        <v>56</v>
      </c>
    </row>
    <row r="300" spans="1:12" x14ac:dyDescent="0.2">
      <c r="A300" s="172" t="s">
        <v>12</v>
      </c>
      <c r="B300" s="172" t="s">
        <v>13</v>
      </c>
      <c r="C300" s="172" t="s">
        <v>14</v>
      </c>
      <c r="D300" s="172" t="s">
        <v>15</v>
      </c>
      <c r="E300" s="173">
        <v>42645</v>
      </c>
      <c r="F300" s="174">
        <v>14.856999999999999</v>
      </c>
      <c r="G300" s="175" t="s">
        <v>16</v>
      </c>
      <c r="H300" s="172" t="s">
        <v>20</v>
      </c>
      <c r="I300" s="175">
        <v>1</v>
      </c>
      <c r="J300" s="175" t="s">
        <v>18</v>
      </c>
      <c r="K300" s="175" t="s">
        <v>57</v>
      </c>
      <c r="L300" s="172" t="s">
        <v>56</v>
      </c>
    </row>
    <row r="301" spans="1:12" x14ac:dyDescent="0.2">
      <c r="A301" s="172" t="s">
        <v>12</v>
      </c>
      <c r="B301" s="172" t="s">
        <v>13</v>
      </c>
      <c r="C301" s="172" t="s">
        <v>14</v>
      </c>
      <c r="D301" s="172" t="s">
        <v>15</v>
      </c>
      <c r="E301" s="173">
        <v>42645</v>
      </c>
      <c r="F301" s="176">
        <v>5451.92472</v>
      </c>
      <c r="G301" s="175" t="s">
        <v>19</v>
      </c>
      <c r="H301" s="172" t="s">
        <v>20</v>
      </c>
      <c r="I301" s="175">
        <v>1</v>
      </c>
      <c r="J301" s="175" t="s">
        <v>18</v>
      </c>
      <c r="K301" s="175" t="s">
        <v>57</v>
      </c>
      <c r="L301" s="172" t="s">
        <v>56</v>
      </c>
    </row>
    <row r="302" spans="1:12" x14ac:dyDescent="0.2">
      <c r="A302" s="172" t="s">
        <v>12</v>
      </c>
      <c r="B302" s="172" t="s">
        <v>13</v>
      </c>
      <c r="C302" s="172" t="s">
        <v>14</v>
      </c>
      <c r="D302" s="172" t="s">
        <v>15</v>
      </c>
      <c r="E302" s="173">
        <v>42638</v>
      </c>
      <c r="F302" s="174">
        <v>29.461090299999999</v>
      </c>
      <c r="G302" s="175" t="s">
        <v>16</v>
      </c>
      <c r="H302" s="172" t="s">
        <v>17</v>
      </c>
      <c r="I302" s="175">
        <v>1</v>
      </c>
      <c r="J302" s="175" t="s">
        <v>18</v>
      </c>
      <c r="K302" s="175" t="s">
        <v>57</v>
      </c>
      <c r="L302" s="172" t="s">
        <v>56</v>
      </c>
    </row>
    <row r="303" spans="1:12" x14ac:dyDescent="0.2">
      <c r="A303" s="172" t="s">
        <v>12</v>
      </c>
      <c r="B303" s="172" t="s">
        <v>13</v>
      </c>
      <c r="C303" s="172" t="s">
        <v>14</v>
      </c>
      <c r="D303" s="172" t="s">
        <v>15</v>
      </c>
      <c r="E303" s="173">
        <v>42638</v>
      </c>
      <c r="F303" s="176">
        <v>8427.6984360000006</v>
      </c>
      <c r="G303" s="175" t="s">
        <v>19</v>
      </c>
      <c r="H303" s="172" t="s">
        <v>17</v>
      </c>
      <c r="I303" s="175">
        <v>1</v>
      </c>
      <c r="J303" s="175" t="s">
        <v>18</v>
      </c>
      <c r="K303" s="175" t="s">
        <v>57</v>
      </c>
      <c r="L303" s="172" t="s">
        <v>56</v>
      </c>
    </row>
    <row r="304" spans="1:12" x14ac:dyDescent="0.2">
      <c r="A304" s="172" t="s">
        <v>12</v>
      </c>
      <c r="B304" s="172" t="s">
        <v>13</v>
      </c>
      <c r="C304" s="172" t="s">
        <v>14</v>
      </c>
      <c r="D304" s="172" t="s">
        <v>15</v>
      </c>
      <c r="E304" s="173">
        <v>42638</v>
      </c>
      <c r="F304" s="174">
        <v>24.14</v>
      </c>
      <c r="G304" s="175" t="s">
        <v>16</v>
      </c>
      <c r="H304" s="172" t="s">
        <v>20</v>
      </c>
      <c r="I304" s="175">
        <v>1</v>
      </c>
      <c r="J304" s="175" t="s">
        <v>18</v>
      </c>
      <c r="K304" s="175" t="s">
        <v>57</v>
      </c>
      <c r="L304" s="172" t="s">
        <v>56</v>
      </c>
    </row>
    <row r="305" spans="1:12" x14ac:dyDescent="0.2">
      <c r="A305" s="172" t="s">
        <v>12</v>
      </c>
      <c r="B305" s="172" t="s">
        <v>13</v>
      </c>
      <c r="C305" s="172" t="s">
        <v>14</v>
      </c>
      <c r="D305" s="172" t="s">
        <v>15</v>
      </c>
      <c r="E305" s="173">
        <v>42638</v>
      </c>
      <c r="F305" s="176">
        <v>6724.3418399000002</v>
      </c>
      <c r="G305" s="175" t="s">
        <v>19</v>
      </c>
      <c r="H305" s="172" t="s">
        <v>20</v>
      </c>
      <c r="I305" s="175">
        <v>1</v>
      </c>
      <c r="J305" s="175" t="s">
        <v>18</v>
      </c>
      <c r="K305" s="175" t="s">
        <v>57</v>
      </c>
      <c r="L305" s="172" t="s">
        <v>56</v>
      </c>
    </row>
    <row r="306" spans="1:12" x14ac:dyDescent="0.2">
      <c r="A306" s="172" t="s">
        <v>12</v>
      </c>
      <c r="B306" s="172" t="s">
        <v>13</v>
      </c>
      <c r="C306" s="172" t="s">
        <v>14</v>
      </c>
      <c r="D306" s="172" t="s">
        <v>15</v>
      </c>
      <c r="E306" s="173">
        <v>42631</v>
      </c>
      <c r="F306" s="174">
        <v>21.628637399999999</v>
      </c>
      <c r="G306" s="175" t="s">
        <v>16</v>
      </c>
      <c r="H306" s="172" t="s">
        <v>17</v>
      </c>
      <c r="I306" s="175">
        <v>1</v>
      </c>
      <c r="J306" s="175" t="s">
        <v>18</v>
      </c>
      <c r="K306" s="175" t="s">
        <v>57</v>
      </c>
      <c r="L306" s="172" t="s">
        <v>56</v>
      </c>
    </row>
    <row r="307" spans="1:12" x14ac:dyDescent="0.2">
      <c r="A307" s="172" t="s">
        <v>12</v>
      </c>
      <c r="B307" s="172" t="s">
        <v>13</v>
      </c>
      <c r="C307" s="172" t="s">
        <v>14</v>
      </c>
      <c r="D307" s="172" t="s">
        <v>15</v>
      </c>
      <c r="E307" s="173">
        <v>42631</v>
      </c>
      <c r="F307" s="176">
        <v>6169.0929958999996</v>
      </c>
      <c r="G307" s="175" t="s">
        <v>19</v>
      </c>
      <c r="H307" s="172" t="s">
        <v>17</v>
      </c>
      <c r="I307" s="175">
        <v>1</v>
      </c>
      <c r="J307" s="175" t="s">
        <v>18</v>
      </c>
      <c r="K307" s="175" t="s">
        <v>57</v>
      </c>
      <c r="L307" s="172" t="s">
        <v>56</v>
      </c>
    </row>
    <row r="308" spans="1:12" x14ac:dyDescent="0.2">
      <c r="A308" s="172" t="s">
        <v>12</v>
      </c>
      <c r="B308" s="172" t="s">
        <v>13</v>
      </c>
      <c r="C308" s="172" t="s">
        <v>14</v>
      </c>
      <c r="D308" s="172" t="s">
        <v>15</v>
      </c>
      <c r="E308" s="173">
        <v>42631</v>
      </c>
      <c r="F308" s="174">
        <v>20.693999999999999</v>
      </c>
      <c r="G308" s="175" t="s">
        <v>16</v>
      </c>
      <c r="H308" s="172" t="s">
        <v>20</v>
      </c>
      <c r="I308" s="175">
        <v>1</v>
      </c>
      <c r="J308" s="175" t="s">
        <v>18</v>
      </c>
      <c r="K308" s="175" t="s">
        <v>57</v>
      </c>
      <c r="L308" s="172" t="s">
        <v>56</v>
      </c>
    </row>
    <row r="309" spans="1:12" x14ac:dyDescent="0.2">
      <c r="A309" s="172" t="s">
        <v>12</v>
      </c>
      <c r="B309" s="172" t="s">
        <v>13</v>
      </c>
      <c r="C309" s="172" t="s">
        <v>14</v>
      </c>
      <c r="D309" s="172" t="s">
        <v>15</v>
      </c>
      <c r="E309" s="173">
        <v>42631</v>
      </c>
      <c r="F309" s="176">
        <v>5971.5434158999997</v>
      </c>
      <c r="G309" s="175" t="s">
        <v>19</v>
      </c>
      <c r="H309" s="172" t="s">
        <v>20</v>
      </c>
      <c r="I309" s="175">
        <v>1</v>
      </c>
      <c r="J309" s="175" t="s">
        <v>18</v>
      </c>
      <c r="K309" s="175" t="s">
        <v>57</v>
      </c>
      <c r="L309" s="172" t="s">
        <v>56</v>
      </c>
    </row>
    <row r="310" spans="1:12" x14ac:dyDescent="0.2">
      <c r="A310" s="172" t="s">
        <v>12</v>
      </c>
      <c r="B310" s="172" t="s">
        <v>13</v>
      </c>
      <c r="C310" s="172" t="s">
        <v>14</v>
      </c>
      <c r="D310" s="172" t="s">
        <v>15</v>
      </c>
      <c r="E310" s="173">
        <v>42624</v>
      </c>
      <c r="F310" s="174">
        <v>38.369089899999999</v>
      </c>
      <c r="G310" s="175" t="s">
        <v>16</v>
      </c>
      <c r="H310" s="172" t="s">
        <v>17</v>
      </c>
      <c r="I310" s="175">
        <v>1</v>
      </c>
      <c r="J310" s="175" t="s">
        <v>18</v>
      </c>
      <c r="K310" s="175" t="s">
        <v>57</v>
      </c>
      <c r="L310" s="172" t="s">
        <v>56</v>
      </c>
    </row>
    <row r="311" spans="1:12" x14ac:dyDescent="0.2">
      <c r="A311" s="172" t="s">
        <v>12</v>
      </c>
      <c r="B311" s="172" t="s">
        <v>13</v>
      </c>
      <c r="C311" s="172" t="s">
        <v>14</v>
      </c>
      <c r="D311" s="172" t="s">
        <v>15</v>
      </c>
      <c r="E311" s="173">
        <v>42624</v>
      </c>
      <c r="F311" s="176">
        <v>11743.934304</v>
      </c>
      <c r="G311" s="175" t="s">
        <v>19</v>
      </c>
      <c r="H311" s="172" t="s">
        <v>17</v>
      </c>
      <c r="I311" s="175">
        <v>1</v>
      </c>
      <c r="J311" s="175" t="s">
        <v>18</v>
      </c>
      <c r="K311" s="175" t="s">
        <v>57</v>
      </c>
      <c r="L311" s="172" t="s">
        <v>56</v>
      </c>
    </row>
    <row r="312" spans="1:12" x14ac:dyDescent="0.2">
      <c r="A312" s="172" t="s">
        <v>12</v>
      </c>
      <c r="B312" s="172" t="s">
        <v>13</v>
      </c>
      <c r="C312" s="172" t="s">
        <v>14</v>
      </c>
      <c r="D312" s="172" t="s">
        <v>15</v>
      </c>
      <c r="E312" s="173">
        <v>42624</v>
      </c>
      <c r="F312" s="174">
        <v>15.994999999999999</v>
      </c>
      <c r="G312" s="175" t="s">
        <v>16</v>
      </c>
      <c r="H312" s="172" t="s">
        <v>20</v>
      </c>
      <c r="I312" s="175">
        <v>1</v>
      </c>
      <c r="J312" s="175" t="s">
        <v>18</v>
      </c>
      <c r="K312" s="175" t="s">
        <v>57</v>
      </c>
      <c r="L312" s="172" t="s">
        <v>56</v>
      </c>
    </row>
    <row r="313" spans="1:12" x14ac:dyDescent="0.2">
      <c r="A313" s="172" t="s">
        <v>12</v>
      </c>
      <c r="B313" s="172" t="s">
        <v>13</v>
      </c>
      <c r="C313" s="172" t="s">
        <v>14</v>
      </c>
      <c r="D313" s="172" t="s">
        <v>15</v>
      </c>
      <c r="E313" s="173">
        <v>42624</v>
      </c>
      <c r="F313" s="176">
        <v>5069.1353999000003</v>
      </c>
      <c r="G313" s="175" t="s">
        <v>19</v>
      </c>
      <c r="H313" s="172" t="s">
        <v>20</v>
      </c>
      <c r="I313" s="175">
        <v>1</v>
      </c>
      <c r="J313" s="175" t="s">
        <v>18</v>
      </c>
      <c r="K313" s="175" t="s">
        <v>57</v>
      </c>
      <c r="L313" s="172" t="s">
        <v>56</v>
      </c>
    </row>
    <row r="314" spans="1:12" x14ac:dyDescent="0.2">
      <c r="A314" s="172" t="s">
        <v>12</v>
      </c>
      <c r="B314" s="172" t="s">
        <v>13</v>
      </c>
      <c r="C314" s="172" t="s">
        <v>14</v>
      </c>
      <c r="D314" s="172" t="s">
        <v>15</v>
      </c>
      <c r="E314" s="173">
        <v>42618</v>
      </c>
      <c r="F314" s="174">
        <v>27.236367000000001</v>
      </c>
      <c r="G314" s="175" t="s">
        <v>16</v>
      </c>
      <c r="H314" s="172" t="s">
        <v>17</v>
      </c>
      <c r="I314" s="175">
        <v>1</v>
      </c>
      <c r="J314" s="175" t="s">
        <v>18</v>
      </c>
      <c r="K314" s="175" t="s">
        <v>57</v>
      </c>
      <c r="L314" s="172" t="s">
        <v>56</v>
      </c>
    </row>
    <row r="315" spans="1:12" x14ac:dyDescent="0.2">
      <c r="A315" s="172" t="s">
        <v>12</v>
      </c>
      <c r="B315" s="172" t="s">
        <v>13</v>
      </c>
      <c r="C315" s="172" t="s">
        <v>14</v>
      </c>
      <c r="D315" s="172" t="s">
        <v>15</v>
      </c>
      <c r="E315" s="173">
        <v>42618</v>
      </c>
      <c r="F315" s="176">
        <v>8540.8889159999999</v>
      </c>
      <c r="G315" s="175" t="s">
        <v>19</v>
      </c>
      <c r="H315" s="172" t="s">
        <v>17</v>
      </c>
      <c r="I315" s="175">
        <v>1</v>
      </c>
      <c r="J315" s="175" t="s">
        <v>18</v>
      </c>
      <c r="K315" s="175" t="s">
        <v>57</v>
      </c>
      <c r="L315" s="172" t="s">
        <v>56</v>
      </c>
    </row>
    <row r="316" spans="1:12" x14ac:dyDescent="0.2">
      <c r="A316" s="172" t="s">
        <v>12</v>
      </c>
      <c r="B316" s="172" t="s">
        <v>13</v>
      </c>
      <c r="C316" s="172" t="s">
        <v>14</v>
      </c>
      <c r="D316" s="172" t="s">
        <v>15</v>
      </c>
      <c r="E316" s="173">
        <v>42618</v>
      </c>
      <c r="F316" s="174">
        <v>23.4719999</v>
      </c>
      <c r="G316" s="175" t="s">
        <v>16</v>
      </c>
      <c r="H316" s="172" t="s">
        <v>20</v>
      </c>
      <c r="I316" s="175">
        <v>1</v>
      </c>
      <c r="J316" s="175" t="s">
        <v>18</v>
      </c>
      <c r="K316" s="175" t="s">
        <v>57</v>
      </c>
      <c r="L316" s="172" t="s">
        <v>56</v>
      </c>
    </row>
    <row r="317" spans="1:12" x14ac:dyDescent="0.2">
      <c r="A317" s="172" t="s">
        <v>12</v>
      </c>
      <c r="B317" s="172" t="s">
        <v>13</v>
      </c>
      <c r="C317" s="172" t="s">
        <v>14</v>
      </c>
      <c r="D317" s="172" t="s">
        <v>15</v>
      </c>
      <c r="E317" s="173">
        <v>42618</v>
      </c>
      <c r="F317" s="176">
        <v>7614.9270718999996</v>
      </c>
      <c r="G317" s="175" t="s">
        <v>19</v>
      </c>
      <c r="H317" s="172" t="s">
        <v>20</v>
      </c>
      <c r="I317" s="175">
        <v>1</v>
      </c>
      <c r="J317" s="175" t="s">
        <v>18</v>
      </c>
      <c r="K317" s="175" t="s">
        <v>57</v>
      </c>
      <c r="L317" s="172" t="s">
        <v>56</v>
      </c>
    </row>
    <row r="318" spans="1:12" x14ac:dyDescent="0.2">
      <c r="A318" s="172" t="s">
        <v>12</v>
      </c>
      <c r="B318" s="172" t="s">
        <v>13</v>
      </c>
      <c r="C318" s="172" t="s">
        <v>14</v>
      </c>
      <c r="D318" s="172" t="s">
        <v>15</v>
      </c>
      <c r="E318" s="173">
        <v>42612</v>
      </c>
      <c r="F318" s="174">
        <v>14.602039</v>
      </c>
      <c r="G318" s="175" t="s">
        <v>16</v>
      </c>
      <c r="H318" s="172" t="s">
        <v>17</v>
      </c>
      <c r="I318" s="175">
        <v>1</v>
      </c>
      <c r="J318" s="175" t="s">
        <v>18</v>
      </c>
      <c r="K318" s="175" t="s">
        <v>57</v>
      </c>
      <c r="L318" s="172" t="s">
        <v>56</v>
      </c>
    </row>
    <row r="319" spans="1:12" x14ac:dyDescent="0.2">
      <c r="A319" s="172" t="s">
        <v>12</v>
      </c>
      <c r="B319" s="172" t="s">
        <v>13</v>
      </c>
      <c r="C319" s="172" t="s">
        <v>14</v>
      </c>
      <c r="D319" s="172" t="s">
        <v>15</v>
      </c>
      <c r="E319" s="173">
        <v>42612</v>
      </c>
      <c r="F319" s="176">
        <v>7489.5318360000001</v>
      </c>
      <c r="G319" s="175" t="s">
        <v>19</v>
      </c>
      <c r="H319" s="172" t="s">
        <v>17</v>
      </c>
      <c r="I319" s="175">
        <v>1</v>
      </c>
      <c r="J319" s="175" t="s">
        <v>18</v>
      </c>
      <c r="K319" s="175" t="s">
        <v>57</v>
      </c>
      <c r="L319" s="172" t="s">
        <v>56</v>
      </c>
    </row>
    <row r="320" spans="1:12" x14ac:dyDescent="0.2">
      <c r="A320" s="172" t="s">
        <v>12</v>
      </c>
      <c r="B320" s="172" t="s">
        <v>13</v>
      </c>
      <c r="C320" s="172" t="s">
        <v>14</v>
      </c>
      <c r="D320" s="172" t="s">
        <v>15</v>
      </c>
      <c r="E320" s="173">
        <v>42612</v>
      </c>
      <c r="F320" s="174">
        <v>14.7599999</v>
      </c>
      <c r="G320" s="175" t="s">
        <v>16</v>
      </c>
      <c r="H320" s="172" t="s">
        <v>20</v>
      </c>
      <c r="I320" s="175">
        <v>1</v>
      </c>
      <c r="J320" s="175" t="s">
        <v>18</v>
      </c>
      <c r="K320" s="175" t="s">
        <v>57</v>
      </c>
      <c r="L320" s="172" t="s">
        <v>56</v>
      </c>
    </row>
    <row r="321" spans="1:12" x14ac:dyDescent="0.2">
      <c r="A321" s="172" t="s">
        <v>12</v>
      </c>
      <c r="B321" s="172" t="s">
        <v>13</v>
      </c>
      <c r="C321" s="172" t="s">
        <v>14</v>
      </c>
      <c r="D321" s="172" t="s">
        <v>15</v>
      </c>
      <c r="E321" s="173">
        <v>42612</v>
      </c>
      <c r="F321" s="176">
        <v>5379.4000798999996</v>
      </c>
      <c r="G321" s="175" t="s">
        <v>19</v>
      </c>
      <c r="H321" s="172" t="s">
        <v>20</v>
      </c>
      <c r="I321" s="175">
        <v>1</v>
      </c>
      <c r="J321" s="175" t="s">
        <v>18</v>
      </c>
      <c r="K321" s="175" t="s">
        <v>57</v>
      </c>
      <c r="L321" s="172" t="s">
        <v>56</v>
      </c>
    </row>
    <row r="322" spans="1:12" x14ac:dyDescent="0.2">
      <c r="A322" s="172" t="s">
        <v>12</v>
      </c>
      <c r="B322" s="172" t="s">
        <v>13</v>
      </c>
      <c r="C322" s="172" t="s">
        <v>14</v>
      </c>
      <c r="D322" s="172" t="s">
        <v>15</v>
      </c>
      <c r="E322" s="173">
        <v>42603</v>
      </c>
      <c r="F322" s="174">
        <v>19.2401141</v>
      </c>
      <c r="G322" s="175" t="s">
        <v>16</v>
      </c>
      <c r="H322" s="172" t="s">
        <v>17</v>
      </c>
      <c r="I322" s="175">
        <v>1</v>
      </c>
      <c r="J322" s="175" t="s">
        <v>18</v>
      </c>
      <c r="K322" s="175" t="s">
        <v>57</v>
      </c>
      <c r="L322" s="172" t="s">
        <v>56</v>
      </c>
    </row>
    <row r="323" spans="1:12" x14ac:dyDescent="0.2">
      <c r="A323" s="172" t="s">
        <v>12</v>
      </c>
      <c r="B323" s="172" t="s">
        <v>13</v>
      </c>
      <c r="C323" s="172" t="s">
        <v>14</v>
      </c>
      <c r="D323" s="172" t="s">
        <v>15</v>
      </c>
      <c r="E323" s="173">
        <v>42603</v>
      </c>
      <c r="F323" s="176">
        <v>5905.0219079999997</v>
      </c>
      <c r="G323" s="175" t="s">
        <v>19</v>
      </c>
      <c r="H323" s="172" t="s">
        <v>17</v>
      </c>
      <c r="I323" s="175">
        <v>1</v>
      </c>
      <c r="J323" s="175" t="s">
        <v>18</v>
      </c>
      <c r="K323" s="175" t="s">
        <v>57</v>
      </c>
      <c r="L323" s="172" t="s">
        <v>56</v>
      </c>
    </row>
    <row r="324" spans="1:12" x14ac:dyDescent="0.2">
      <c r="A324" s="172" t="s">
        <v>12</v>
      </c>
      <c r="B324" s="172" t="s">
        <v>13</v>
      </c>
      <c r="C324" s="172" t="s">
        <v>14</v>
      </c>
      <c r="D324" s="172" t="s">
        <v>15</v>
      </c>
      <c r="E324" s="173">
        <v>42603</v>
      </c>
      <c r="F324" s="174">
        <v>16.959</v>
      </c>
      <c r="G324" s="175" t="s">
        <v>16</v>
      </c>
      <c r="H324" s="172" t="s">
        <v>20</v>
      </c>
      <c r="I324" s="175">
        <v>1</v>
      </c>
      <c r="J324" s="175" t="s">
        <v>18</v>
      </c>
      <c r="K324" s="175" t="s">
        <v>57</v>
      </c>
      <c r="L324" s="172" t="s">
        <v>56</v>
      </c>
    </row>
    <row r="325" spans="1:12" x14ac:dyDescent="0.2">
      <c r="A325" s="172" t="s">
        <v>12</v>
      </c>
      <c r="B325" s="172" t="s">
        <v>13</v>
      </c>
      <c r="C325" s="172" t="s">
        <v>14</v>
      </c>
      <c r="D325" s="172" t="s">
        <v>15</v>
      </c>
      <c r="E325" s="173">
        <v>42603</v>
      </c>
      <c r="F325" s="176">
        <v>5459.5091159000003</v>
      </c>
      <c r="G325" s="175" t="s">
        <v>19</v>
      </c>
      <c r="H325" s="172" t="s">
        <v>20</v>
      </c>
      <c r="I325" s="175">
        <v>1</v>
      </c>
      <c r="J325" s="175" t="s">
        <v>18</v>
      </c>
      <c r="K325" s="175" t="s">
        <v>57</v>
      </c>
      <c r="L325" s="172" t="s">
        <v>56</v>
      </c>
    </row>
    <row r="326" spans="1:12" x14ac:dyDescent="0.2">
      <c r="A326" s="172" t="s">
        <v>12</v>
      </c>
      <c r="B326" s="172" t="s">
        <v>13</v>
      </c>
      <c r="C326" s="172" t="s">
        <v>14</v>
      </c>
      <c r="D326" s="172" t="s">
        <v>15</v>
      </c>
      <c r="E326" s="173">
        <v>42596</v>
      </c>
      <c r="F326" s="174">
        <v>49.543034900000002</v>
      </c>
      <c r="G326" s="175" t="s">
        <v>16</v>
      </c>
      <c r="H326" s="172" t="s">
        <v>17</v>
      </c>
      <c r="I326" s="175">
        <v>1</v>
      </c>
      <c r="J326" s="175" t="s">
        <v>18</v>
      </c>
      <c r="K326" s="175" t="s">
        <v>57</v>
      </c>
      <c r="L326" s="172" t="s">
        <v>56</v>
      </c>
    </row>
    <row r="327" spans="1:12" x14ac:dyDescent="0.2">
      <c r="A327" s="172" t="s">
        <v>12</v>
      </c>
      <c r="B327" s="172" t="s">
        <v>13</v>
      </c>
      <c r="C327" s="172" t="s">
        <v>14</v>
      </c>
      <c r="D327" s="172" t="s">
        <v>15</v>
      </c>
      <c r="E327" s="173">
        <v>42596</v>
      </c>
      <c r="F327" s="178">
        <v>17725.804307900002</v>
      </c>
      <c r="G327" s="181" t="s">
        <v>19</v>
      </c>
      <c r="H327" s="182" t="s">
        <v>17</v>
      </c>
      <c r="I327" s="175">
        <v>1</v>
      </c>
      <c r="J327" s="175" t="s">
        <v>18</v>
      </c>
      <c r="K327" s="175" t="s">
        <v>57</v>
      </c>
      <c r="L327" s="172" t="s">
        <v>56</v>
      </c>
    </row>
    <row r="328" spans="1:12" x14ac:dyDescent="0.2">
      <c r="A328" s="172" t="s">
        <v>12</v>
      </c>
      <c r="B328" s="172" t="s">
        <v>13</v>
      </c>
      <c r="C328" s="172" t="s">
        <v>14</v>
      </c>
      <c r="D328" s="172" t="s">
        <v>15</v>
      </c>
      <c r="E328" s="173">
        <v>42596</v>
      </c>
      <c r="F328" s="174">
        <v>31.751999999999999</v>
      </c>
      <c r="G328" s="175" t="s">
        <v>16</v>
      </c>
      <c r="H328" s="172" t="s">
        <v>20</v>
      </c>
      <c r="I328" s="175">
        <v>1</v>
      </c>
      <c r="J328" s="175" t="s">
        <v>18</v>
      </c>
      <c r="K328" s="175" t="s">
        <v>57</v>
      </c>
      <c r="L328" s="172" t="s">
        <v>56</v>
      </c>
    </row>
    <row r="329" spans="1:12" x14ac:dyDescent="0.2">
      <c r="A329" s="172" t="s">
        <v>12</v>
      </c>
      <c r="B329" s="172" t="s">
        <v>13</v>
      </c>
      <c r="C329" s="172" t="s">
        <v>14</v>
      </c>
      <c r="D329" s="172" t="s">
        <v>15</v>
      </c>
      <c r="E329" s="173">
        <v>42596</v>
      </c>
      <c r="F329" s="176">
        <v>11201.534063999999</v>
      </c>
      <c r="G329" s="175" t="s">
        <v>19</v>
      </c>
      <c r="H329" s="172" t="s">
        <v>20</v>
      </c>
      <c r="I329" s="175">
        <v>1</v>
      </c>
      <c r="J329" s="175" t="s">
        <v>18</v>
      </c>
      <c r="K329" s="175" t="s">
        <v>57</v>
      </c>
      <c r="L329" s="172" t="s">
        <v>56</v>
      </c>
    </row>
    <row r="330" spans="1:12" x14ac:dyDescent="0.2">
      <c r="A330" s="172" t="s">
        <v>12</v>
      </c>
      <c r="B330" s="172" t="s">
        <v>13</v>
      </c>
      <c r="C330" s="172" t="s">
        <v>14</v>
      </c>
      <c r="D330" s="172" t="s">
        <v>15</v>
      </c>
      <c r="E330" s="173">
        <v>42589</v>
      </c>
      <c r="F330" s="174">
        <v>50.669695599999997</v>
      </c>
      <c r="G330" s="175" t="s">
        <v>16</v>
      </c>
      <c r="H330" s="172" t="s">
        <v>17</v>
      </c>
      <c r="I330" s="175">
        <v>1</v>
      </c>
      <c r="J330" s="175" t="s">
        <v>18</v>
      </c>
      <c r="K330" s="175" t="s">
        <v>57</v>
      </c>
      <c r="L330" s="172" t="s">
        <v>56</v>
      </c>
    </row>
    <row r="331" spans="1:12" x14ac:dyDescent="0.2">
      <c r="A331" s="172" t="s">
        <v>12</v>
      </c>
      <c r="B331" s="172" t="s">
        <v>13</v>
      </c>
      <c r="C331" s="172" t="s">
        <v>14</v>
      </c>
      <c r="D331" s="172" t="s">
        <v>15</v>
      </c>
      <c r="E331" s="173">
        <v>42589</v>
      </c>
      <c r="F331" s="176">
        <v>11663.353224</v>
      </c>
      <c r="G331" s="175" t="s">
        <v>19</v>
      </c>
      <c r="H331" s="172" t="s">
        <v>17</v>
      </c>
      <c r="I331" s="175">
        <v>1</v>
      </c>
      <c r="J331" s="175" t="s">
        <v>18</v>
      </c>
      <c r="K331" s="175" t="s">
        <v>57</v>
      </c>
      <c r="L331" s="172" t="s">
        <v>56</v>
      </c>
    </row>
    <row r="332" spans="1:12" x14ac:dyDescent="0.2">
      <c r="A332" s="172" t="s">
        <v>12</v>
      </c>
      <c r="B332" s="172" t="s">
        <v>13</v>
      </c>
      <c r="C332" s="172" t="s">
        <v>14</v>
      </c>
      <c r="D332" s="172" t="s">
        <v>15</v>
      </c>
      <c r="E332" s="173">
        <v>42589</v>
      </c>
      <c r="F332" s="174">
        <v>49.23</v>
      </c>
      <c r="G332" s="175" t="s">
        <v>16</v>
      </c>
      <c r="H332" s="172" t="s">
        <v>20</v>
      </c>
      <c r="I332" s="175">
        <v>1</v>
      </c>
      <c r="J332" s="175" t="s">
        <v>18</v>
      </c>
      <c r="K332" s="175" t="s">
        <v>57</v>
      </c>
      <c r="L332" s="172" t="s">
        <v>56</v>
      </c>
    </row>
    <row r="333" spans="1:12" x14ac:dyDescent="0.2">
      <c r="A333" s="172" t="s">
        <v>12</v>
      </c>
      <c r="B333" s="172" t="s">
        <v>13</v>
      </c>
      <c r="C333" s="172" t="s">
        <v>14</v>
      </c>
      <c r="D333" s="172" t="s">
        <v>15</v>
      </c>
      <c r="E333" s="173">
        <v>42589</v>
      </c>
      <c r="F333" s="176">
        <v>12727.924199999999</v>
      </c>
      <c r="G333" s="175" t="s">
        <v>19</v>
      </c>
      <c r="H333" s="172" t="s">
        <v>20</v>
      </c>
      <c r="I333" s="175">
        <v>1</v>
      </c>
      <c r="J333" s="175" t="s">
        <v>18</v>
      </c>
      <c r="K333" s="175" t="s">
        <v>57</v>
      </c>
      <c r="L333" s="172" t="s">
        <v>56</v>
      </c>
    </row>
    <row r="334" spans="1:12" x14ac:dyDescent="0.2">
      <c r="A334" s="172" t="s">
        <v>12</v>
      </c>
      <c r="B334" s="172" t="s">
        <v>13</v>
      </c>
      <c r="C334" s="172" t="s">
        <v>14</v>
      </c>
      <c r="D334" s="172" t="s">
        <v>15</v>
      </c>
      <c r="E334" s="173">
        <v>42583</v>
      </c>
      <c r="F334" s="174">
        <v>43.399843099999998</v>
      </c>
      <c r="G334" s="175" t="s">
        <v>16</v>
      </c>
      <c r="H334" s="172" t="s">
        <v>17</v>
      </c>
      <c r="I334" s="175">
        <v>1</v>
      </c>
      <c r="J334" s="175" t="s">
        <v>18</v>
      </c>
      <c r="K334" s="175" t="s">
        <v>57</v>
      </c>
      <c r="L334" s="172" t="s">
        <v>56</v>
      </c>
    </row>
    <row r="335" spans="1:12" x14ac:dyDescent="0.2">
      <c r="A335" s="172" t="s">
        <v>12</v>
      </c>
      <c r="B335" s="172" t="s">
        <v>13</v>
      </c>
      <c r="C335" s="172" t="s">
        <v>14</v>
      </c>
      <c r="D335" s="172" t="s">
        <v>15</v>
      </c>
      <c r="E335" s="173">
        <v>42583</v>
      </c>
      <c r="F335" s="176">
        <v>11075.813568</v>
      </c>
      <c r="G335" s="175" t="s">
        <v>19</v>
      </c>
      <c r="H335" s="172" t="s">
        <v>17</v>
      </c>
      <c r="I335" s="175">
        <v>1</v>
      </c>
      <c r="J335" s="175" t="s">
        <v>18</v>
      </c>
      <c r="K335" s="175" t="s">
        <v>57</v>
      </c>
      <c r="L335" s="172" t="s">
        <v>56</v>
      </c>
    </row>
    <row r="336" spans="1:12" x14ac:dyDescent="0.2">
      <c r="A336" s="172" t="s">
        <v>12</v>
      </c>
      <c r="B336" s="172" t="s">
        <v>13</v>
      </c>
      <c r="C336" s="172" t="s">
        <v>14</v>
      </c>
      <c r="D336" s="172" t="s">
        <v>15</v>
      </c>
      <c r="E336" s="173">
        <v>42583</v>
      </c>
      <c r="F336" s="174">
        <v>38.873999900000001</v>
      </c>
      <c r="G336" s="175" t="s">
        <v>16</v>
      </c>
      <c r="H336" s="172" t="s">
        <v>20</v>
      </c>
      <c r="I336" s="175">
        <v>1</v>
      </c>
      <c r="J336" s="175" t="s">
        <v>18</v>
      </c>
      <c r="K336" s="175" t="s">
        <v>57</v>
      </c>
      <c r="L336" s="172" t="s">
        <v>56</v>
      </c>
    </row>
    <row r="337" spans="1:12" x14ac:dyDescent="0.2">
      <c r="A337" s="172" t="s">
        <v>12</v>
      </c>
      <c r="B337" s="172" t="s">
        <v>13</v>
      </c>
      <c r="C337" s="172" t="s">
        <v>14</v>
      </c>
      <c r="D337" s="172" t="s">
        <v>15</v>
      </c>
      <c r="E337" s="173">
        <v>42583</v>
      </c>
      <c r="F337" s="176">
        <v>11023.1114399</v>
      </c>
      <c r="G337" s="175" t="s">
        <v>19</v>
      </c>
      <c r="H337" s="172" t="s">
        <v>20</v>
      </c>
      <c r="I337" s="175">
        <v>1</v>
      </c>
      <c r="J337" s="175" t="s">
        <v>18</v>
      </c>
      <c r="K337" s="175" t="s">
        <v>57</v>
      </c>
      <c r="L337" s="172" t="s">
        <v>56</v>
      </c>
    </row>
    <row r="338" spans="1:12" x14ac:dyDescent="0.2">
      <c r="A338" s="172" t="s">
        <v>12</v>
      </c>
      <c r="B338" s="172" t="s">
        <v>13</v>
      </c>
      <c r="C338" s="172" t="s">
        <v>14</v>
      </c>
      <c r="D338" s="172" t="s">
        <v>15</v>
      </c>
      <c r="E338" s="173">
        <v>42577</v>
      </c>
      <c r="F338" s="174">
        <v>37.599285700000003</v>
      </c>
      <c r="G338" s="175" t="s">
        <v>16</v>
      </c>
      <c r="H338" s="172" t="s">
        <v>17</v>
      </c>
      <c r="I338" s="175">
        <v>1</v>
      </c>
      <c r="J338" s="175" t="s">
        <v>18</v>
      </c>
      <c r="K338" s="175" t="s">
        <v>57</v>
      </c>
      <c r="L338" s="172" t="s">
        <v>56</v>
      </c>
    </row>
    <row r="339" spans="1:12" x14ac:dyDescent="0.2">
      <c r="A339" s="172" t="s">
        <v>12</v>
      </c>
      <c r="B339" s="172" t="s">
        <v>13</v>
      </c>
      <c r="C339" s="172" t="s">
        <v>14</v>
      </c>
      <c r="D339" s="172" t="s">
        <v>15</v>
      </c>
      <c r="E339" s="173">
        <v>42577</v>
      </c>
      <c r="F339" s="176">
        <v>10975.2315</v>
      </c>
      <c r="G339" s="175" t="s">
        <v>19</v>
      </c>
      <c r="H339" s="172" t="s">
        <v>17</v>
      </c>
      <c r="I339" s="175">
        <v>1</v>
      </c>
      <c r="J339" s="175" t="s">
        <v>18</v>
      </c>
      <c r="K339" s="175" t="s">
        <v>57</v>
      </c>
      <c r="L339" s="172" t="s">
        <v>56</v>
      </c>
    </row>
    <row r="340" spans="1:12" x14ac:dyDescent="0.2">
      <c r="A340" s="172" t="s">
        <v>12</v>
      </c>
      <c r="B340" s="172" t="s">
        <v>13</v>
      </c>
      <c r="C340" s="172" t="s">
        <v>14</v>
      </c>
      <c r="D340" s="172" t="s">
        <v>15</v>
      </c>
      <c r="E340" s="173">
        <v>42577</v>
      </c>
      <c r="F340" s="174">
        <v>47.91</v>
      </c>
      <c r="G340" s="175" t="s">
        <v>16</v>
      </c>
      <c r="H340" s="172" t="s">
        <v>20</v>
      </c>
      <c r="I340" s="175">
        <v>1</v>
      </c>
      <c r="J340" s="175" t="s">
        <v>18</v>
      </c>
      <c r="K340" s="175" t="s">
        <v>57</v>
      </c>
      <c r="L340" s="172" t="s">
        <v>56</v>
      </c>
    </row>
    <row r="341" spans="1:12" x14ac:dyDescent="0.2">
      <c r="A341" s="172" t="s">
        <v>12</v>
      </c>
      <c r="B341" s="172" t="s">
        <v>13</v>
      </c>
      <c r="C341" s="172" t="s">
        <v>14</v>
      </c>
      <c r="D341" s="172" t="s">
        <v>15</v>
      </c>
      <c r="E341" s="173">
        <v>42577</v>
      </c>
      <c r="F341" s="176">
        <v>15543.249659900001</v>
      </c>
      <c r="G341" s="175" t="s">
        <v>19</v>
      </c>
      <c r="H341" s="172" t="s">
        <v>20</v>
      </c>
      <c r="I341" s="175">
        <v>1</v>
      </c>
      <c r="J341" s="175" t="s">
        <v>18</v>
      </c>
      <c r="K341" s="175" t="s">
        <v>57</v>
      </c>
      <c r="L341" s="172" t="s">
        <v>56</v>
      </c>
    </row>
    <row r="342" spans="1:12" x14ac:dyDescent="0.2">
      <c r="A342" s="172" t="s">
        <v>12</v>
      </c>
      <c r="B342" s="172" t="s">
        <v>13</v>
      </c>
      <c r="C342" s="172" t="s">
        <v>14</v>
      </c>
      <c r="D342" s="172" t="s">
        <v>15</v>
      </c>
      <c r="E342" s="173">
        <v>42568</v>
      </c>
      <c r="F342" s="174">
        <v>28.007256399999999</v>
      </c>
      <c r="G342" s="175" t="s">
        <v>16</v>
      </c>
      <c r="H342" s="172" t="s">
        <v>17</v>
      </c>
      <c r="I342" s="175">
        <v>1</v>
      </c>
      <c r="J342" s="175" t="s">
        <v>18</v>
      </c>
      <c r="K342" s="175" t="s">
        <v>57</v>
      </c>
      <c r="L342" s="172" t="s">
        <v>56</v>
      </c>
    </row>
    <row r="343" spans="1:12" x14ac:dyDescent="0.2">
      <c r="A343" s="172" t="s">
        <v>12</v>
      </c>
      <c r="B343" s="172" t="s">
        <v>13</v>
      </c>
      <c r="C343" s="172" t="s">
        <v>14</v>
      </c>
      <c r="D343" s="172" t="s">
        <v>15</v>
      </c>
      <c r="E343" s="173">
        <v>42568</v>
      </c>
      <c r="F343" s="176">
        <v>7194.27999</v>
      </c>
      <c r="G343" s="175" t="s">
        <v>19</v>
      </c>
      <c r="H343" s="172" t="s">
        <v>17</v>
      </c>
      <c r="I343" s="175">
        <v>1</v>
      </c>
      <c r="J343" s="175" t="s">
        <v>18</v>
      </c>
      <c r="K343" s="175" t="s">
        <v>57</v>
      </c>
      <c r="L343" s="172" t="s">
        <v>56</v>
      </c>
    </row>
    <row r="344" spans="1:12" x14ac:dyDescent="0.2">
      <c r="A344" s="172" t="s">
        <v>12</v>
      </c>
      <c r="B344" s="172" t="s">
        <v>13</v>
      </c>
      <c r="C344" s="172" t="s">
        <v>14</v>
      </c>
      <c r="D344" s="172" t="s">
        <v>15</v>
      </c>
      <c r="E344" s="173">
        <v>42568</v>
      </c>
      <c r="F344" s="174">
        <v>16.030999999999999</v>
      </c>
      <c r="G344" s="175" t="s">
        <v>16</v>
      </c>
      <c r="H344" s="172" t="s">
        <v>20</v>
      </c>
      <c r="I344" s="175">
        <v>1</v>
      </c>
      <c r="J344" s="175" t="s">
        <v>18</v>
      </c>
      <c r="K344" s="175" t="s">
        <v>57</v>
      </c>
      <c r="L344" s="172" t="s">
        <v>56</v>
      </c>
    </row>
    <row r="345" spans="1:12" x14ac:dyDescent="0.2">
      <c r="A345" s="172" t="s">
        <v>12</v>
      </c>
      <c r="B345" s="172" t="s">
        <v>13</v>
      </c>
      <c r="C345" s="172" t="s">
        <v>14</v>
      </c>
      <c r="D345" s="172" t="s">
        <v>15</v>
      </c>
      <c r="E345" s="173">
        <v>42568</v>
      </c>
      <c r="F345" s="176">
        <v>4465.5312359999998</v>
      </c>
      <c r="G345" s="175" t="s">
        <v>19</v>
      </c>
      <c r="H345" s="172" t="s">
        <v>20</v>
      </c>
      <c r="I345" s="175">
        <v>1</v>
      </c>
      <c r="J345" s="175" t="s">
        <v>18</v>
      </c>
      <c r="K345" s="175" t="s">
        <v>57</v>
      </c>
      <c r="L345" s="172" t="s">
        <v>56</v>
      </c>
    </row>
    <row r="346" spans="1:12" x14ac:dyDescent="0.2">
      <c r="A346" s="172" t="s">
        <v>12</v>
      </c>
      <c r="B346" s="172" t="s">
        <v>13</v>
      </c>
      <c r="C346" s="172" t="s">
        <v>14</v>
      </c>
      <c r="D346" s="172" t="s">
        <v>15</v>
      </c>
      <c r="E346" s="173">
        <v>42564</v>
      </c>
      <c r="F346" s="174">
        <v>26.162720100000001</v>
      </c>
      <c r="G346" s="175" t="s">
        <v>16</v>
      </c>
      <c r="H346" s="172" t="s">
        <v>17</v>
      </c>
      <c r="I346" s="175">
        <v>1</v>
      </c>
      <c r="J346" s="175" t="s">
        <v>18</v>
      </c>
      <c r="K346" s="175" t="s">
        <v>57</v>
      </c>
      <c r="L346" s="172" t="s">
        <v>56</v>
      </c>
    </row>
    <row r="347" spans="1:12" x14ac:dyDescent="0.2">
      <c r="A347" s="172" t="s">
        <v>12</v>
      </c>
      <c r="B347" s="172" t="s">
        <v>13</v>
      </c>
      <c r="C347" s="172" t="s">
        <v>14</v>
      </c>
      <c r="D347" s="172" t="s">
        <v>15</v>
      </c>
      <c r="E347" s="173">
        <v>42564</v>
      </c>
      <c r="F347" s="176">
        <v>6938.6673300000002</v>
      </c>
      <c r="G347" s="175" t="s">
        <v>19</v>
      </c>
      <c r="H347" s="172" t="s">
        <v>17</v>
      </c>
      <c r="I347" s="175">
        <v>1</v>
      </c>
      <c r="J347" s="175" t="s">
        <v>18</v>
      </c>
      <c r="K347" s="175" t="s">
        <v>57</v>
      </c>
      <c r="L347" s="172" t="s">
        <v>56</v>
      </c>
    </row>
    <row r="348" spans="1:12" x14ac:dyDescent="0.2">
      <c r="A348" s="172" t="s">
        <v>12</v>
      </c>
      <c r="B348" s="172" t="s">
        <v>13</v>
      </c>
      <c r="C348" s="172" t="s">
        <v>14</v>
      </c>
      <c r="D348" s="172" t="s">
        <v>15</v>
      </c>
      <c r="E348" s="173">
        <v>42564</v>
      </c>
      <c r="F348" s="174">
        <v>30.552</v>
      </c>
      <c r="G348" s="175" t="s">
        <v>16</v>
      </c>
      <c r="H348" s="172" t="s">
        <v>20</v>
      </c>
      <c r="I348" s="175">
        <v>1</v>
      </c>
      <c r="J348" s="175" t="s">
        <v>18</v>
      </c>
      <c r="K348" s="175" t="s">
        <v>57</v>
      </c>
      <c r="L348" s="172" t="s">
        <v>56</v>
      </c>
    </row>
    <row r="349" spans="1:12" x14ac:dyDescent="0.2">
      <c r="A349" s="172" t="s">
        <v>12</v>
      </c>
      <c r="B349" s="172" t="s">
        <v>13</v>
      </c>
      <c r="C349" s="172" t="s">
        <v>14</v>
      </c>
      <c r="D349" s="172" t="s">
        <v>15</v>
      </c>
      <c r="E349" s="173">
        <v>42564</v>
      </c>
      <c r="F349" s="176">
        <v>8739.7662239000001</v>
      </c>
      <c r="G349" s="175" t="s">
        <v>19</v>
      </c>
      <c r="H349" s="172" t="s">
        <v>20</v>
      </c>
      <c r="I349" s="175">
        <v>1</v>
      </c>
      <c r="J349" s="175" t="s">
        <v>18</v>
      </c>
      <c r="K349" s="175" t="s">
        <v>57</v>
      </c>
      <c r="L349" s="172" t="s">
        <v>56</v>
      </c>
    </row>
    <row r="350" spans="1:12" x14ac:dyDescent="0.2">
      <c r="A350" s="172" t="s">
        <v>12</v>
      </c>
      <c r="B350" s="172" t="s">
        <v>13</v>
      </c>
      <c r="C350" s="172" t="s">
        <v>14</v>
      </c>
      <c r="D350" s="172" t="s">
        <v>15</v>
      </c>
      <c r="E350" s="173">
        <v>42558</v>
      </c>
      <c r="F350" s="174">
        <v>17.875945699999999</v>
      </c>
      <c r="G350" s="175" t="s">
        <v>16</v>
      </c>
      <c r="H350" s="172" t="s">
        <v>17</v>
      </c>
      <c r="I350" s="175">
        <v>1</v>
      </c>
      <c r="J350" s="175" t="s">
        <v>18</v>
      </c>
      <c r="K350" s="175" t="s">
        <v>57</v>
      </c>
      <c r="L350" s="172" t="s">
        <v>56</v>
      </c>
    </row>
    <row r="351" spans="1:12" x14ac:dyDescent="0.2">
      <c r="A351" s="172" t="s">
        <v>12</v>
      </c>
      <c r="B351" s="172" t="s">
        <v>13</v>
      </c>
      <c r="C351" s="172" t="s">
        <v>14</v>
      </c>
      <c r="D351" s="172" t="s">
        <v>15</v>
      </c>
      <c r="E351" s="173">
        <v>42558</v>
      </c>
      <c r="F351" s="176">
        <v>5769.6044940000002</v>
      </c>
      <c r="G351" s="175" t="s">
        <v>19</v>
      </c>
      <c r="H351" s="172" t="s">
        <v>17</v>
      </c>
      <c r="I351" s="175">
        <v>1</v>
      </c>
      <c r="J351" s="175" t="s">
        <v>18</v>
      </c>
      <c r="K351" s="175" t="s">
        <v>57</v>
      </c>
      <c r="L351" s="172" t="s">
        <v>56</v>
      </c>
    </row>
    <row r="352" spans="1:12" x14ac:dyDescent="0.2">
      <c r="A352" s="172" t="s">
        <v>12</v>
      </c>
      <c r="B352" s="172" t="s">
        <v>13</v>
      </c>
      <c r="C352" s="172" t="s">
        <v>14</v>
      </c>
      <c r="D352" s="172" t="s">
        <v>15</v>
      </c>
      <c r="E352" s="173">
        <v>42558</v>
      </c>
      <c r="F352" s="174">
        <v>13.696999999999999</v>
      </c>
      <c r="G352" s="175" t="s">
        <v>16</v>
      </c>
      <c r="H352" s="172" t="s">
        <v>20</v>
      </c>
      <c r="I352" s="175">
        <v>1</v>
      </c>
      <c r="J352" s="175" t="s">
        <v>18</v>
      </c>
      <c r="K352" s="175" t="s">
        <v>57</v>
      </c>
      <c r="L352" s="172" t="s">
        <v>56</v>
      </c>
    </row>
    <row r="353" spans="1:12" x14ac:dyDescent="0.2">
      <c r="A353" s="172" t="s">
        <v>12</v>
      </c>
      <c r="B353" s="172" t="s">
        <v>13</v>
      </c>
      <c r="C353" s="172" t="s">
        <v>14</v>
      </c>
      <c r="D353" s="172" t="s">
        <v>15</v>
      </c>
      <c r="E353" s="173">
        <v>42558</v>
      </c>
      <c r="F353" s="176">
        <v>4786.3618618999999</v>
      </c>
      <c r="G353" s="175" t="s">
        <v>19</v>
      </c>
      <c r="H353" s="172" t="s">
        <v>20</v>
      </c>
      <c r="I353" s="175">
        <v>1</v>
      </c>
      <c r="J353" s="175" t="s">
        <v>18</v>
      </c>
      <c r="K353" s="175" t="s">
        <v>57</v>
      </c>
      <c r="L353" s="172" t="s">
        <v>56</v>
      </c>
    </row>
    <row r="354" spans="1:12" x14ac:dyDescent="0.2">
      <c r="A354" s="172" t="s">
        <v>12</v>
      </c>
      <c r="B354" s="172" t="s">
        <v>13</v>
      </c>
      <c r="C354" s="172" t="s">
        <v>14</v>
      </c>
      <c r="D354" s="172" t="s">
        <v>15</v>
      </c>
      <c r="E354" s="173">
        <v>42550</v>
      </c>
      <c r="F354" s="174">
        <v>55.549253700000001</v>
      </c>
      <c r="G354" s="175" t="s">
        <v>16</v>
      </c>
      <c r="H354" s="172" t="s">
        <v>17</v>
      </c>
      <c r="I354" s="175">
        <v>1</v>
      </c>
      <c r="J354" s="175" t="s">
        <v>18</v>
      </c>
      <c r="K354" s="175" t="s">
        <v>57</v>
      </c>
      <c r="L354" s="172" t="s">
        <v>56</v>
      </c>
    </row>
    <row r="355" spans="1:12" x14ac:dyDescent="0.2">
      <c r="A355" s="172" t="s">
        <v>12</v>
      </c>
      <c r="B355" s="172" t="s">
        <v>13</v>
      </c>
      <c r="C355" s="172" t="s">
        <v>14</v>
      </c>
      <c r="D355" s="172" t="s">
        <v>15</v>
      </c>
      <c r="E355" s="173">
        <v>42550</v>
      </c>
      <c r="F355" s="176">
        <v>12415.924800000001</v>
      </c>
      <c r="G355" s="175" t="s">
        <v>19</v>
      </c>
      <c r="H355" s="172" t="s">
        <v>17</v>
      </c>
      <c r="I355" s="175">
        <v>1</v>
      </c>
      <c r="J355" s="175" t="s">
        <v>18</v>
      </c>
      <c r="K355" s="175" t="s">
        <v>57</v>
      </c>
      <c r="L355" s="172" t="s">
        <v>56</v>
      </c>
    </row>
    <row r="356" spans="1:12" x14ac:dyDescent="0.2">
      <c r="A356" s="172" t="s">
        <v>12</v>
      </c>
      <c r="B356" s="172" t="s">
        <v>13</v>
      </c>
      <c r="C356" s="172" t="s">
        <v>14</v>
      </c>
      <c r="D356" s="172" t="s">
        <v>15</v>
      </c>
      <c r="E356" s="173">
        <v>42550</v>
      </c>
      <c r="F356" s="174">
        <v>28.382999999999999</v>
      </c>
      <c r="G356" s="175" t="s">
        <v>16</v>
      </c>
      <c r="H356" s="172" t="s">
        <v>20</v>
      </c>
      <c r="I356" s="175">
        <v>1</v>
      </c>
      <c r="J356" s="175" t="s">
        <v>18</v>
      </c>
      <c r="K356" s="175" t="s">
        <v>57</v>
      </c>
      <c r="L356" s="172" t="s">
        <v>56</v>
      </c>
    </row>
    <row r="357" spans="1:12" x14ac:dyDescent="0.2">
      <c r="A357" s="172" t="s">
        <v>12</v>
      </c>
      <c r="B357" s="172" t="s">
        <v>13</v>
      </c>
      <c r="C357" s="172" t="s">
        <v>14</v>
      </c>
      <c r="D357" s="172" t="s">
        <v>15</v>
      </c>
      <c r="E357" s="173">
        <v>42550</v>
      </c>
      <c r="F357" s="176">
        <v>7125.0980220000001</v>
      </c>
      <c r="G357" s="175" t="s">
        <v>19</v>
      </c>
      <c r="H357" s="172" t="s">
        <v>20</v>
      </c>
      <c r="I357" s="175">
        <v>1</v>
      </c>
      <c r="J357" s="175" t="s">
        <v>18</v>
      </c>
      <c r="K357" s="175" t="s">
        <v>57</v>
      </c>
      <c r="L357" s="172" t="s">
        <v>56</v>
      </c>
    </row>
    <row r="358" spans="1:12" x14ac:dyDescent="0.2">
      <c r="A358" s="172" t="s">
        <v>12</v>
      </c>
      <c r="B358" s="172" t="s">
        <v>13</v>
      </c>
      <c r="C358" s="172" t="s">
        <v>14</v>
      </c>
      <c r="D358" s="172" t="s">
        <v>15</v>
      </c>
      <c r="E358" s="173">
        <v>42540</v>
      </c>
      <c r="F358" s="174">
        <v>35.923594000000001</v>
      </c>
      <c r="G358" s="175" t="s">
        <v>16</v>
      </c>
      <c r="H358" s="172" t="s">
        <v>17</v>
      </c>
      <c r="I358" s="175">
        <v>1</v>
      </c>
      <c r="J358" s="175" t="s">
        <v>18</v>
      </c>
      <c r="K358" s="175" t="s">
        <v>57</v>
      </c>
      <c r="L358" s="172" t="s">
        <v>56</v>
      </c>
    </row>
    <row r="359" spans="1:12" x14ac:dyDescent="0.2">
      <c r="A359" s="172" t="s">
        <v>12</v>
      </c>
      <c r="B359" s="172" t="s">
        <v>13</v>
      </c>
      <c r="C359" s="172" t="s">
        <v>14</v>
      </c>
      <c r="D359" s="172" t="s">
        <v>15</v>
      </c>
      <c r="E359" s="173">
        <v>42540</v>
      </c>
      <c r="F359" s="176">
        <v>9077.9640658999997</v>
      </c>
      <c r="G359" s="175" t="s">
        <v>19</v>
      </c>
      <c r="H359" s="172" t="s">
        <v>17</v>
      </c>
      <c r="I359" s="175">
        <v>1</v>
      </c>
      <c r="J359" s="175" t="s">
        <v>18</v>
      </c>
      <c r="K359" s="175" t="s">
        <v>57</v>
      </c>
      <c r="L359" s="172" t="s">
        <v>56</v>
      </c>
    </row>
    <row r="360" spans="1:12" x14ac:dyDescent="0.2">
      <c r="A360" s="172" t="s">
        <v>12</v>
      </c>
      <c r="B360" s="172" t="s">
        <v>13</v>
      </c>
      <c r="C360" s="172" t="s">
        <v>14</v>
      </c>
      <c r="D360" s="172" t="s">
        <v>15</v>
      </c>
      <c r="E360" s="173">
        <v>42540</v>
      </c>
      <c r="F360" s="174">
        <v>16.73</v>
      </c>
      <c r="G360" s="175" t="s">
        <v>16</v>
      </c>
      <c r="H360" s="172" t="s">
        <v>20</v>
      </c>
      <c r="I360" s="175">
        <v>1</v>
      </c>
      <c r="J360" s="175" t="s">
        <v>18</v>
      </c>
      <c r="K360" s="175" t="s">
        <v>57</v>
      </c>
      <c r="L360" s="172" t="s">
        <v>56</v>
      </c>
    </row>
    <row r="361" spans="1:12" x14ac:dyDescent="0.2">
      <c r="A361" s="172" t="s">
        <v>12</v>
      </c>
      <c r="B361" s="172" t="s">
        <v>13</v>
      </c>
      <c r="C361" s="172" t="s">
        <v>14</v>
      </c>
      <c r="D361" s="172" t="s">
        <v>15</v>
      </c>
      <c r="E361" s="173">
        <v>42540</v>
      </c>
      <c r="F361" s="176">
        <v>4255.6100999999999</v>
      </c>
      <c r="G361" s="175" t="s">
        <v>19</v>
      </c>
      <c r="H361" s="172" t="s">
        <v>20</v>
      </c>
      <c r="I361" s="175">
        <v>1</v>
      </c>
      <c r="J361" s="175" t="s">
        <v>18</v>
      </c>
      <c r="K361" s="175" t="s">
        <v>57</v>
      </c>
      <c r="L361" s="172" t="s">
        <v>56</v>
      </c>
    </row>
    <row r="362" spans="1:12" x14ac:dyDescent="0.2">
      <c r="A362" s="172" t="s">
        <v>12</v>
      </c>
      <c r="B362" s="172" t="s">
        <v>13</v>
      </c>
      <c r="C362" s="172" t="s">
        <v>14</v>
      </c>
      <c r="D362" s="172" t="s">
        <v>15</v>
      </c>
      <c r="E362" s="173">
        <v>42536</v>
      </c>
      <c r="F362" s="174">
        <v>15.910598800000001</v>
      </c>
      <c r="G362" s="175" t="s">
        <v>16</v>
      </c>
      <c r="H362" s="172" t="s">
        <v>17</v>
      </c>
      <c r="I362" s="175">
        <v>1</v>
      </c>
      <c r="J362" s="175" t="s">
        <v>18</v>
      </c>
      <c r="K362" s="175" t="s">
        <v>57</v>
      </c>
      <c r="L362" s="172" t="s">
        <v>56</v>
      </c>
    </row>
    <row r="363" spans="1:12" x14ac:dyDescent="0.2">
      <c r="A363" s="172" t="s">
        <v>12</v>
      </c>
      <c r="B363" s="172" t="s">
        <v>13</v>
      </c>
      <c r="C363" s="172" t="s">
        <v>14</v>
      </c>
      <c r="D363" s="172" t="s">
        <v>15</v>
      </c>
      <c r="E363" s="173">
        <v>42536</v>
      </c>
      <c r="F363" s="176">
        <v>4697.3815679999998</v>
      </c>
      <c r="G363" s="175" t="s">
        <v>19</v>
      </c>
      <c r="H363" s="172" t="s">
        <v>17</v>
      </c>
      <c r="I363" s="175">
        <v>1</v>
      </c>
      <c r="J363" s="175" t="s">
        <v>18</v>
      </c>
      <c r="K363" s="175" t="s">
        <v>57</v>
      </c>
      <c r="L363" s="172" t="s">
        <v>56</v>
      </c>
    </row>
    <row r="364" spans="1:12" x14ac:dyDescent="0.2">
      <c r="A364" s="172" t="s">
        <v>12</v>
      </c>
      <c r="B364" s="172" t="s">
        <v>13</v>
      </c>
      <c r="C364" s="172" t="s">
        <v>14</v>
      </c>
      <c r="D364" s="172" t="s">
        <v>15</v>
      </c>
      <c r="E364" s="173">
        <v>42536</v>
      </c>
      <c r="F364" s="174">
        <v>17.149999999999999</v>
      </c>
      <c r="G364" s="175" t="s">
        <v>16</v>
      </c>
      <c r="H364" s="172" t="s">
        <v>20</v>
      </c>
      <c r="I364" s="175">
        <v>1</v>
      </c>
      <c r="J364" s="175" t="s">
        <v>18</v>
      </c>
      <c r="K364" s="175" t="s">
        <v>57</v>
      </c>
      <c r="L364" s="172" t="s">
        <v>56</v>
      </c>
    </row>
    <row r="365" spans="1:12" x14ac:dyDescent="0.2">
      <c r="A365" s="172" t="s">
        <v>12</v>
      </c>
      <c r="B365" s="172" t="s">
        <v>13</v>
      </c>
      <c r="C365" s="172" t="s">
        <v>14</v>
      </c>
      <c r="D365" s="172" t="s">
        <v>15</v>
      </c>
      <c r="E365" s="173">
        <v>42536</v>
      </c>
      <c r="F365" s="176">
        <v>5406.5717998999999</v>
      </c>
      <c r="G365" s="175" t="s">
        <v>19</v>
      </c>
      <c r="H365" s="172" t="s">
        <v>20</v>
      </c>
      <c r="I365" s="175">
        <v>1</v>
      </c>
      <c r="J365" s="175" t="s">
        <v>18</v>
      </c>
      <c r="K365" s="175" t="s">
        <v>57</v>
      </c>
      <c r="L365" s="172" t="s">
        <v>56</v>
      </c>
    </row>
    <row r="366" spans="1:12" x14ac:dyDescent="0.2">
      <c r="A366" s="172" t="s">
        <v>12</v>
      </c>
      <c r="B366" s="172" t="s">
        <v>13</v>
      </c>
      <c r="C366" s="172" t="s">
        <v>14</v>
      </c>
      <c r="D366" s="172" t="s">
        <v>15</v>
      </c>
      <c r="E366" s="173">
        <v>42529</v>
      </c>
      <c r="F366" s="174">
        <v>32.547880499999998</v>
      </c>
      <c r="G366" s="175" t="s">
        <v>16</v>
      </c>
      <c r="H366" s="172" t="s">
        <v>17</v>
      </c>
      <c r="I366" s="175">
        <v>1</v>
      </c>
      <c r="J366" s="175" t="s">
        <v>18</v>
      </c>
      <c r="K366" s="175" t="s">
        <v>57</v>
      </c>
      <c r="L366" s="172" t="s">
        <v>56</v>
      </c>
    </row>
    <row r="367" spans="1:12" x14ac:dyDescent="0.2">
      <c r="A367" s="172" t="s">
        <v>12</v>
      </c>
      <c r="B367" s="172" t="s">
        <v>13</v>
      </c>
      <c r="C367" s="172" t="s">
        <v>14</v>
      </c>
      <c r="D367" s="172" t="s">
        <v>15</v>
      </c>
      <c r="E367" s="173">
        <v>42529</v>
      </c>
      <c r="F367" s="176">
        <v>7274.8418879999999</v>
      </c>
      <c r="G367" s="175" t="s">
        <v>19</v>
      </c>
      <c r="H367" s="172" t="s">
        <v>17</v>
      </c>
      <c r="I367" s="175">
        <v>1</v>
      </c>
      <c r="J367" s="175" t="s">
        <v>18</v>
      </c>
      <c r="K367" s="175" t="s">
        <v>57</v>
      </c>
      <c r="L367" s="172" t="s">
        <v>56</v>
      </c>
    </row>
    <row r="368" spans="1:12" x14ac:dyDescent="0.2">
      <c r="A368" s="172" t="s">
        <v>12</v>
      </c>
      <c r="B368" s="172" t="s">
        <v>13</v>
      </c>
      <c r="C368" s="172" t="s">
        <v>14</v>
      </c>
      <c r="D368" s="172" t="s">
        <v>15</v>
      </c>
      <c r="E368" s="173">
        <v>42529</v>
      </c>
      <c r="F368" s="174">
        <v>20.727</v>
      </c>
      <c r="G368" s="175" t="s">
        <v>16</v>
      </c>
      <c r="H368" s="172" t="s">
        <v>20</v>
      </c>
      <c r="I368" s="175">
        <v>1</v>
      </c>
      <c r="J368" s="175" t="s">
        <v>18</v>
      </c>
      <c r="K368" s="175" t="s">
        <v>57</v>
      </c>
      <c r="L368" s="172" t="s">
        <v>56</v>
      </c>
    </row>
    <row r="369" spans="1:12" x14ac:dyDescent="0.2">
      <c r="A369" s="172" t="s">
        <v>12</v>
      </c>
      <c r="B369" s="172" t="s">
        <v>13</v>
      </c>
      <c r="C369" s="172" t="s">
        <v>14</v>
      </c>
      <c r="D369" s="172" t="s">
        <v>15</v>
      </c>
      <c r="E369" s="173">
        <v>42529</v>
      </c>
      <c r="F369" s="176">
        <v>5047.6048559999999</v>
      </c>
      <c r="G369" s="175" t="s">
        <v>19</v>
      </c>
      <c r="H369" s="172" t="s">
        <v>20</v>
      </c>
      <c r="I369" s="175">
        <v>1</v>
      </c>
      <c r="J369" s="175" t="s">
        <v>18</v>
      </c>
      <c r="K369" s="175" t="s">
        <v>57</v>
      </c>
      <c r="L369" s="172" t="s">
        <v>56</v>
      </c>
    </row>
    <row r="370" spans="1:12" x14ac:dyDescent="0.2">
      <c r="A370" s="172" t="s">
        <v>12</v>
      </c>
      <c r="B370" s="172" t="s">
        <v>13</v>
      </c>
      <c r="C370" s="172" t="s">
        <v>14</v>
      </c>
      <c r="D370" s="172" t="s">
        <v>15</v>
      </c>
      <c r="E370" s="173">
        <v>42523</v>
      </c>
      <c r="F370" s="174">
        <v>30.038505099999998</v>
      </c>
      <c r="G370" s="175" t="s">
        <v>16</v>
      </c>
      <c r="H370" s="172" t="s">
        <v>17</v>
      </c>
      <c r="I370" s="175">
        <v>1</v>
      </c>
      <c r="J370" s="175" t="s">
        <v>18</v>
      </c>
      <c r="K370" s="175" t="s">
        <v>57</v>
      </c>
      <c r="L370" s="172" t="s">
        <v>56</v>
      </c>
    </row>
    <row r="371" spans="1:12" x14ac:dyDescent="0.2">
      <c r="A371" s="172" t="s">
        <v>12</v>
      </c>
      <c r="B371" s="172" t="s">
        <v>13</v>
      </c>
      <c r="C371" s="172" t="s">
        <v>14</v>
      </c>
      <c r="D371" s="172" t="s">
        <v>15</v>
      </c>
      <c r="E371" s="173">
        <v>42523</v>
      </c>
      <c r="F371" s="176">
        <v>7290.1649699</v>
      </c>
      <c r="G371" s="175" t="s">
        <v>19</v>
      </c>
      <c r="H371" s="172" t="s">
        <v>17</v>
      </c>
      <c r="I371" s="175">
        <v>1</v>
      </c>
      <c r="J371" s="175" t="s">
        <v>18</v>
      </c>
      <c r="K371" s="175" t="s">
        <v>57</v>
      </c>
      <c r="L371" s="172" t="s">
        <v>56</v>
      </c>
    </row>
    <row r="372" spans="1:12" x14ac:dyDescent="0.2">
      <c r="A372" s="172" t="s">
        <v>12</v>
      </c>
      <c r="B372" s="172" t="s">
        <v>13</v>
      </c>
      <c r="C372" s="172" t="s">
        <v>14</v>
      </c>
      <c r="D372" s="172" t="s">
        <v>15</v>
      </c>
      <c r="E372" s="173">
        <v>42523</v>
      </c>
      <c r="F372" s="174">
        <v>26.439</v>
      </c>
      <c r="G372" s="175" t="s">
        <v>16</v>
      </c>
      <c r="H372" s="172" t="s">
        <v>20</v>
      </c>
      <c r="I372" s="175">
        <v>1</v>
      </c>
      <c r="J372" s="175" t="s">
        <v>18</v>
      </c>
      <c r="K372" s="175" t="s">
        <v>57</v>
      </c>
      <c r="L372" s="172" t="s">
        <v>56</v>
      </c>
    </row>
    <row r="373" spans="1:12" x14ac:dyDescent="0.2">
      <c r="A373" s="172" t="s">
        <v>12</v>
      </c>
      <c r="B373" s="172" t="s">
        <v>13</v>
      </c>
      <c r="C373" s="172" t="s">
        <v>14</v>
      </c>
      <c r="D373" s="172" t="s">
        <v>15</v>
      </c>
      <c r="E373" s="173">
        <v>42523</v>
      </c>
      <c r="F373" s="176">
        <v>6945.7896899999996</v>
      </c>
      <c r="G373" s="175" t="s">
        <v>19</v>
      </c>
      <c r="H373" s="172" t="s">
        <v>20</v>
      </c>
      <c r="I373" s="175">
        <v>1</v>
      </c>
      <c r="J373" s="175" t="s">
        <v>18</v>
      </c>
      <c r="K373" s="175" t="s">
        <v>57</v>
      </c>
      <c r="L373" s="172" t="s">
        <v>56</v>
      </c>
    </row>
    <row r="374" spans="1:12" x14ac:dyDescent="0.2">
      <c r="A374" s="172" t="s">
        <v>12</v>
      </c>
      <c r="B374" s="172" t="s">
        <v>13</v>
      </c>
      <c r="C374" s="172" t="s">
        <v>14</v>
      </c>
      <c r="D374" s="172" t="s">
        <v>15</v>
      </c>
      <c r="E374" s="173">
        <v>42515</v>
      </c>
      <c r="F374" s="174">
        <v>22.64106</v>
      </c>
      <c r="G374" s="175" t="s">
        <v>16</v>
      </c>
      <c r="H374" s="172" t="s">
        <v>17</v>
      </c>
      <c r="I374" s="175">
        <v>1</v>
      </c>
      <c r="J374" s="175" t="s">
        <v>18</v>
      </c>
      <c r="K374" s="175" t="s">
        <v>57</v>
      </c>
      <c r="L374" s="172" t="s">
        <v>56</v>
      </c>
    </row>
    <row r="375" spans="1:12" x14ac:dyDescent="0.2">
      <c r="A375" s="172" t="s">
        <v>12</v>
      </c>
      <c r="B375" s="172" t="s">
        <v>13</v>
      </c>
      <c r="C375" s="172" t="s">
        <v>14</v>
      </c>
      <c r="D375" s="172" t="s">
        <v>15</v>
      </c>
      <c r="E375" s="173">
        <v>42515</v>
      </c>
      <c r="F375" s="176">
        <v>5343.7882799999998</v>
      </c>
      <c r="G375" s="175" t="s">
        <v>19</v>
      </c>
      <c r="H375" s="172" t="s">
        <v>17</v>
      </c>
      <c r="I375" s="175">
        <v>1</v>
      </c>
      <c r="J375" s="175" t="s">
        <v>18</v>
      </c>
      <c r="K375" s="175" t="s">
        <v>57</v>
      </c>
      <c r="L375" s="172" t="s">
        <v>56</v>
      </c>
    </row>
    <row r="376" spans="1:12" x14ac:dyDescent="0.2">
      <c r="A376" s="172" t="s">
        <v>12</v>
      </c>
      <c r="B376" s="172" t="s">
        <v>13</v>
      </c>
      <c r="C376" s="172" t="s">
        <v>14</v>
      </c>
      <c r="D376" s="172" t="s">
        <v>15</v>
      </c>
      <c r="E376" s="173">
        <v>42515</v>
      </c>
      <c r="F376" s="174">
        <v>23.28</v>
      </c>
      <c r="G376" s="175" t="s">
        <v>16</v>
      </c>
      <c r="H376" s="172" t="s">
        <v>20</v>
      </c>
      <c r="I376" s="175">
        <v>1</v>
      </c>
      <c r="J376" s="175" t="s">
        <v>18</v>
      </c>
      <c r="K376" s="175" t="s">
        <v>57</v>
      </c>
      <c r="L376" s="172" t="s">
        <v>56</v>
      </c>
    </row>
    <row r="377" spans="1:12" x14ac:dyDescent="0.2">
      <c r="A377" s="172" t="s">
        <v>12</v>
      </c>
      <c r="B377" s="172" t="s">
        <v>13</v>
      </c>
      <c r="C377" s="172" t="s">
        <v>14</v>
      </c>
      <c r="D377" s="172" t="s">
        <v>15</v>
      </c>
      <c r="E377" s="173">
        <v>42515</v>
      </c>
      <c r="F377" s="176">
        <v>5999.3956799999996</v>
      </c>
      <c r="G377" s="175" t="s">
        <v>19</v>
      </c>
      <c r="H377" s="172" t="s">
        <v>20</v>
      </c>
      <c r="I377" s="175">
        <v>1</v>
      </c>
      <c r="J377" s="175" t="s">
        <v>18</v>
      </c>
      <c r="K377" s="175" t="s">
        <v>57</v>
      </c>
      <c r="L377" s="172" t="s">
        <v>56</v>
      </c>
    </row>
    <row r="378" spans="1:12" x14ac:dyDescent="0.2">
      <c r="A378" s="172" t="s">
        <v>12</v>
      </c>
      <c r="B378" s="172" t="s">
        <v>13</v>
      </c>
      <c r="C378" s="172" t="s">
        <v>14</v>
      </c>
      <c r="D378" s="172" t="s">
        <v>15</v>
      </c>
      <c r="E378" s="173">
        <v>42508</v>
      </c>
      <c r="F378" s="174">
        <v>15.62</v>
      </c>
      <c r="G378" s="175" t="s">
        <v>16</v>
      </c>
      <c r="H378" s="172" t="s">
        <v>17</v>
      </c>
      <c r="I378" s="175">
        <v>1</v>
      </c>
      <c r="J378" s="175" t="s">
        <v>18</v>
      </c>
      <c r="K378" s="175" t="s">
        <v>57</v>
      </c>
      <c r="L378" s="172" t="s">
        <v>56</v>
      </c>
    </row>
    <row r="379" spans="1:12" x14ac:dyDescent="0.2">
      <c r="A379" s="172" t="s">
        <v>12</v>
      </c>
      <c r="B379" s="172" t="s">
        <v>13</v>
      </c>
      <c r="C379" s="172" t="s">
        <v>14</v>
      </c>
      <c r="D379" s="172" t="s">
        <v>15</v>
      </c>
      <c r="E379" s="173">
        <v>42508</v>
      </c>
      <c r="F379" s="176">
        <v>4168.6656000000003</v>
      </c>
      <c r="G379" s="175" t="s">
        <v>19</v>
      </c>
      <c r="H379" s="172" t="s">
        <v>17</v>
      </c>
      <c r="I379" s="175">
        <v>1</v>
      </c>
      <c r="J379" s="175" t="s">
        <v>18</v>
      </c>
      <c r="K379" s="175" t="s">
        <v>57</v>
      </c>
      <c r="L379" s="172" t="s">
        <v>56</v>
      </c>
    </row>
    <row r="380" spans="1:12" x14ac:dyDescent="0.2">
      <c r="A380" s="172" t="s">
        <v>12</v>
      </c>
      <c r="B380" s="172" t="s">
        <v>13</v>
      </c>
      <c r="C380" s="172" t="s">
        <v>14</v>
      </c>
      <c r="D380" s="172" t="s">
        <v>15</v>
      </c>
      <c r="E380" s="173">
        <v>42508</v>
      </c>
      <c r="F380" s="174">
        <v>22.04</v>
      </c>
      <c r="G380" s="175" t="s">
        <v>16</v>
      </c>
      <c r="H380" s="172" t="s">
        <v>20</v>
      </c>
      <c r="I380" s="175">
        <v>1</v>
      </c>
      <c r="J380" s="175" t="s">
        <v>18</v>
      </c>
      <c r="K380" s="175" t="s">
        <v>57</v>
      </c>
      <c r="L380" s="172" t="s">
        <v>56</v>
      </c>
    </row>
    <row r="381" spans="1:12" x14ac:dyDescent="0.2">
      <c r="A381" s="172" t="s">
        <v>12</v>
      </c>
      <c r="B381" s="172" t="s">
        <v>13</v>
      </c>
      <c r="C381" s="172" t="s">
        <v>14</v>
      </c>
      <c r="D381" s="172" t="s">
        <v>15</v>
      </c>
      <c r="E381" s="173">
        <v>42508</v>
      </c>
      <c r="F381" s="176">
        <v>6396.7132799999999</v>
      </c>
      <c r="G381" s="175" t="s">
        <v>19</v>
      </c>
      <c r="H381" s="172" t="s">
        <v>20</v>
      </c>
      <c r="I381" s="175">
        <v>1</v>
      </c>
      <c r="J381" s="175" t="s">
        <v>18</v>
      </c>
      <c r="K381" s="175" t="s">
        <v>57</v>
      </c>
      <c r="L381" s="172" t="s">
        <v>56</v>
      </c>
    </row>
    <row r="382" spans="1:12" x14ac:dyDescent="0.2">
      <c r="A382" s="172" t="s">
        <v>12</v>
      </c>
      <c r="B382" s="172" t="s">
        <v>13</v>
      </c>
      <c r="C382" s="172" t="s">
        <v>14</v>
      </c>
      <c r="D382" s="172" t="s">
        <v>15</v>
      </c>
      <c r="E382" s="173">
        <v>42500</v>
      </c>
      <c r="F382" s="174">
        <v>25.098181100000001</v>
      </c>
      <c r="G382" s="175" t="s">
        <v>16</v>
      </c>
      <c r="H382" s="172" t="s">
        <v>17</v>
      </c>
      <c r="I382" s="175">
        <v>1</v>
      </c>
      <c r="J382" s="175" t="s">
        <v>18</v>
      </c>
      <c r="K382" s="175" t="s">
        <v>57</v>
      </c>
      <c r="L382" s="172" t="s">
        <v>56</v>
      </c>
    </row>
    <row r="383" spans="1:12" x14ac:dyDescent="0.2">
      <c r="A383" s="172" t="s">
        <v>12</v>
      </c>
      <c r="B383" s="172" t="s">
        <v>13</v>
      </c>
      <c r="C383" s="172" t="s">
        <v>14</v>
      </c>
      <c r="D383" s="172" t="s">
        <v>15</v>
      </c>
      <c r="E383" s="173">
        <v>42500</v>
      </c>
      <c r="F383" s="176">
        <v>8435.5488779999996</v>
      </c>
      <c r="G383" s="175" t="s">
        <v>19</v>
      </c>
      <c r="H383" s="172" t="s">
        <v>17</v>
      </c>
      <c r="I383" s="175">
        <v>1</v>
      </c>
      <c r="J383" s="175" t="s">
        <v>18</v>
      </c>
      <c r="K383" s="175" t="s">
        <v>57</v>
      </c>
      <c r="L383" s="172" t="s">
        <v>56</v>
      </c>
    </row>
    <row r="384" spans="1:12" x14ac:dyDescent="0.2">
      <c r="A384" s="172" t="s">
        <v>12</v>
      </c>
      <c r="B384" s="172" t="s">
        <v>13</v>
      </c>
      <c r="C384" s="172" t="s">
        <v>14</v>
      </c>
      <c r="D384" s="172" t="s">
        <v>15</v>
      </c>
      <c r="E384" s="173">
        <v>42500</v>
      </c>
      <c r="F384" s="174">
        <v>19.273</v>
      </c>
      <c r="G384" s="175" t="s">
        <v>16</v>
      </c>
      <c r="H384" s="172" t="s">
        <v>20</v>
      </c>
      <c r="I384" s="175">
        <v>1</v>
      </c>
      <c r="J384" s="175" t="s">
        <v>18</v>
      </c>
      <c r="K384" s="175" t="s">
        <v>57</v>
      </c>
      <c r="L384" s="172" t="s">
        <v>56</v>
      </c>
    </row>
    <row r="385" spans="1:12" x14ac:dyDescent="0.2">
      <c r="A385" s="172" t="s">
        <v>12</v>
      </c>
      <c r="B385" s="172" t="s">
        <v>13</v>
      </c>
      <c r="C385" s="172" t="s">
        <v>14</v>
      </c>
      <c r="D385" s="172" t="s">
        <v>15</v>
      </c>
      <c r="E385" s="173">
        <v>42500</v>
      </c>
      <c r="F385" s="176">
        <v>6975.9779879999996</v>
      </c>
      <c r="G385" s="175" t="s">
        <v>19</v>
      </c>
      <c r="H385" s="172" t="s">
        <v>20</v>
      </c>
      <c r="I385" s="175">
        <v>1</v>
      </c>
      <c r="J385" s="175" t="s">
        <v>18</v>
      </c>
      <c r="K385" s="175" t="s">
        <v>57</v>
      </c>
      <c r="L385" s="172" t="s">
        <v>56</v>
      </c>
    </row>
    <row r="386" spans="1:12" x14ac:dyDescent="0.2">
      <c r="A386" s="172" t="s">
        <v>12</v>
      </c>
      <c r="B386" s="172" t="s">
        <v>13</v>
      </c>
      <c r="C386" s="172" t="s">
        <v>14</v>
      </c>
      <c r="D386" s="172" t="s">
        <v>15</v>
      </c>
      <c r="E386" s="173">
        <v>42494</v>
      </c>
      <c r="F386" s="174">
        <v>28.9407955</v>
      </c>
      <c r="G386" s="175" t="s">
        <v>16</v>
      </c>
      <c r="H386" s="172" t="s">
        <v>17</v>
      </c>
      <c r="I386" s="175">
        <v>1</v>
      </c>
      <c r="J386" s="175" t="s">
        <v>18</v>
      </c>
      <c r="K386" s="175" t="s">
        <v>57</v>
      </c>
      <c r="L386" s="172" t="s">
        <v>56</v>
      </c>
    </row>
    <row r="387" spans="1:12" x14ac:dyDescent="0.2">
      <c r="A387" s="172" t="s">
        <v>12</v>
      </c>
      <c r="B387" s="172" t="s">
        <v>13</v>
      </c>
      <c r="C387" s="172" t="s">
        <v>14</v>
      </c>
      <c r="D387" s="172" t="s">
        <v>15</v>
      </c>
      <c r="E387" s="173">
        <v>42494</v>
      </c>
      <c r="F387" s="176">
        <v>8737.4577119999994</v>
      </c>
      <c r="G387" s="175" t="s">
        <v>19</v>
      </c>
      <c r="H387" s="172" t="s">
        <v>17</v>
      </c>
      <c r="I387" s="175">
        <v>1</v>
      </c>
      <c r="J387" s="175" t="s">
        <v>18</v>
      </c>
      <c r="K387" s="175" t="s">
        <v>57</v>
      </c>
      <c r="L387" s="172" t="s">
        <v>56</v>
      </c>
    </row>
    <row r="388" spans="1:12" x14ac:dyDescent="0.2">
      <c r="A388" s="172" t="s">
        <v>12</v>
      </c>
      <c r="B388" s="172" t="s">
        <v>13</v>
      </c>
      <c r="C388" s="172" t="s">
        <v>14</v>
      </c>
      <c r="D388" s="172" t="s">
        <v>15</v>
      </c>
      <c r="E388" s="173">
        <v>42494</v>
      </c>
      <c r="F388" s="174">
        <v>20.187999999999999</v>
      </c>
      <c r="G388" s="175" t="s">
        <v>16</v>
      </c>
      <c r="H388" s="172" t="s">
        <v>20</v>
      </c>
      <c r="I388" s="175">
        <v>1</v>
      </c>
      <c r="J388" s="175" t="s">
        <v>18</v>
      </c>
      <c r="K388" s="175" t="s">
        <v>57</v>
      </c>
      <c r="L388" s="172" t="s">
        <v>56</v>
      </c>
    </row>
    <row r="389" spans="1:12" x14ac:dyDescent="0.2">
      <c r="A389" s="172" t="s">
        <v>12</v>
      </c>
      <c r="B389" s="172" t="s">
        <v>13</v>
      </c>
      <c r="C389" s="172" t="s">
        <v>14</v>
      </c>
      <c r="D389" s="172" t="s">
        <v>15</v>
      </c>
      <c r="E389" s="173">
        <v>42494</v>
      </c>
      <c r="F389" s="176">
        <v>6717.8800080000001</v>
      </c>
      <c r="G389" s="175" t="s">
        <v>19</v>
      </c>
      <c r="H389" s="172" t="s">
        <v>20</v>
      </c>
      <c r="I389" s="175">
        <v>1</v>
      </c>
      <c r="J389" s="175" t="s">
        <v>18</v>
      </c>
      <c r="K389" s="175" t="s">
        <v>57</v>
      </c>
      <c r="L389" s="172" t="s">
        <v>56</v>
      </c>
    </row>
    <row r="390" spans="1:12" x14ac:dyDescent="0.2">
      <c r="A390" s="172" t="s">
        <v>12</v>
      </c>
      <c r="B390" s="172" t="s">
        <v>13</v>
      </c>
      <c r="C390" s="172" t="s">
        <v>14</v>
      </c>
      <c r="D390" s="172" t="s">
        <v>15</v>
      </c>
      <c r="E390" s="173">
        <v>42486</v>
      </c>
      <c r="F390" s="174">
        <v>26.222053200000001</v>
      </c>
      <c r="G390" s="175" t="s">
        <v>16</v>
      </c>
      <c r="H390" s="172" t="s">
        <v>17</v>
      </c>
      <c r="I390" s="175">
        <v>1</v>
      </c>
      <c r="J390" s="175" t="s">
        <v>18</v>
      </c>
      <c r="K390" s="175" t="s">
        <v>57</v>
      </c>
      <c r="L390" s="172" t="s">
        <v>56</v>
      </c>
    </row>
    <row r="391" spans="1:12" x14ac:dyDescent="0.2">
      <c r="A391" s="172" t="s">
        <v>12</v>
      </c>
      <c r="B391" s="172" t="s">
        <v>13</v>
      </c>
      <c r="C391" s="172" t="s">
        <v>14</v>
      </c>
      <c r="D391" s="172" t="s">
        <v>15</v>
      </c>
      <c r="E391" s="173">
        <v>42486</v>
      </c>
      <c r="F391" s="176">
        <v>5751.5976000000001</v>
      </c>
      <c r="G391" s="175" t="s">
        <v>19</v>
      </c>
      <c r="H391" s="172" t="s">
        <v>17</v>
      </c>
      <c r="I391" s="175">
        <v>1</v>
      </c>
      <c r="J391" s="175" t="s">
        <v>18</v>
      </c>
      <c r="K391" s="175" t="s">
        <v>57</v>
      </c>
      <c r="L391" s="172" t="s">
        <v>56</v>
      </c>
    </row>
    <row r="392" spans="1:12" x14ac:dyDescent="0.2">
      <c r="A392" s="172" t="s">
        <v>12</v>
      </c>
      <c r="B392" s="172" t="s">
        <v>13</v>
      </c>
      <c r="C392" s="172" t="s">
        <v>14</v>
      </c>
      <c r="D392" s="172" t="s">
        <v>15</v>
      </c>
      <c r="E392" s="173">
        <v>42486</v>
      </c>
      <c r="F392" s="174">
        <v>19.34</v>
      </c>
      <c r="G392" s="175" t="s">
        <v>16</v>
      </c>
      <c r="H392" s="172" t="s">
        <v>20</v>
      </c>
      <c r="I392" s="175">
        <v>1</v>
      </c>
      <c r="J392" s="175" t="s">
        <v>18</v>
      </c>
      <c r="K392" s="175" t="s">
        <v>57</v>
      </c>
      <c r="L392" s="172" t="s">
        <v>56</v>
      </c>
    </row>
    <row r="393" spans="1:12" x14ac:dyDescent="0.2">
      <c r="A393" s="172" t="s">
        <v>12</v>
      </c>
      <c r="B393" s="172" t="s">
        <v>13</v>
      </c>
      <c r="C393" s="172" t="s">
        <v>14</v>
      </c>
      <c r="D393" s="172" t="s">
        <v>15</v>
      </c>
      <c r="E393" s="173">
        <v>42486</v>
      </c>
      <c r="F393" s="176">
        <v>4709.8315199999997</v>
      </c>
      <c r="G393" s="175" t="s">
        <v>19</v>
      </c>
      <c r="H393" s="172" t="s">
        <v>20</v>
      </c>
      <c r="I393" s="175">
        <v>1</v>
      </c>
      <c r="J393" s="175" t="s">
        <v>18</v>
      </c>
      <c r="K393" s="175" t="s">
        <v>57</v>
      </c>
      <c r="L393" s="172" t="s">
        <v>56</v>
      </c>
    </row>
    <row r="394" spans="1:12" x14ac:dyDescent="0.2">
      <c r="A394" s="172" t="s">
        <v>12</v>
      </c>
      <c r="B394" s="172" t="s">
        <v>13</v>
      </c>
      <c r="C394" s="172" t="s">
        <v>14</v>
      </c>
      <c r="D394" s="172" t="s">
        <v>15</v>
      </c>
      <c r="E394" s="173">
        <v>42479</v>
      </c>
      <c r="F394" s="174">
        <v>28.375411700000001</v>
      </c>
      <c r="G394" s="175" t="s">
        <v>16</v>
      </c>
      <c r="H394" s="172" t="s">
        <v>17</v>
      </c>
      <c r="I394" s="175">
        <v>1</v>
      </c>
      <c r="J394" s="175" t="s">
        <v>18</v>
      </c>
      <c r="K394" s="175" t="s">
        <v>57</v>
      </c>
      <c r="L394" s="172" t="s">
        <v>56</v>
      </c>
    </row>
    <row r="395" spans="1:12" x14ac:dyDescent="0.2">
      <c r="A395" s="172" t="s">
        <v>12</v>
      </c>
      <c r="B395" s="172" t="s">
        <v>13</v>
      </c>
      <c r="C395" s="172" t="s">
        <v>14</v>
      </c>
      <c r="D395" s="172" t="s">
        <v>15</v>
      </c>
      <c r="E395" s="173">
        <v>42479</v>
      </c>
      <c r="F395" s="176">
        <v>8046.1317599000004</v>
      </c>
      <c r="G395" s="175" t="s">
        <v>19</v>
      </c>
      <c r="H395" s="172" t="s">
        <v>17</v>
      </c>
      <c r="I395" s="175">
        <v>1</v>
      </c>
      <c r="J395" s="175" t="s">
        <v>18</v>
      </c>
      <c r="K395" s="175" t="s">
        <v>57</v>
      </c>
      <c r="L395" s="172" t="s">
        <v>56</v>
      </c>
    </row>
    <row r="396" spans="1:12" x14ac:dyDescent="0.2">
      <c r="A396" s="172" t="s">
        <v>12</v>
      </c>
      <c r="B396" s="172" t="s">
        <v>13</v>
      </c>
      <c r="C396" s="172" t="s">
        <v>14</v>
      </c>
      <c r="D396" s="172" t="s">
        <v>15</v>
      </c>
      <c r="E396" s="173">
        <v>42479</v>
      </c>
      <c r="F396" s="174">
        <v>20.919999900000001</v>
      </c>
      <c r="G396" s="175" t="s">
        <v>16</v>
      </c>
      <c r="H396" s="172" t="s">
        <v>20</v>
      </c>
      <c r="I396" s="175">
        <v>1</v>
      </c>
      <c r="J396" s="175" t="s">
        <v>18</v>
      </c>
      <c r="K396" s="175" t="s">
        <v>57</v>
      </c>
      <c r="L396" s="172" t="s">
        <v>56</v>
      </c>
    </row>
    <row r="397" spans="1:12" x14ac:dyDescent="0.2">
      <c r="A397" s="172" t="s">
        <v>12</v>
      </c>
      <c r="B397" s="172" t="s">
        <v>13</v>
      </c>
      <c r="C397" s="172" t="s">
        <v>14</v>
      </c>
      <c r="D397" s="172" t="s">
        <v>15</v>
      </c>
      <c r="E397" s="173">
        <v>42479</v>
      </c>
      <c r="F397" s="176">
        <v>6490.3881600000004</v>
      </c>
      <c r="G397" s="175" t="s">
        <v>19</v>
      </c>
      <c r="H397" s="172" t="s">
        <v>20</v>
      </c>
      <c r="I397" s="175">
        <v>1</v>
      </c>
      <c r="J397" s="175" t="s">
        <v>18</v>
      </c>
      <c r="K397" s="175" t="s">
        <v>57</v>
      </c>
      <c r="L397" s="172" t="s">
        <v>56</v>
      </c>
    </row>
    <row r="398" spans="1:12" x14ac:dyDescent="0.2">
      <c r="A398" s="172" t="s">
        <v>12</v>
      </c>
      <c r="B398" s="172" t="s">
        <v>13</v>
      </c>
      <c r="C398" s="172" t="s">
        <v>14</v>
      </c>
      <c r="D398" s="172" t="s">
        <v>15</v>
      </c>
      <c r="E398" s="173">
        <v>42473</v>
      </c>
      <c r="F398" s="174">
        <v>37.809422400000003</v>
      </c>
      <c r="G398" s="175" t="s">
        <v>16</v>
      </c>
      <c r="H398" s="172" t="s">
        <v>17</v>
      </c>
      <c r="I398" s="175">
        <v>1</v>
      </c>
      <c r="J398" s="175" t="s">
        <v>18</v>
      </c>
      <c r="K398" s="175" t="s">
        <v>57</v>
      </c>
      <c r="L398" s="172" t="s">
        <v>56</v>
      </c>
    </row>
    <row r="399" spans="1:12" x14ac:dyDescent="0.2">
      <c r="A399" s="172" t="s">
        <v>12</v>
      </c>
      <c r="B399" s="172" t="s">
        <v>13</v>
      </c>
      <c r="C399" s="172" t="s">
        <v>14</v>
      </c>
      <c r="D399" s="172" t="s">
        <v>15</v>
      </c>
      <c r="E399" s="173">
        <v>42473</v>
      </c>
      <c r="F399" s="176">
        <v>10374.3761999</v>
      </c>
      <c r="G399" s="175" t="s">
        <v>19</v>
      </c>
      <c r="H399" s="172" t="s">
        <v>17</v>
      </c>
      <c r="I399" s="175">
        <v>1</v>
      </c>
      <c r="J399" s="175" t="s">
        <v>18</v>
      </c>
      <c r="K399" s="175" t="s">
        <v>57</v>
      </c>
      <c r="L399" s="172" t="s">
        <v>56</v>
      </c>
    </row>
    <row r="400" spans="1:12" x14ac:dyDescent="0.2">
      <c r="A400" s="172" t="s">
        <v>12</v>
      </c>
      <c r="B400" s="172" t="s">
        <v>13</v>
      </c>
      <c r="C400" s="172" t="s">
        <v>14</v>
      </c>
      <c r="D400" s="172" t="s">
        <v>15</v>
      </c>
      <c r="E400" s="173">
        <v>42473</v>
      </c>
      <c r="F400" s="174">
        <v>25.37</v>
      </c>
      <c r="G400" s="175" t="s">
        <v>16</v>
      </c>
      <c r="H400" s="172" t="s">
        <v>20</v>
      </c>
      <c r="I400" s="175">
        <v>1</v>
      </c>
      <c r="J400" s="175" t="s">
        <v>18</v>
      </c>
      <c r="K400" s="175" t="s">
        <v>57</v>
      </c>
      <c r="L400" s="172" t="s">
        <v>56</v>
      </c>
    </row>
    <row r="401" spans="1:12" x14ac:dyDescent="0.2">
      <c r="A401" s="172" t="s">
        <v>12</v>
      </c>
      <c r="B401" s="172" t="s">
        <v>13</v>
      </c>
      <c r="C401" s="172" t="s">
        <v>14</v>
      </c>
      <c r="D401" s="172" t="s">
        <v>15</v>
      </c>
      <c r="E401" s="173">
        <v>42473</v>
      </c>
      <c r="F401" s="176">
        <v>7595.9302200000002</v>
      </c>
      <c r="G401" s="175" t="s">
        <v>19</v>
      </c>
      <c r="H401" s="172" t="s">
        <v>20</v>
      </c>
      <c r="I401" s="175">
        <v>1</v>
      </c>
      <c r="J401" s="175" t="s">
        <v>18</v>
      </c>
      <c r="K401" s="175" t="s">
        <v>57</v>
      </c>
      <c r="L401" s="172" t="s">
        <v>56</v>
      </c>
    </row>
    <row r="402" spans="1:12" x14ac:dyDescent="0.2">
      <c r="A402" s="172" t="s">
        <v>12</v>
      </c>
      <c r="B402" s="172" t="s">
        <v>13</v>
      </c>
      <c r="C402" s="172" t="s">
        <v>14</v>
      </c>
      <c r="D402" s="172" t="s">
        <v>15</v>
      </c>
      <c r="E402" s="173">
        <v>42466</v>
      </c>
      <c r="F402" s="174">
        <v>37.646111099999999</v>
      </c>
      <c r="G402" s="175" t="s">
        <v>16</v>
      </c>
      <c r="H402" s="172" t="s">
        <v>17</v>
      </c>
      <c r="I402" s="175">
        <v>1</v>
      </c>
      <c r="J402" s="175" t="s">
        <v>18</v>
      </c>
      <c r="K402" s="175" t="s">
        <v>57</v>
      </c>
      <c r="L402" s="172" t="s">
        <v>56</v>
      </c>
    </row>
    <row r="403" spans="1:12" x14ac:dyDescent="0.2">
      <c r="A403" s="172" t="s">
        <v>12</v>
      </c>
      <c r="B403" s="172" t="s">
        <v>13</v>
      </c>
      <c r="C403" s="172" t="s">
        <v>14</v>
      </c>
      <c r="D403" s="172" t="s">
        <v>15</v>
      </c>
      <c r="E403" s="173">
        <v>42466</v>
      </c>
      <c r="F403" s="176">
        <v>11868.01182</v>
      </c>
      <c r="G403" s="175" t="s">
        <v>19</v>
      </c>
      <c r="H403" s="172" t="s">
        <v>17</v>
      </c>
      <c r="I403" s="175">
        <v>1</v>
      </c>
      <c r="J403" s="175" t="s">
        <v>18</v>
      </c>
      <c r="K403" s="175" t="s">
        <v>57</v>
      </c>
      <c r="L403" s="172" t="s">
        <v>56</v>
      </c>
    </row>
    <row r="404" spans="1:12" x14ac:dyDescent="0.2">
      <c r="A404" s="172" t="s">
        <v>12</v>
      </c>
      <c r="B404" s="172" t="s">
        <v>13</v>
      </c>
      <c r="C404" s="172" t="s">
        <v>14</v>
      </c>
      <c r="D404" s="172" t="s">
        <v>15</v>
      </c>
      <c r="E404" s="173">
        <v>42466</v>
      </c>
      <c r="F404" s="174">
        <v>22.919999900000001</v>
      </c>
      <c r="G404" s="175" t="s">
        <v>16</v>
      </c>
      <c r="H404" s="172" t="s">
        <v>20</v>
      </c>
      <c r="I404" s="175">
        <v>1</v>
      </c>
      <c r="J404" s="175" t="s">
        <v>18</v>
      </c>
      <c r="K404" s="175" t="s">
        <v>57</v>
      </c>
      <c r="L404" s="172" t="s">
        <v>56</v>
      </c>
    </row>
    <row r="405" spans="1:12" x14ac:dyDescent="0.2">
      <c r="A405" s="172" t="s">
        <v>12</v>
      </c>
      <c r="B405" s="172" t="s">
        <v>13</v>
      </c>
      <c r="C405" s="172" t="s">
        <v>14</v>
      </c>
      <c r="D405" s="172" t="s">
        <v>15</v>
      </c>
      <c r="E405" s="173">
        <v>42466</v>
      </c>
      <c r="F405" s="176">
        <v>7894.6106399</v>
      </c>
      <c r="G405" s="175" t="s">
        <v>19</v>
      </c>
      <c r="H405" s="172" t="s">
        <v>20</v>
      </c>
      <c r="I405" s="175">
        <v>1</v>
      </c>
      <c r="J405" s="175" t="s">
        <v>18</v>
      </c>
      <c r="K405" s="175" t="s">
        <v>57</v>
      </c>
      <c r="L405" s="172" t="s">
        <v>56</v>
      </c>
    </row>
    <row r="406" spans="1:12" x14ac:dyDescent="0.2">
      <c r="A406" s="172" t="s">
        <v>12</v>
      </c>
      <c r="B406" s="172" t="s">
        <v>13</v>
      </c>
      <c r="C406" s="172" t="s">
        <v>14</v>
      </c>
      <c r="D406" s="172" t="s">
        <v>15</v>
      </c>
      <c r="E406" s="173">
        <v>42459</v>
      </c>
      <c r="F406" s="174">
        <v>37.917520799999998</v>
      </c>
      <c r="G406" s="175" t="s">
        <v>16</v>
      </c>
      <c r="H406" s="172" t="s">
        <v>17</v>
      </c>
      <c r="I406" s="175">
        <v>1</v>
      </c>
      <c r="J406" s="175" t="s">
        <v>18</v>
      </c>
      <c r="K406" s="175" t="s">
        <v>57</v>
      </c>
      <c r="L406" s="172" t="s">
        <v>56</v>
      </c>
    </row>
    <row r="407" spans="1:12" x14ac:dyDescent="0.2">
      <c r="A407" s="172" t="s">
        <v>12</v>
      </c>
      <c r="B407" s="172" t="s">
        <v>13</v>
      </c>
      <c r="C407" s="172" t="s">
        <v>14</v>
      </c>
      <c r="D407" s="172" t="s">
        <v>15</v>
      </c>
      <c r="E407" s="173">
        <v>42459</v>
      </c>
      <c r="F407" s="176">
        <v>15179.141939900001</v>
      </c>
      <c r="G407" s="175" t="s">
        <v>19</v>
      </c>
      <c r="H407" s="172" t="s">
        <v>17</v>
      </c>
      <c r="I407" s="175">
        <v>1</v>
      </c>
      <c r="J407" s="175" t="s">
        <v>18</v>
      </c>
      <c r="K407" s="175" t="s">
        <v>57</v>
      </c>
      <c r="L407" s="172" t="s">
        <v>56</v>
      </c>
    </row>
    <row r="408" spans="1:12" x14ac:dyDescent="0.2">
      <c r="A408" s="172" t="s">
        <v>12</v>
      </c>
      <c r="B408" s="172" t="s">
        <v>13</v>
      </c>
      <c r="C408" s="172" t="s">
        <v>14</v>
      </c>
      <c r="D408" s="172" t="s">
        <v>15</v>
      </c>
      <c r="E408" s="173">
        <v>42459</v>
      </c>
      <c r="F408" s="174">
        <v>33.46</v>
      </c>
      <c r="G408" s="175" t="s">
        <v>16</v>
      </c>
      <c r="H408" s="172" t="s">
        <v>20</v>
      </c>
      <c r="I408" s="175">
        <v>1</v>
      </c>
      <c r="J408" s="175" t="s">
        <v>18</v>
      </c>
      <c r="K408" s="175" t="s">
        <v>57</v>
      </c>
      <c r="L408" s="172" t="s">
        <v>56</v>
      </c>
    </row>
    <row r="409" spans="1:12" x14ac:dyDescent="0.2">
      <c r="A409" s="172" t="s">
        <v>12</v>
      </c>
      <c r="B409" s="172" t="s">
        <v>13</v>
      </c>
      <c r="C409" s="172" t="s">
        <v>14</v>
      </c>
      <c r="D409" s="172" t="s">
        <v>15</v>
      </c>
      <c r="E409" s="173">
        <v>42459</v>
      </c>
      <c r="F409" s="176">
        <v>12027.3308399</v>
      </c>
      <c r="G409" s="175" t="s">
        <v>19</v>
      </c>
      <c r="H409" s="172" t="s">
        <v>20</v>
      </c>
      <c r="I409" s="175">
        <v>1</v>
      </c>
      <c r="J409" s="175" t="s">
        <v>18</v>
      </c>
      <c r="K409" s="175" t="s">
        <v>57</v>
      </c>
      <c r="L409" s="172" t="s">
        <v>56</v>
      </c>
    </row>
    <row r="410" spans="1:12" x14ac:dyDescent="0.2">
      <c r="A410" s="172" t="s">
        <v>12</v>
      </c>
      <c r="B410" s="172" t="s">
        <v>13</v>
      </c>
      <c r="C410" s="172" t="s">
        <v>14</v>
      </c>
      <c r="D410" s="172" t="s">
        <v>15</v>
      </c>
      <c r="E410" s="173">
        <v>42452</v>
      </c>
      <c r="F410" s="174">
        <v>37.697524000000001</v>
      </c>
      <c r="G410" s="175" t="s">
        <v>16</v>
      </c>
      <c r="H410" s="172" t="s">
        <v>17</v>
      </c>
      <c r="I410" s="175">
        <v>1</v>
      </c>
      <c r="J410" s="175" t="s">
        <v>18</v>
      </c>
      <c r="K410" s="175" t="s">
        <v>57</v>
      </c>
      <c r="L410" s="172" t="s">
        <v>56</v>
      </c>
    </row>
    <row r="411" spans="1:12" x14ac:dyDescent="0.2">
      <c r="A411" s="172" t="s">
        <v>12</v>
      </c>
      <c r="B411" s="172" t="s">
        <v>13</v>
      </c>
      <c r="C411" s="172" t="s">
        <v>14</v>
      </c>
      <c r="D411" s="172" t="s">
        <v>15</v>
      </c>
      <c r="E411" s="173">
        <v>42452</v>
      </c>
      <c r="F411" s="176">
        <v>11098.226484000001</v>
      </c>
      <c r="G411" s="175" t="s">
        <v>19</v>
      </c>
      <c r="H411" s="172" t="s">
        <v>17</v>
      </c>
      <c r="I411" s="175">
        <v>1</v>
      </c>
      <c r="J411" s="175" t="s">
        <v>18</v>
      </c>
      <c r="K411" s="175" t="s">
        <v>57</v>
      </c>
      <c r="L411" s="172" t="s">
        <v>56</v>
      </c>
    </row>
    <row r="412" spans="1:12" x14ac:dyDescent="0.2">
      <c r="A412" s="172" t="s">
        <v>12</v>
      </c>
      <c r="B412" s="172" t="s">
        <v>13</v>
      </c>
      <c r="C412" s="172" t="s">
        <v>14</v>
      </c>
      <c r="D412" s="172" t="s">
        <v>15</v>
      </c>
      <c r="E412" s="173">
        <v>42452</v>
      </c>
      <c r="F412" s="174">
        <v>31.709</v>
      </c>
      <c r="G412" s="175" t="s">
        <v>16</v>
      </c>
      <c r="H412" s="172" t="s">
        <v>20</v>
      </c>
      <c r="I412" s="175">
        <v>1</v>
      </c>
      <c r="J412" s="175" t="s">
        <v>18</v>
      </c>
      <c r="K412" s="175" t="s">
        <v>57</v>
      </c>
      <c r="L412" s="172" t="s">
        <v>56</v>
      </c>
    </row>
    <row r="413" spans="1:12" x14ac:dyDescent="0.2">
      <c r="A413" s="172" t="s">
        <v>12</v>
      </c>
      <c r="B413" s="172" t="s">
        <v>13</v>
      </c>
      <c r="C413" s="172" t="s">
        <v>14</v>
      </c>
      <c r="D413" s="172" t="s">
        <v>15</v>
      </c>
      <c r="E413" s="173">
        <v>42452</v>
      </c>
      <c r="F413" s="176">
        <v>9599.6460779999998</v>
      </c>
      <c r="G413" s="175" t="s">
        <v>19</v>
      </c>
      <c r="H413" s="172" t="s">
        <v>20</v>
      </c>
      <c r="I413" s="175">
        <v>1</v>
      </c>
      <c r="J413" s="175" t="s">
        <v>18</v>
      </c>
      <c r="K413" s="175" t="s">
        <v>57</v>
      </c>
      <c r="L413" s="172" t="s">
        <v>56</v>
      </c>
    </row>
    <row r="414" spans="1:12" x14ac:dyDescent="0.2">
      <c r="A414" s="172" t="s">
        <v>12</v>
      </c>
      <c r="B414" s="172" t="s">
        <v>13</v>
      </c>
      <c r="C414" s="172" t="s">
        <v>14</v>
      </c>
      <c r="D414" s="172" t="s">
        <v>15</v>
      </c>
      <c r="E414" s="173">
        <v>42445</v>
      </c>
      <c r="F414" s="174">
        <v>34.144845699999998</v>
      </c>
      <c r="G414" s="175" t="s">
        <v>16</v>
      </c>
      <c r="H414" s="172" t="s">
        <v>17</v>
      </c>
      <c r="I414" s="175">
        <v>1</v>
      </c>
      <c r="J414" s="175" t="s">
        <v>18</v>
      </c>
      <c r="K414" s="175" t="s">
        <v>57</v>
      </c>
      <c r="L414" s="172" t="s">
        <v>56</v>
      </c>
    </row>
    <row r="415" spans="1:12" x14ac:dyDescent="0.2">
      <c r="A415" s="172" t="s">
        <v>12</v>
      </c>
      <c r="B415" s="172" t="s">
        <v>13</v>
      </c>
      <c r="C415" s="172" t="s">
        <v>14</v>
      </c>
      <c r="D415" s="172" t="s">
        <v>15</v>
      </c>
      <c r="E415" s="173">
        <v>42445</v>
      </c>
      <c r="F415" s="176">
        <v>14950.3206959</v>
      </c>
      <c r="G415" s="175" t="s">
        <v>19</v>
      </c>
      <c r="H415" s="172" t="s">
        <v>17</v>
      </c>
      <c r="I415" s="175">
        <v>1</v>
      </c>
      <c r="J415" s="175" t="s">
        <v>18</v>
      </c>
      <c r="K415" s="175" t="s">
        <v>57</v>
      </c>
      <c r="L415" s="172" t="s">
        <v>56</v>
      </c>
    </row>
    <row r="416" spans="1:12" x14ac:dyDescent="0.2">
      <c r="A416" s="172" t="s">
        <v>12</v>
      </c>
      <c r="B416" s="172" t="s">
        <v>13</v>
      </c>
      <c r="C416" s="172" t="s">
        <v>14</v>
      </c>
      <c r="D416" s="172" t="s">
        <v>15</v>
      </c>
      <c r="E416" s="173">
        <v>42445</v>
      </c>
      <c r="F416" s="174">
        <v>25.666</v>
      </c>
      <c r="G416" s="175" t="s">
        <v>16</v>
      </c>
      <c r="H416" s="172" t="s">
        <v>20</v>
      </c>
      <c r="I416" s="175">
        <v>1</v>
      </c>
      <c r="J416" s="175" t="s">
        <v>18</v>
      </c>
      <c r="K416" s="175" t="s">
        <v>57</v>
      </c>
      <c r="L416" s="172" t="s">
        <v>56</v>
      </c>
    </row>
    <row r="417" spans="1:12" x14ac:dyDescent="0.2">
      <c r="A417" s="172" t="s">
        <v>12</v>
      </c>
      <c r="B417" s="172" t="s">
        <v>13</v>
      </c>
      <c r="C417" s="172" t="s">
        <v>14</v>
      </c>
      <c r="D417" s="172" t="s">
        <v>15</v>
      </c>
      <c r="E417" s="173">
        <v>42445</v>
      </c>
      <c r="F417" s="176">
        <v>9204.3409198999998</v>
      </c>
      <c r="G417" s="175" t="s">
        <v>19</v>
      </c>
      <c r="H417" s="172" t="s">
        <v>20</v>
      </c>
      <c r="I417" s="175">
        <v>1</v>
      </c>
      <c r="J417" s="175" t="s">
        <v>18</v>
      </c>
      <c r="K417" s="175" t="s">
        <v>57</v>
      </c>
      <c r="L417" s="172" t="s">
        <v>56</v>
      </c>
    </row>
    <row r="418" spans="1:12" x14ac:dyDescent="0.2">
      <c r="A418" s="172" t="s">
        <v>12</v>
      </c>
      <c r="B418" s="172" t="s">
        <v>13</v>
      </c>
      <c r="C418" s="172" t="s">
        <v>14</v>
      </c>
      <c r="D418" s="172" t="s">
        <v>15</v>
      </c>
      <c r="E418" s="173">
        <v>42438</v>
      </c>
      <c r="F418" s="174">
        <v>51.986813099999999</v>
      </c>
      <c r="G418" s="175" t="s">
        <v>16</v>
      </c>
      <c r="H418" s="172" t="s">
        <v>17</v>
      </c>
      <c r="I418" s="175">
        <v>1</v>
      </c>
      <c r="J418" s="175" t="s">
        <v>18</v>
      </c>
      <c r="K418" s="175" t="s">
        <v>57</v>
      </c>
      <c r="L418" s="172" t="s">
        <v>56</v>
      </c>
    </row>
    <row r="419" spans="1:12" x14ac:dyDescent="0.2">
      <c r="A419" s="172" t="s">
        <v>12</v>
      </c>
      <c r="B419" s="172" t="s">
        <v>13</v>
      </c>
      <c r="C419" s="172" t="s">
        <v>14</v>
      </c>
      <c r="D419" s="172" t="s">
        <v>15</v>
      </c>
      <c r="E419" s="173">
        <v>42438</v>
      </c>
      <c r="F419" s="176">
        <v>11836.4615999</v>
      </c>
      <c r="G419" s="175" t="s">
        <v>19</v>
      </c>
      <c r="H419" s="172" t="s">
        <v>17</v>
      </c>
      <c r="I419" s="175">
        <v>1</v>
      </c>
      <c r="J419" s="175" t="s">
        <v>18</v>
      </c>
      <c r="K419" s="175" t="s">
        <v>57</v>
      </c>
      <c r="L419" s="172" t="s">
        <v>56</v>
      </c>
    </row>
    <row r="420" spans="1:12" x14ac:dyDescent="0.2">
      <c r="A420" s="172" t="s">
        <v>12</v>
      </c>
      <c r="B420" s="172" t="s">
        <v>13</v>
      </c>
      <c r="C420" s="172" t="s">
        <v>14</v>
      </c>
      <c r="D420" s="172" t="s">
        <v>15</v>
      </c>
      <c r="E420" s="173">
        <v>42438</v>
      </c>
      <c r="F420" s="174">
        <v>41.52</v>
      </c>
      <c r="G420" s="175" t="s">
        <v>16</v>
      </c>
      <c r="H420" s="172" t="s">
        <v>20</v>
      </c>
      <c r="I420" s="175">
        <v>1</v>
      </c>
      <c r="J420" s="175" t="s">
        <v>18</v>
      </c>
      <c r="K420" s="175" t="s">
        <v>57</v>
      </c>
      <c r="L420" s="172" t="s">
        <v>56</v>
      </c>
    </row>
    <row r="421" spans="1:12" x14ac:dyDescent="0.2">
      <c r="A421" s="172" t="s">
        <v>12</v>
      </c>
      <c r="B421" s="172" t="s">
        <v>13</v>
      </c>
      <c r="C421" s="172" t="s">
        <v>14</v>
      </c>
      <c r="D421" s="172" t="s">
        <v>15</v>
      </c>
      <c r="E421" s="173">
        <v>42438</v>
      </c>
      <c r="F421" s="176">
        <v>9834.2611199999992</v>
      </c>
      <c r="G421" s="175" t="s">
        <v>19</v>
      </c>
      <c r="H421" s="172" t="s">
        <v>20</v>
      </c>
      <c r="I421" s="175">
        <v>1</v>
      </c>
      <c r="J421" s="175" t="s">
        <v>18</v>
      </c>
      <c r="K421" s="175" t="s">
        <v>57</v>
      </c>
      <c r="L421" s="172" t="s">
        <v>56</v>
      </c>
    </row>
    <row r="422" spans="1:12" x14ac:dyDescent="0.2">
      <c r="A422" s="172" t="s">
        <v>12</v>
      </c>
      <c r="B422" s="172" t="s">
        <v>13</v>
      </c>
      <c r="C422" s="172" t="s">
        <v>14</v>
      </c>
      <c r="D422" s="172" t="s">
        <v>15</v>
      </c>
      <c r="E422" s="173">
        <v>42431</v>
      </c>
      <c r="F422" s="174">
        <v>49.941791000000002</v>
      </c>
      <c r="G422" s="175" t="s">
        <v>16</v>
      </c>
      <c r="H422" s="172" t="s">
        <v>17</v>
      </c>
      <c r="I422" s="175">
        <v>1</v>
      </c>
      <c r="J422" s="175" t="s">
        <v>18</v>
      </c>
      <c r="K422" s="175" t="s">
        <v>57</v>
      </c>
      <c r="L422" s="172" t="s">
        <v>56</v>
      </c>
    </row>
    <row r="423" spans="1:12" x14ac:dyDescent="0.2">
      <c r="A423" s="172" t="s">
        <v>12</v>
      </c>
      <c r="B423" s="172" t="s">
        <v>13</v>
      </c>
      <c r="C423" s="172" t="s">
        <v>14</v>
      </c>
      <c r="D423" s="172" t="s">
        <v>15</v>
      </c>
      <c r="E423" s="173">
        <v>42431</v>
      </c>
      <c r="F423" s="176">
        <v>10604.46012</v>
      </c>
      <c r="G423" s="175" t="s">
        <v>19</v>
      </c>
      <c r="H423" s="172" t="s">
        <v>17</v>
      </c>
      <c r="I423" s="175">
        <v>1</v>
      </c>
      <c r="J423" s="175" t="s">
        <v>18</v>
      </c>
      <c r="K423" s="175" t="s">
        <v>57</v>
      </c>
      <c r="L423" s="172" t="s">
        <v>56</v>
      </c>
    </row>
    <row r="424" spans="1:12" x14ac:dyDescent="0.2">
      <c r="A424" s="172" t="s">
        <v>12</v>
      </c>
      <c r="B424" s="172" t="s">
        <v>13</v>
      </c>
      <c r="C424" s="172" t="s">
        <v>14</v>
      </c>
      <c r="D424" s="172" t="s">
        <v>15</v>
      </c>
      <c r="E424" s="173">
        <v>42431</v>
      </c>
      <c r="F424" s="174">
        <v>45.82</v>
      </c>
      <c r="G424" s="175" t="s">
        <v>16</v>
      </c>
      <c r="H424" s="172" t="s">
        <v>20</v>
      </c>
      <c r="I424" s="175">
        <v>1</v>
      </c>
      <c r="J424" s="175" t="s">
        <v>18</v>
      </c>
      <c r="K424" s="175" t="s">
        <v>57</v>
      </c>
      <c r="L424" s="172" t="s">
        <v>56</v>
      </c>
    </row>
    <row r="425" spans="1:12" x14ac:dyDescent="0.2">
      <c r="A425" s="172" t="s">
        <v>12</v>
      </c>
      <c r="B425" s="172" t="s">
        <v>13</v>
      </c>
      <c r="C425" s="172" t="s">
        <v>14</v>
      </c>
      <c r="D425" s="172" t="s">
        <v>15</v>
      </c>
      <c r="E425" s="173">
        <v>42431</v>
      </c>
      <c r="F425" s="176">
        <v>10317.747600000001</v>
      </c>
      <c r="G425" s="175" t="s">
        <v>19</v>
      </c>
      <c r="H425" s="172" t="s">
        <v>20</v>
      </c>
      <c r="I425" s="175">
        <v>1</v>
      </c>
      <c r="J425" s="175" t="s">
        <v>18</v>
      </c>
      <c r="K425" s="175" t="s">
        <v>57</v>
      </c>
      <c r="L425" s="172" t="s">
        <v>56</v>
      </c>
    </row>
    <row r="426" spans="1:12" x14ac:dyDescent="0.2">
      <c r="A426" s="172" t="s">
        <v>12</v>
      </c>
      <c r="B426" s="172" t="s">
        <v>13</v>
      </c>
      <c r="C426" s="172" t="s">
        <v>14</v>
      </c>
      <c r="D426" s="172" t="s">
        <v>15</v>
      </c>
      <c r="E426" s="173">
        <v>42424</v>
      </c>
      <c r="F426" s="174">
        <v>32.105173200000003</v>
      </c>
      <c r="G426" s="175" t="s">
        <v>16</v>
      </c>
      <c r="H426" s="172" t="s">
        <v>17</v>
      </c>
      <c r="I426" s="175">
        <v>1</v>
      </c>
      <c r="J426" s="175" t="s">
        <v>18</v>
      </c>
      <c r="K426" s="175" t="s">
        <v>57</v>
      </c>
      <c r="L426" s="172" t="s">
        <v>56</v>
      </c>
    </row>
    <row r="427" spans="1:12" x14ac:dyDescent="0.2">
      <c r="A427" s="172" t="s">
        <v>12</v>
      </c>
      <c r="B427" s="172" t="s">
        <v>13</v>
      </c>
      <c r="C427" s="172" t="s">
        <v>14</v>
      </c>
      <c r="D427" s="172" t="s">
        <v>15</v>
      </c>
      <c r="E427" s="173">
        <v>42424</v>
      </c>
      <c r="F427" s="176">
        <v>7416.8729219999996</v>
      </c>
      <c r="G427" s="175" t="s">
        <v>19</v>
      </c>
      <c r="H427" s="172" t="s">
        <v>17</v>
      </c>
      <c r="I427" s="175">
        <v>1</v>
      </c>
      <c r="J427" s="175" t="s">
        <v>18</v>
      </c>
      <c r="K427" s="175" t="s">
        <v>57</v>
      </c>
      <c r="L427" s="172" t="s">
        <v>56</v>
      </c>
    </row>
    <row r="428" spans="1:12" x14ac:dyDescent="0.2">
      <c r="A428" s="172" t="s">
        <v>12</v>
      </c>
      <c r="B428" s="172" t="s">
        <v>13</v>
      </c>
      <c r="C428" s="172" t="s">
        <v>14</v>
      </c>
      <c r="D428" s="172" t="s">
        <v>15</v>
      </c>
      <c r="E428" s="173">
        <v>42424</v>
      </c>
      <c r="F428" s="174">
        <v>40.15</v>
      </c>
      <c r="G428" s="175" t="s">
        <v>16</v>
      </c>
      <c r="H428" s="172" t="s">
        <v>20</v>
      </c>
      <c r="I428" s="175">
        <v>1</v>
      </c>
      <c r="J428" s="175" t="s">
        <v>18</v>
      </c>
      <c r="K428" s="175" t="s">
        <v>57</v>
      </c>
      <c r="L428" s="172" t="s">
        <v>56</v>
      </c>
    </row>
    <row r="429" spans="1:12" x14ac:dyDescent="0.2">
      <c r="A429" s="172" t="s">
        <v>12</v>
      </c>
      <c r="B429" s="172" t="s">
        <v>13</v>
      </c>
      <c r="C429" s="172" t="s">
        <v>14</v>
      </c>
      <c r="D429" s="172" t="s">
        <v>15</v>
      </c>
      <c r="E429" s="173">
        <v>42424</v>
      </c>
      <c r="F429" s="176">
        <v>9744.1641</v>
      </c>
      <c r="G429" s="175" t="s">
        <v>19</v>
      </c>
      <c r="H429" s="172" t="s">
        <v>20</v>
      </c>
      <c r="I429" s="175">
        <v>1</v>
      </c>
      <c r="J429" s="175" t="s">
        <v>18</v>
      </c>
      <c r="K429" s="175" t="s">
        <v>57</v>
      </c>
      <c r="L429" s="172" t="s">
        <v>56</v>
      </c>
    </row>
    <row r="430" spans="1:12" x14ac:dyDescent="0.2">
      <c r="A430" s="172" t="s">
        <v>12</v>
      </c>
      <c r="B430" s="172" t="s">
        <v>13</v>
      </c>
      <c r="C430" s="172" t="s">
        <v>14</v>
      </c>
      <c r="D430" s="172" t="s">
        <v>15</v>
      </c>
      <c r="E430" s="173">
        <v>42417</v>
      </c>
      <c r="F430" s="174">
        <v>52.026699600000001</v>
      </c>
      <c r="G430" s="175" t="s">
        <v>16</v>
      </c>
      <c r="H430" s="172" t="s">
        <v>17</v>
      </c>
      <c r="I430" s="175">
        <v>1</v>
      </c>
      <c r="J430" s="175" t="s">
        <v>18</v>
      </c>
      <c r="K430" s="175" t="s">
        <v>57</v>
      </c>
      <c r="L430" s="172" t="s">
        <v>56</v>
      </c>
    </row>
    <row r="431" spans="1:12" x14ac:dyDescent="0.2">
      <c r="A431" s="172" t="s">
        <v>12</v>
      </c>
      <c r="B431" s="172" t="s">
        <v>13</v>
      </c>
      <c r="C431" s="172" t="s">
        <v>14</v>
      </c>
      <c r="D431" s="172" t="s">
        <v>15</v>
      </c>
      <c r="E431" s="173">
        <v>42417</v>
      </c>
      <c r="F431" s="176">
        <v>9636.9784199999995</v>
      </c>
      <c r="G431" s="175" t="s">
        <v>19</v>
      </c>
      <c r="H431" s="172" t="s">
        <v>17</v>
      </c>
      <c r="I431" s="175">
        <v>1</v>
      </c>
      <c r="J431" s="175" t="s">
        <v>18</v>
      </c>
      <c r="K431" s="175" t="s">
        <v>57</v>
      </c>
      <c r="L431" s="172" t="s">
        <v>56</v>
      </c>
    </row>
    <row r="432" spans="1:12" x14ac:dyDescent="0.2">
      <c r="A432" s="172" t="s">
        <v>12</v>
      </c>
      <c r="B432" s="172" t="s">
        <v>13</v>
      </c>
      <c r="C432" s="172" t="s">
        <v>14</v>
      </c>
      <c r="D432" s="172" t="s">
        <v>15</v>
      </c>
      <c r="E432" s="173">
        <v>42417</v>
      </c>
      <c r="F432" s="174">
        <v>40.01</v>
      </c>
      <c r="G432" s="175" t="s">
        <v>16</v>
      </c>
      <c r="H432" s="172" t="s">
        <v>20</v>
      </c>
      <c r="I432" s="175">
        <v>1</v>
      </c>
      <c r="J432" s="175" t="s">
        <v>18</v>
      </c>
      <c r="K432" s="175" t="s">
        <v>57</v>
      </c>
      <c r="L432" s="172" t="s">
        <v>56</v>
      </c>
    </row>
    <row r="433" spans="1:12" x14ac:dyDescent="0.2">
      <c r="A433" s="172" t="s">
        <v>12</v>
      </c>
      <c r="B433" s="172" t="s">
        <v>13</v>
      </c>
      <c r="C433" s="172" t="s">
        <v>14</v>
      </c>
      <c r="D433" s="172" t="s">
        <v>15</v>
      </c>
      <c r="E433" s="173">
        <v>42417</v>
      </c>
      <c r="F433" s="176">
        <v>8141.8749599000002</v>
      </c>
      <c r="G433" s="175" t="s">
        <v>19</v>
      </c>
      <c r="H433" s="172" t="s">
        <v>20</v>
      </c>
      <c r="I433" s="175">
        <v>1</v>
      </c>
      <c r="J433" s="175" t="s">
        <v>18</v>
      </c>
      <c r="K433" s="175" t="s">
        <v>57</v>
      </c>
      <c r="L433" s="172" t="s">
        <v>56</v>
      </c>
    </row>
    <row r="434" spans="1:12" x14ac:dyDescent="0.2">
      <c r="A434" s="172" t="s">
        <v>12</v>
      </c>
      <c r="B434" s="172" t="s">
        <v>13</v>
      </c>
      <c r="C434" s="172" t="s">
        <v>14</v>
      </c>
      <c r="D434" s="172" t="s">
        <v>15</v>
      </c>
      <c r="E434" s="173">
        <v>42410</v>
      </c>
      <c r="F434" s="174">
        <v>22.821693799999998</v>
      </c>
      <c r="G434" s="175" t="s">
        <v>16</v>
      </c>
      <c r="H434" s="172" t="s">
        <v>17</v>
      </c>
      <c r="I434" s="175">
        <v>1</v>
      </c>
      <c r="J434" s="175" t="s">
        <v>18</v>
      </c>
      <c r="K434" s="175" t="s">
        <v>57</v>
      </c>
      <c r="L434" s="172" t="s">
        <v>56</v>
      </c>
    </row>
    <row r="435" spans="1:12" x14ac:dyDescent="0.2">
      <c r="A435" s="172" t="s">
        <v>12</v>
      </c>
      <c r="B435" s="172" t="s">
        <v>13</v>
      </c>
      <c r="C435" s="172" t="s">
        <v>14</v>
      </c>
      <c r="D435" s="172" t="s">
        <v>15</v>
      </c>
      <c r="E435" s="173">
        <v>42410</v>
      </c>
      <c r="F435" s="176">
        <v>4663.1567099000004</v>
      </c>
      <c r="G435" s="175" t="s">
        <v>19</v>
      </c>
      <c r="H435" s="172" t="s">
        <v>17</v>
      </c>
      <c r="I435" s="175">
        <v>1</v>
      </c>
      <c r="J435" s="175" t="s">
        <v>18</v>
      </c>
      <c r="K435" s="175" t="s">
        <v>57</v>
      </c>
      <c r="L435" s="172" t="s">
        <v>56</v>
      </c>
    </row>
    <row r="436" spans="1:12" x14ac:dyDescent="0.2">
      <c r="A436" s="172" t="s">
        <v>12</v>
      </c>
      <c r="B436" s="172" t="s">
        <v>13</v>
      </c>
      <c r="C436" s="172" t="s">
        <v>14</v>
      </c>
      <c r="D436" s="172" t="s">
        <v>15</v>
      </c>
      <c r="E436" s="173">
        <v>42410</v>
      </c>
      <c r="F436" s="174">
        <v>19.4399999</v>
      </c>
      <c r="G436" s="175" t="s">
        <v>16</v>
      </c>
      <c r="H436" s="172" t="s">
        <v>20</v>
      </c>
      <c r="I436" s="175">
        <v>1</v>
      </c>
      <c r="J436" s="175" t="s">
        <v>18</v>
      </c>
      <c r="K436" s="175" t="s">
        <v>57</v>
      </c>
      <c r="L436" s="172" t="s">
        <v>56</v>
      </c>
    </row>
    <row r="437" spans="1:12" x14ac:dyDescent="0.2">
      <c r="A437" s="172" t="s">
        <v>12</v>
      </c>
      <c r="B437" s="172" t="s">
        <v>13</v>
      </c>
      <c r="C437" s="172" t="s">
        <v>14</v>
      </c>
      <c r="D437" s="172" t="s">
        <v>15</v>
      </c>
      <c r="E437" s="173">
        <v>42410</v>
      </c>
      <c r="F437" s="176">
        <v>4312.6473599000001</v>
      </c>
      <c r="G437" s="175" t="s">
        <v>19</v>
      </c>
      <c r="H437" s="172" t="s">
        <v>20</v>
      </c>
      <c r="I437" s="175">
        <v>1</v>
      </c>
      <c r="J437" s="175" t="s">
        <v>18</v>
      </c>
      <c r="K437" s="175" t="s">
        <v>57</v>
      </c>
      <c r="L437" s="172" t="s">
        <v>56</v>
      </c>
    </row>
    <row r="438" spans="1:12" x14ac:dyDescent="0.2">
      <c r="A438" s="172" t="s">
        <v>12</v>
      </c>
      <c r="B438" s="172" t="s">
        <v>13</v>
      </c>
      <c r="C438" s="172" t="s">
        <v>14</v>
      </c>
      <c r="D438" s="172" t="s">
        <v>15</v>
      </c>
      <c r="E438" s="173">
        <v>42403</v>
      </c>
      <c r="F438" s="174">
        <v>16.714011899999999</v>
      </c>
      <c r="G438" s="175" t="s">
        <v>16</v>
      </c>
      <c r="H438" s="172" t="s">
        <v>17</v>
      </c>
      <c r="I438" s="175">
        <v>1</v>
      </c>
      <c r="J438" s="175" t="s">
        <v>18</v>
      </c>
      <c r="K438" s="175" t="s">
        <v>57</v>
      </c>
      <c r="L438" s="172" t="s">
        <v>56</v>
      </c>
    </row>
    <row r="439" spans="1:12" x14ac:dyDescent="0.2">
      <c r="A439" s="172" t="s">
        <v>12</v>
      </c>
      <c r="B439" s="172" t="s">
        <v>13</v>
      </c>
      <c r="C439" s="172" t="s">
        <v>14</v>
      </c>
      <c r="D439" s="172" t="s">
        <v>15</v>
      </c>
      <c r="E439" s="173">
        <v>42403</v>
      </c>
      <c r="F439" s="176">
        <v>4655.7883199999997</v>
      </c>
      <c r="G439" s="175" t="s">
        <v>19</v>
      </c>
      <c r="H439" s="172" t="s">
        <v>17</v>
      </c>
      <c r="I439" s="175">
        <v>1</v>
      </c>
      <c r="J439" s="175" t="s">
        <v>18</v>
      </c>
      <c r="K439" s="175" t="s">
        <v>57</v>
      </c>
      <c r="L439" s="172" t="s">
        <v>56</v>
      </c>
    </row>
    <row r="440" spans="1:12" x14ac:dyDescent="0.2">
      <c r="A440" s="172" t="s">
        <v>12</v>
      </c>
      <c r="B440" s="172" t="s">
        <v>13</v>
      </c>
      <c r="C440" s="172" t="s">
        <v>14</v>
      </c>
      <c r="D440" s="172" t="s">
        <v>15</v>
      </c>
      <c r="E440" s="173">
        <v>42403</v>
      </c>
      <c r="F440" s="174">
        <v>23.75</v>
      </c>
      <c r="G440" s="175" t="s">
        <v>16</v>
      </c>
      <c r="H440" s="172" t="s">
        <v>20</v>
      </c>
      <c r="I440" s="175">
        <v>1</v>
      </c>
      <c r="J440" s="175" t="s">
        <v>18</v>
      </c>
      <c r="K440" s="175" t="s">
        <v>57</v>
      </c>
      <c r="L440" s="172" t="s">
        <v>56</v>
      </c>
    </row>
    <row r="441" spans="1:12" x14ac:dyDescent="0.2">
      <c r="A441" s="172" t="s">
        <v>12</v>
      </c>
      <c r="B441" s="172" t="s">
        <v>13</v>
      </c>
      <c r="C441" s="172" t="s">
        <v>14</v>
      </c>
      <c r="D441" s="172" t="s">
        <v>15</v>
      </c>
      <c r="E441" s="173">
        <v>42403</v>
      </c>
      <c r="F441" s="176">
        <v>7011.8549999999996</v>
      </c>
      <c r="G441" s="175" t="s">
        <v>19</v>
      </c>
      <c r="H441" s="172" t="s">
        <v>20</v>
      </c>
      <c r="I441" s="175">
        <v>1</v>
      </c>
      <c r="J441" s="175" t="s">
        <v>18</v>
      </c>
      <c r="K441" s="175" t="s">
        <v>57</v>
      </c>
      <c r="L441" s="172" t="s">
        <v>56</v>
      </c>
    </row>
    <row r="442" spans="1:12" x14ac:dyDescent="0.2">
      <c r="A442" s="172" t="s">
        <v>12</v>
      </c>
      <c r="B442" s="172" t="s">
        <v>13</v>
      </c>
      <c r="C442" s="172" t="s">
        <v>14</v>
      </c>
      <c r="D442" s="172" t="s">
        <v>15</v>
      </c>
      <c r="E442" s="173">
        <v>42396</v>
      </c>
      <c r="F442" s="174">
        <v>32.453102700000002</v>
      </c>
      <c r="G442" s="175" t="s">
        <v>16</v>
      </c>
      <c r="H442" s="172" t="s">
        <v>17</v>
      </c>
      <c r="I442" s="175">
        <v>1</v>
      </c>
      <c r="J442" s="175" t="s">
        <v>18</v>
      </c>
      <c r="K442" s="175" t="s">
        <v>57</v>
      </c>
      <c r="L442" s="172" t="s">
        <v>56</v>
      </c>
    </row>
    <row r="443" spans="1:12" x14ac:dyDescent="0.2">
      <c r="A443" s="172" t="s">
        <v>12</v>
      </c>
      <c r="B443" s="172" t="s">
        <v>13</v>
      </c>
      <c r="C443" s="172" t="s">
        <v>14</v>
      </c>
      <c r="D443" s="172" t="s">
        <v>15</v>
      </c>
      <c r="E443" s="173">
        <v>42396</v>
      </c>
      <c r="F443" s="176">
        <v>7903.2392038999997</v>
      </c>
      <c r="G443" s="175" t="s">
        <v>19</v>
      </c>
      <c r="H443" s="172" t="s">
        <v>17</v>
      </c>
      <c r="I443" s="175">
        <v>1</v>
      </c>
      <c r="J443" s="175" t="s">
        <v>18</v>
      </c>
      <c r="K443" s="175" t="s">
        <v>57</v>
      </c>
      <c r="L443" s="172" t="s">
        <v>56</v>
      </c>
    </row>
    <row r="444" spans="1:12" x14ac:dyDescent="0.2">
      <c r="A444" s="172" t="s">
        <v>12</v>
      </c>
      <c r="B444" s="172" t="s">
        <v>13</v>
      </c>
      <c r="C444" s="172" t="s">
        <v>14</v>
      </c>
      <c r="D444" s="172" t="s">
        <v>15</v>
      </c>
      <c r="E444" s="173">
        <v>42396</v>
      </c>
      <c r="F444" s="174">
        <v>31.626000000000001</v>
      </c>
      <c r="G444" s="175" t="s">
        <v>16</v>
      </c>
      <c r="H444" s="172" t="s">
        <v>20</v>
      </c>
      <c r="I444" s="175">
        <v>1</v>
      </c>
      <c r="J444" s="175" t="s">
        <v>18</v>
      </c>
      <c r="K444" s="175" t="s">
        <v>57</v>
      </c>
      <c r="L444" s="172" t="s">
        <v>56</v>
      </c>
    </row>
    <row r="445" spans="1:12" x14ac:dyDescent="0.2">
      <c r="A445" s="172" t="s">
        <v>12</v>
      </c>
      <c r="B445" s="172" t="s">
        <v>13</v>
      </c>
      <c r="C445" s="172" t="s">
        <v>14</v>
      </c>
      <c r="D445" s="172" t="s">
        <v>15</v>
      </c>
      <c r="E445" s="173">
        <v>42396</v>
      </c>
      <c r="F445" s="176">
        <v>8176.5860400000001</v>
      </c>
      <c r="G445" s="175" t="s">
        <v>19</v>
      </c>
      <c r="H445" s="172" t="s">
        <v>20</v>
      </c>
      <c r="I445" s="175">
        <v>1</v>
      </c>
      <c r="J445" s="175" t="s">
        <v>18</v>
      </c>
      <c r="K445" s="175" t="s">
        <v>57</v>
      </c>
      <c r="L445" s="172" t="s">
        <v>56</v>
      </c>
    </row>
    <row r="446" spans="1:12" x14ac:dyDescent="0.2">
      <c r="A446" s="172" t="s">
        <v>12</v>
      </c>
      <c r="B446" s="172" t="s">
        <v>13</v>
      </c>
      <c r="C446" s="172" t="s">
        <v>14</v>
      </c>
      <c r="D446" s="172" t="s">
        <v>15</v>
      </c>
      <c r="E446" s="173">
        <v>42389</v>
      </c>
      <c r="F446" s="174">
        <v>49.124774700000003</v>
      </c>
      <c r="G446" s="175" t="s">
        <v>16</v>
      </c>
      <c r="H446" s="172" t="s">
        <v>17</v>
      </c>
      <c r="I446" s="175">
        <v>1</v>
      </c>
      <c r="J446" s="175" t="s">
        <v>18</v>
      </c>
      <c r="K446" s="175" t="s">
        <v>57</v>
      </c>
      <c r="L446" s="172" t="s">
        <v>56</v>
      </c>
    </row>
    <row r="447" spans="1:12" x14ac:dyDescent="0.2">
      <c r="A447" s="172" t="s">
        <v>12</v>
      </c>
      <c r="B447" s="172" t="s">
        <v>13</v>
      </c>
      <c r="C447" s="172" t="s">
        <v>14</v>
      </c>
      <c r="D447" s="172" t="s">
        <v>15</v>
      </c>
      <c r="E447" s="173">
        <v>42389</v>
      </c>
      <c r="F447" s="176">
        <v>13643.030699999999</v>
      </c>
      <c r="G447" s="175" t="s">
        <v>19</v>
      </c>
      <c r="H447" s="172" t="s">
        <v>17</v>
      </c>
      <c r="I447" s="175">
        <v>1</v>
      </c>
      <c r="J447" s="175" t="s">
        <v>18</v>
      </c>
      <c r="K447" s="175" t="s">
        <v>57</v>
      </c>
      <c r="L447" s="172" t="s">
        <v>56</v>
      </c>
    </row>
    <row r="448" spans="1:12" x14ac:dyDescent="0.2">
      <c r="A448" s="172" t="s">
        <v>12</v>
      </c>
      <c r="B448" s="172" t="s">
        <v>13</v>
      </c>
      <c r="C448" s="172" t="s">
        <v>14</v>
      </c>
      <c r="D448" s="172" t="s">
        <v>15</v>
      </c>
      <c r="E448" s="173">
        <v>42389</v>
      </c>
      <c r="F448" s="174">
        <v>25.26</v>
      </c>
      <c r="G448" s="175" t="s">
        <v>16</v>
      </c>
      <c r="H448" s="172" t="s">
        <v>20</v>
      </c>
      <c r="I448" s="175">
        <v>1</v>
      </c>
      <c r="J448" s="175" t="s">
        <v>18</v>
      </c>
      <c r="K448" s="175" t="s">
        <v>57</v>
      </c>
      <c r="L448" s="172" t="s">
        <v>56</v>
      </c>
    </row>
    <row r="449" spans="1:12" x14ac:dyDescent="0.2">
      <c r="A449" s="172" t="s">
        <v>12</v>
      </c>
      <c r="B449" s="172" t="s">
        <v>13</v>
      </c>
      <c r="C449" s="172" t="s">
        <v>14</v>
      </c>
      <c r="D449" s="172" t="s">
        <v>15</v>
      </c>
      <c r="E449" s="173">
        <v>42389</v>
      </c>
      <c r="F449" s="176">
        <v>7478.7281999999996</v>
      </c>
      <c r="G449" s="175" t="s">
        <v>19</v>
      </c>
      <c r="H449" s="172" t="s">
        <v>20</v>
      </c>
      <c r="I449" s="175">
        <v>1</v>
      </c>
      <c r="J449" s="175" t="s">
        <v>18</v>
      </c>
      <c r="K449" s="175" t="s">
        <v>57</v>
      </c>
      <c r="L449" s="172" t="s">
        <v>56</v>
      </c>
    </row>
    <row r="450" spans="1:12" x14ac:dyDescent="0.2">
      <c r="A450" s="172" t="s">
        <v>12</v>
      </c>
      <c r="B450" s="172" t="s">
        <v>13</v>
      </c>
      <c r="C450" s="172" t="s">
        <v>14</v>
      </c>
      <c r="D450" s="172" t="s">
        <v>15</v>
      </c>
      <c r="E450" s="173">
        <v>42382</v>
      </c>
      <c r="F450" s="174">
        <v>21.2203178</v>
      </c>
      <c r="G450" s="175" t="s">
        <v>16</v>
      </c>
      <c r="H450" s="172" t="s">
        <v>17</v>
      </c>
      <c r="I450" s="175">
        <v>1</v>
      </c>
      <c r="J450" s="175" t="s">
        <v>18</v>
      </c>
      <c r="K450" s="175" t="s">
        <v>57</v>
      </c>
      <c r="L450" s="172" t="s">
        <v>56</v>
      </c>
    </row>
    <row r="451" spans="1:12" x14ac:dyDescent="0.2">
      <c r="A451" s="172" t="s">
        <v>12</v>
      </c>
      <c r="B451" s="172" t="s">
        <v>13</v>
      </c>
      <c r="C451" s="172" t="s">
        <v>14</v>
      </c>
      <c r="D451" s="172" t="s">
        <v>15</v>
      </c>
      <c r="E451" s="173">
        <v>42382</v>
      </c>
      <c r="F451" s="176">
        <v>6459.6769439999998</v>
      </c>
      <c r="G451" s="175" t="s">
        <v>19</v>
      </c>
      <c r="H451" s="172" t="s">
        <v>17</v>
      </c>
      <c r="I451" s="175">
        <v>1</v>
      </c>
      <c r="J451" s="175" t="s">
        <v>18</v>
      </c>
      <c r="K451" s="175" t="s">
        <v>57</v>
      </c>
      <c r="L451" s="172" t="s">
        <v>56</v>
      </c>
    </row>
    <row r="452" spans="1:12" x14ac:dyDescent="0.2">
      <c r="A452" s="172" t="s">
        <v>12</v>
      </c>
      <c r="B452" s="172" t="s">
        <v>13</v>
      </c>
      <c r="C452" s="172" t="s">
        <v>14</v>
      </c>
      <c r="D452" s="172" t="s">
        <v>15</v>
      </c>
      <c r="E452" s="173">
        <v>42382</v>
      </c>
      <c r="F452" s="174">
        <v>18.72</v>
      </c>
      <c r="G452" s="175" t="s">
        <v>16</v>
      </c>
      <c r="H452" s="172" t="s">
        <v>20</v>
      </c>
      <c r="I452" s="175">
        <v>1</v>
      </c>
      <c r="J452" s="175" t="s">
        <v>18</v>
      </c>
      <c r="K452" s="175" t="s">
        <v>57</v>
      </c>
      <c r="L452" s="172" t="s">
        <v>56</v>
      </c>
    </row>
    <row r="453" spans="1:12" x14ac:dyDescent="0.2">
      <c r="A453" s="172" t="s">
        <v>12</v>
      </c>
      <c r="B453" s="172" t="s">
        <v>13</v>
      </c>
      <c r="C453" s="172" t="s">
        <v>14</v>
      </c>
      <c r="D453" s="172" t="s">
        <v>15</v>
      </c>
      <c r="E453" s="173">
        <v>42382</v>
      </c>
      <c r="F453" s="176">
        <v>5917.1299198999995</v>
      </c>
      <c r="G453" s="175" t="s">
        <v>19</v>
      </c>
      <c r="H453" s="172" t="s">
        <v>20</v>
      </c>
      <c r="I453" s="175">
        <v>1</v>
      </c>
      <c r="J453" s="175" t="s">
        <v>18</v>
      </c>
      <c r="K453" s="175" t="s">
        <v>57</v>
      </c>
      <c r="L453" s="172" t="s">
        <v>56</v>
      </c>
    </row>
    <row r="454" spans="1:12" x14ac:dyDescent="0.2">
      <c r="A454" s="172" t="s">
        <v>12</v>
      </c>
      <c r="B454" s="172" t="s">
        <v>13</v>
      </c>
      <c r="C454" s="172" t="s">
        <v>14</v>
      </c>
      <c r="D454" s="172" t="s">
        <v>15</v>
      </c>
      <c r="E454" s="173">
        <v>42376</v>
      </c>
      <c r="F454" s="174">
        <v>28.806111099999999</v>
      </c>
      <c r="G454" s="175" t="s">
        <v>16</v>
      </c>
      <c r="H454" s="172" t="s">
        <v>17</v>
      </c>
      <c r="I454" s="175">
        <v>1</v>
      </c>
      <c r="J454" s="175" t="s">
        <v>18</v>
      </c>
      <c r="K454" s="175" t="s">
        <v>57</v>
      </c>
      <c r="L454" s="172" t="s">
        <v>56</v>
      </c>
    </row>
    <row r="455" spans="1:12" x14ac:dyDescent="0.2">
      <c r="A455" s="172" t="s">
        <v>12</v>
      </c>
      <c r="B455" s="172" t="s">
        <v>13</v>
      </c>
      <c r="C455" s="172" t="s">
        <v>14</v>
      </c>
      <c r="D455" s="172" t="s">
        <v>15</v>
      </c>
      <c r="E455" s="173">
        <v>42376</v>
      </c>
      <c r="F455" s="176">
        <v>8432.5281300000006</v>
      </c>
      <c r="G455" s="175" t="s">
        <v>19</v>
      </c>
      <c r="H455" s="172" t="s">
        <v>17</v>
      </c>
      <c r="I455" s="175">
        <v>1</v>
      </c>
      <c r="J455" s="175" t="s">
        <v>18</v>
      </c>
      <c r="K455" s="175" t="s">
        <v>57</v>
      </c>
      <c r="L455" s="172" t="s">
        <v>56</v>
      </c>
    </row>
    <row r="456" spans="1:12" x14ac:dyDescent="0.2">
      <c r="A456" s="172" t="s">
        <v>12</v>
      </c>
      <c r="B456" s="172" t="s">
        <v>13</v>
      </c>
      <c r="C456" s="172" t="s">
        <v>14</v>
      </c>
      <c r="D456" s="172" t="s">
        <v>15</v>
      </c>
      <c r="E456" s="173">
        <v>42376</v>
      </c>
      <c r="F456" s="174">
        <v>23.111999999999998</v>
      </c>
      <c r="G456" s="175" t="s">
        <v>16</v>
      </c>
      <c r="H456" s="172" t="s">
        <v>20</v>
      </c>
      <c r="I456" s="175">
        <v>1</v>
      </c>
      <c r="J456" s="175" t="s">
        <v>18</v>
      </c>
      <c r="K456" s="175" t="s">
        <v>57</v>
      </c>
      <c r="L456" s="172" t="s">
        <v>56</v>
      </c>
    </row>
    <row r="457" spans="1:12" x14ac:dyDescent="0.2">
      <c r="A457" s="172" t="s">
        <v>12</v>
      </c>
      <c r="B457" s="172" t="s">
        <v>13</v>
      </c>
      <c r="C457" s="172" t="s">
        <v>14</v>
      </c>
      <c r="D457" s="172" t="s">
        <v>15</v>
      </c>
      <c r="E457" s="173">
        <v>42376</v>
      </c>
      <c r="F457" s="176">
        <v>7343.9304480000001</v>
      </c>
      <c r="G457" s="175" t="s">
        <v>19</v>
      </c>
      <c r="H457" s="172" t="s">
        <v>20</v>
      </c>
      <c r="I457" s="175">
        <v>1</v>
      </c>
      <c r="J457" s="175" t="s">
        <v>18</v>
      </c>
      <c r="K457" s="175" t="s">
        <v>57</v>
      </c>
      <c r="L457" s="172" t="s">
        <v>56</v>
      </c>
    </row>
    <row r="458" spans="1:12" x14ac:dyDescent="0.2">
      <c r="A458" s="172" t="s">
        <v>12</v>
      </c>
      <c r="B458" s="172" t="s">
        <v>13</v>
      </c>
      <c r="C458" s="172" t="s">
        <v>14</v>
      </c>
      <c r="D458" s="172" t="s">
        <v>15</v>
      </c>
      <c r="E458" s="173">
        <v>42367</v>
      </c>
      <c r="F458" s="174">
        <v>22.538656700000001</v>
      </c>
      <c r="G458" s="175" t="s">
        <v>16</v>
      </c>
      <c r="H458" s="172" t="s">
        <v>17</v>
      </c>
      <c r="I458" s="175">
        <v>1</v>
      </c>
      <c r="J458" s="175" t="s">
        <v>18</v>
      </c>
      <c r="K458" s="175" t="s">
        <v>57</v>
      </c>
      <c r="L458" s="172" t="s">
        <v>56</v>
      </c>
    </row>
    <row r="459" spans="1:12" x14ac:dyDescent="0.2">
      <c r="A459" s="172" t="s">
        <v>12</v>
      </c>
      <c r="B459" s="172" t="s">
        <v>13</v>
      </c>
      <c r="C459" s="172" t="s">
        <v>14</v>
      </c>
      <c r="D459" s="172" t="s">
        <v>15</v>
      </c>
      <c r="E459" s="173">
        <v>42367</v>
      </c>
      <c r="F459" s="176">
        <v>10131.7122239</v>
      </c>
      <c r="G459" s="175" t="s">
        <v>19</v>
      </c>
      <c r="H459" s="172" t="s">
        <v>17</v>
      </c>
      <c r="I459" s="175">
        <v>1</v>
      </c>
      <c r="J459" s="175" t="s">
        <v>18</v>
      </c>
      <c r="K459" s="175" t="s">
        <v>57</v>
      </c>
      <c r="L459" s="172" t="s">
        <v>56</v>
      </c>
    </row>
    <row r="460" spans="1:12" x14ac:dyDescent="0.2">
      <c r="A460" s="172" t="s">
        <v>12</v>
      </c>
      <c r="B460" s="172" t="s">
        <v>13</v>
      </c>
      <c r="C460" s="172" t="s">
        <v>14</v>
      </c>
      <c r="D460" s="172" t="s">
        <v>15</v>
      </c>
      <c r="E460" s="173">
        <v>42367</v>
      </c>
      <c r="F460" s="174">
        <v>15.82</v>
      </c>
      <c r="G460" s="175" t="s">
        <v>16</v>
      </c>
      <c r="H460" s="172" t="s">
        <v>20</v>
      </c>
      <c r="I460" s="175">
        <v>1</v>
      </c>
      <c r="J460" s="175" t="s">
        <v>18</v>
      </c>
      <c r="K460" s="175" t="s">
        <v>57</v>
      </c>
      <c r="L460" s="172" t="s">
        <v>56</v>
      </c>
    </row>
    <row r="461" spans="1:12" x14ac:dyDescent="0.2">
      <c r="A461" s="172" t="s">
        <v>12</v>
      </c>
      <c r="B461" s="172" t="s">
        <v>13</v>
      </c>
      <c r="C461" s="172" t="s">
        <v>14</v>
      </c>
      <c r="D461" s="172" t="s">
        <v>15</v>
      </c>
      <c r="E461" s="173">
        <v>42367</v>
      </c>
      <c r="F461" s="176">
        <v>5950.4398799999999</v>
      </c>
      <c r="G461" s="175" t="s">
        <v>19</v>
      </c>
      <c r="H461" s="172" t="s">
        <v>20</v>
      </c>
      <c r="I461" s="175">
        <v>1</v>
      </c>
      <c r="J461" s="175" t="s">
        <v>18</v>
      </c>
      <c r="K461" s="175" t="s">
        <v>57</v>
      </c>
      <c r="L461" s="172" t="s">
        <v>56</v>
      </c>
    </row>
    <row r="462" spans="1:12" x14ac:dyDescent="0.2">
      <c r="A462" s="172" t="s">
        <v>12</v>
      </c>
      <c r="B462" s="172" t="s">
        <v>13</v>
      </c>
      <c r="C462" s="172" t="s">
        <v>14</v>
      </c>
      <c r="D462" s="172" t="s">
        <v>15</v>
      </c>
      <c r="E462" s="173">
        <v>42358</v>
      </c>
      <c r="F462" s="174">
        <v>24.397303900000001</v>
      </c>
      <c r="G462" s="175" t="s">
        <v>16</v>
      </c>
      <c r="H462" s="172" t="s">
        <v>17</v>
      </c>
      <c r="I462" s="175">
        <v>1</v>
      </c>
      <c r="J462" s="175" t="s">
        <v>18</v>
      </c>
      <c r="K462" s="175" t="s">
        <v>57</v>
      </c>
      <c r="L462" s="172" t="s">
        <v>56</v>
      </c>
    </row>
    <row r="463" spans="1:12" x14ac:dyDescent="0.2">
      <c r="A463" s="172" t="s">
        <v>12</v>
      </c>
      <c r="B463" s="172" t="s">
        <v>13</v>
      </c>
      <c r="C463" s="172" t="s">
        <v>14</v>
      </c>
      <c r="D463" s="172" t="s">
        <v>15</v>
      </c>
      <c r="E463" s="173">
        <v>42358</v>
      </c>
      <c r="F463" s="176">
        <v>8301.7194</v>
      </c>
      <c r="G463" s="175" t="s">
        <v>19</v>
      </c>
      <c r="H463" s="172" t="s">
        <v>17</v>
      </c>
      <c r="I463" s="175">
        <v>1</v>
      </c>
      <c r="J463" s="175" t="s">
        <v>18</v>
      </c>
      <c r="K463" s="175" t="s">
        <v>57</v>
      </c>
      <c r="L463" s="172" t="s">
        <v>56</v>
      </c>
    </row>
    <row r="464" spans="1:12" x14ac:dyDescent="0.2">
      <c r="A464" s="172" t="s">
        <v>12</v>
      </c>
      <c r="B464" s="172" t="s">
        <v>13</v>
      </c>
      <c r="C464" s="172" t="s">
        <v>14</v>
      </c>
      <c r="D464" s="172" t="s">
        <v>15</v>
      </c>
      <c r="E464" s="173">
        <v>42358</v>
      </c>
      <c r="F464" s="174">
        <v>13.715</v>
      </c>
      <c r="G464" s="175" t="s">
        <v>16</v>
      </c>
      <c r="H464" s="172" t="s">
        <v>20</v>
      </c>
      <c r="I464" s="175">
        <v>1</v>
      </c>
      <c r="J464" s="175" t="s">
        <v>18</v>
      </c>
      <c r="K464" s="175" t="s">
        <v>57</v>
      </c>
      <c r="L464" s="172" t="s">
        <v>56</v>
      </c>
    </row>
    <row r="465" spans="1:12" x14ac:dyDescent="0.2">
      <c r="A465" s="172" t="s">
        <v>12</v>
      </c>
      <c r="B465" s="172" t="s">
        <v>13</v>
      </c>
      <c r="C465" s="172" t="s">
        <v>14</v>
      </c>
      <c r="D465" s="172" t="s">
        <v>15</v>
      </c>
      <c r="E465" s="173">
        <v>42358</v>
      </c>
      <c r="F465" s="176">
        <v>4929.9116100000001</v>
      </c>
      <c r="G465" s="175" t="s">
        <v>19</v>
      </c>
      <c r="H465" s="172" t="s">
        <v>20</v>
      </c>
      <c r="I465" s="175">
        <v>1</v>
      </c>
      <c r="J465" s="175" t="s">
        <v>18</v>
      </c>
      <c r="K465" s="175" t="s">
        <v>57</v>
      </c>
      <c r="L465" s="172" t="s">
        <v>56</v>
      </c>
    </row>
    <row r="466" spans="1:12" x14ac:dyDescent="0.2">
      <c r="A466" s="172" t="s">
        <v>12</v>
      </c>
      <c r="B466" s="172" t="s">
        <v>13</v>
      </c>
      <c r="C466" s="172" t="s">
        <v>14</v>
      </c>
      <c r="D466" s="172" t="s">
        <v>15</v>
      </c>
      <c r="E466" s="173">
        <v>42354</v>
      </c>
      <c r="F466" s="174">
        <v>21.741769999999999</v>
      </c>
      <c r="G466" s="175" t="s">
        <v>16</v>
      </c>
      <c r="H466" s="172" t="s">
        <v>17</v>
      </c>
      <c r="I466" s="175">
        <v>1</v>
      </c>
      <c r="J466" s="175" t="s">
        <v>18</v>
      </c>
      <c r="K466" s="175" t="s">
        <v>57</v>
      </c>
      <c r="L466" s="172" t="s">
        <v>56</v>
      </c>
    </row>
    <row r="467" spans="1:12" x14ac:dyDescent="0.2">
      <c r="A467" s="172" t="s">
        <v>12</v>
      </c>
      <c r="B467" s="172" t="s">
        <v>13</v>
      </c>
      <c r="C467" s="172" t="s">
        <v>14</v>
      </c>
      <c r="D467" s="172" t="s">
        <v>15</v>
      </c>
      <c r="E467" s="173">
        <v>42354</v>
      </c>
      <c r="F467" s="176">
        <v>9936.6846599</v>
      </c>
      <c r="G467" s="175" t="s">
        <v>19</v>
      </c>
      <c r="H467" s="172" t="s">
        <v>17</v>
      </c>
      <c r="I467" s="175">
        <v>1</v>
      </c>
      <c r="J467" s="175" t="s">
        <v>18</v>
      </c>
      <c r="K467" s="175" t="s">
        <v>57</v>
      </c>
      <c r="L467" s="172" t="s">
        <v>56</v>
      </c>
    </row>
    <row r="468" spans="1:12" x14ac:dyDescent="0.2">
      <c r="A468" s="172" t="s">
        <v>12</v>
      </c>
      <c r="B468" s="172" t="s">
        <v>13</v>
      </c>
      <c r="C468" s="172" t="s">
        <v>14</v>
      </c>
      <c r="D468" s="172" t="s">
        <v>15</v>
      </c>
      <c r="E468" s="173">
        <v>42354</v>
      </c>
      <c r="F468" s="174">
        <v>16.036000000000001</v>
      </c>
      <c r="G468" s="175" t="s">
        <v>16</v>
      </c>
      <c r="H468" s="172" t="s">
        <v>20</v>
      </c>
      <c r="I468" s="175">
        <v>1</v>
      </c>
      <c r="J468" s="175" t="s">
        <v>18</v>
      </c>
      <c r="K468" s="175" t="s">
        <v>57</v>
      </c>
      <c r="L468" s="172" t="s">
        <v>56</v>
      </c>
    </row>
    <row r="469" spans="1:12" x14ac:dyDescent="0.2">
      <c r="A469" s="172" t="s">
        <v>12</v>
      </c>
      <c r="B469" s="172" t="s">
        <v>13</v>
      </c>
      <c r="C469" s="172" t="s">
        <v>14</v>
      </c>
      <c r="D469" s="172" t="s">
        <v>15</v>
      </c>
      <c r="E469" s="173">
        <v>42354</v>
      </c>
      <c r="F469" s="176">
        <v>5871.1965360000004</v>
      </c>
      <c r="G469" s="175" t="s">
        <v>19</v>
      </c>
      <c r="H469" s="172" t="s">
        <v>20</v>
      </c>
      <c r="I469" s="175">
        <v>1</v>
      </c>
      <c r="J469" s="175" t="s">
        <v>18</v>
      </c>
      <c r="K469" s="175" t="s">
        <v>57</v>
      </c>
      <c r="L469" s="172" t="s">
        <v>56</v>
      </c>
    </row>
    <row r="470" spans="1:12" x14ac:dyDescent="0.2">
      <c r="A470" s="172" t="s">
        <v>12</v>
      </c>
      <c r="B470" s="172" t="s">
        <v>13</v>
      </c>
      <c r="C470" s="172" t="s">
        <v>14</v>
      </c>
      <c r="D470" s="172" t="s">
        <v>15</v>
      </c>
      <c r="E470" s="173">
        <v>42347</v>
      </c>
      <c r="F470" s="174">
        <v>5.9531600999999998</v>
      </c>
      <c r="G470" s="175" t="s">
        <v>16</v>
      </c>
      <c r="H470" s="172" t="s">
        <v>17</v>
      </c>
      <c r="I470" s="175">
        <v>1</v>
      </c>
      <c r="J470" s="175" t="s">
        <v>18</v>
      </c>
      <c r="K470" s="175" t="s">
        <v>57</v>
      </c>
      <c r="L470" s="172" t="s">
        <v>56</v>
      </c>
    </row>
    <row r="471" spans="1:12" x14ac:dyDescent="0.2">
      <c r="A471" s="172" t="s">
        <v>12</v>
      </c>
      <c r="B471" s="172" t="s">
        <v>13</v>
      </c>
      <c r="C471" s="172" t="s">
        <v>14</v>
      </c>
      <c r="D471" s="172" t="s">
        <v>15</v>
      </c>
      <c r="E471" s="173">
        <v>42347</v>
      </c>
      <c r="F471" s="176">
        <v>1643.3936639999999</v>
      </c>
      <c r="G471" s="175" t="s">
        <v>19</v>
      </c>
      <c r="H471" s="172" t="s">
        <v>17</v>
      </c>
      <c r="I471" s="175">
        <v>1</v>
      </c>
      <c r="J471" s="175" t="s">
        <v>18</v>
      </c>
      <c r="K471" s="175" t="s">
        <v>57</v>
      </c>
      <c r="L471" s="172" t="s">
        <v>56</v>
      </c>
    </row>
    <row r="472" spans="1:12" x14ac:dyDescent="0.2">
      <c r="A472" s="172" t="s">
        <v>12</v>
      </c>
      <c r="B472" s="172" t="s">
        <v>13</v>
      </c>
      <c r="C472" s="172" t="s">
        <v>14</v>
      </c>
      <c r="D472" s="172" t="s">
        <v>15</v>
      </c>
      <c r="E472" s="173">
        <v>42347</v>
      </c>
      <c r="F472" s="174">
        <v>18.559999999999999</v>
      </c>
      <c r="G472" s="175" t="s">
        <v>16</v>
      </c>
      <c r="H472" s="172" t="s">
        <v>20</v>
      </c>
      <c r="I472" s="175">
        <v>1</v>
      </c>
      <c r="J472" s="175" t="s">
        <v>18</v>
      </c>
      <c r="K472" s="175" t="s">
        <v>57</v>
      </c>
      <c r="L472" s="172" t="s">
        <v>56</v>
      </c>
    </row>
    <row r="473" spans="1:12" x14ac:dyDescent="0.2">
      <c r="A473" s="172" t="s">
        <v>12</v>
      </c>
      <c r="B473" s="172" t="s">
        <v>13</v>
      </c>
      <c r="C473" s="172" t="s">
        <v>14</v>
      </c>
      <c r="D473" s="172" t="s">
        <v>15</v>
      </c>
      <c r="E473" s="173">
        <v>42347</v>
      </c>
      <c r="F473" s="176">
        <v>5448.6220800000001</v>
      </c>
      <c r="G473" s="175" t="s">
        <v>19</v>
      </c>
      <c r="H473" s="172" t="s">
        <v>20</v>
      </c>
      <c r="I473" s="175">
        <v>1</v>
      </c>
      <c r="J473" s="175" t="s">
        <v>18</v>
      </c>
      <c r="K473" s="175" t="s">
        <v>57</v>
      </c>
      <c r="L473" s="172" t="s">
        <v>56</v>
      </c>
    </row>
    <row r="474" spans="1:12" x14ac:dyDescent="0.2">
      <c r="A474" s="172" t="s">
        <v>12</v>
      </c>
      <c r="B474" s="172" t="s">
        <v>13</v>
      </c>
      <c r="C474" s="172" t="s">
        <v>14</v>
      </c>
      <c r="D474" s="172" t="s">
        <v>15</v>
      </c>
      <c r="E474" s="173">
        <v>42340</v>
      </c>
      <c r="F474" s="174">
        <v>10.6465637</v>
      </c>
      <c r="G474" s="175" t="s">
        <v>16</v>
      </c>
      <c r="H474" s="172" t="s">
        <v>17</v>
      </c>
      <c r="I474" s="175">
        <v>1</v>
      </c>
      <c r="J474" s="175" t="s">
        <v>18</v>
      </c>
      <c r="K474" s="175" t="s">
        <v>57</v>
      </c>
      <c r="L474" s="172" t="s">
        <v>56</v>
      </c>
    </row>
    <row r="475" spans="1:12" x14ac:dyDescent="0.2">
      <c r="A475" s="172" t="s">
        <v>12</v>
      </c>
      <c r="B475" s="172" t="s">
        <v>13</v>
      </c>
      <c r="C475" s="172" t="s">
        <v>14</v>
      </c>
      <c r="D475" s="172" t="s">
        <v>15</v>
      </c>
      <c r="E475" s="173">
        <v>42340</v>
      </c>
      <c r="F475" s="176">
        <v>4599.4432800000004</v>
      </c>
      <c r="G475" s="175" t="s">
        <v>19</v>
      </c>
      <c r="H475" s="172" t="s">
        <v>17</v>
      </c>
      <c r="I475" s="175">
        <v>1</v>
      </c>
      <c r="J475" s="175" t="s">
        <v>18</v>
      </c>
      <c r="K475" s="175" t="s">
        <v>57</v>
      </c>
      <c r="L475" s="172" t="s">
        <v>56</v>
      </c>
    </row>
    <row r="476" spans="1:12" x14ac:dyDescent="0.2">
      <c r="A476" s="172" t="s">
        <v>12</v>
      </c>
      <c r="B476" s="172" t="s">
        <v>13</v>
      </c>
      <c r="C476" s="172" t="s">
        <v>14</v>
      </c>
      <c r="D476" s="172" t="s">
        <v>15</v>
      </c>
      <c r="E476" s="173">
        <v>42340</v>
      </c>
      <c r="F476" s="174">
        <v>14.471</v>
      </c>
      <c r="G476" s="175" t="s">
        <v>16</v>
      </c>
      <c r="H476" s="172" t="s">
        <v>20</v>
      </c>
      <c r="I476" s="175">
        <v>1</v>
      </c>
      <c r="J476" s="175" t="s">
        <v>18</v>
      </c>
      <c r="K476" s="175" t="s">
        <v>57</v>
      </c>
      <c r="L476" s="172" t="s">
        <v>56</v>
      </c>
    </row>
    <row r="477" spans="1:12" x14ac:dyDescent="0.2">
      <c r="A477" s="172" t="s">
        <v>12</v>
      </c>
      <c r="B477" s="172" t="s">
        <v>13</v>
      </c>
      <c r="C477" s="172" t="s">
        <v>14</v>
      </c>
      <c r="D477" s="172" t="s">
        <v>15</v>
      </c>
      <c r="E477" s="173">
        <v>42340</v>
      </c>
      <c r="F477" s="176">
        <v>5225.7964619000004</v>
      </c>
      <c r="G477" s="175" t="s">
        <v>19</v>
      </c>
      <c r="H477" s="172" t="s">
        <v>20</v>
      </c>
      <c r="I477" s="175">
        <v>1</v>
      </c>
      <c r="J477" s="175" t="s">
        <v>18</v>
      </c>
      <c r="K477" s="175" t="s">
        <v>57</v>
      </c>
      <c r="L477" s="172" t="s">
        <v>56</v>
      </c>
    </row>
    <row r="478" spans="1:12" x14ac:dyDescent="0.2">
      <c r="A478" s="172" t="s">
        <v>12</v>
      </c>
      <c r="B478" s="172" t="s">
        <v>13</v>
      </c>
      <c r="C478" s="172" t="s">
        <v>14</v>
      </c>
      <c r="D478" s="172" t="s">
        <v>15</v>
      </c>
      <c r="E478" s="173">
        <v>42331</v>
      </c>
      <c r="F478" s="174">
        <v>18.365217300000001</v>
      </c>
      <c r="G478" s="175" t="s">
        <v>16</v>
      </c>
      <c r="H478" s="172" t="s">
        <v>17</v>
      </c>
      <c r="I478" s="175">
        <v>1</v>
      </c>
      <c r="J478" s="175" t="s">
        <v>18</v>
      </c>
      <c r="K478" s="175" t="s">
        <v>57</v>
      </c>
      <c r="L478" s="172" t="s">
        <v>56</v>
      </c>
    </row>
    <row r="479" spans="1:12" x14ac:dyDescent="0.2">
      <c r="A479" s="172" t="s">
        <v>12</v>
      </c>
      <c r="B479" s="172" t="s">
        <v>13</v>
      </c>
      <c r="C479" s="172" t="s">
        <v>14</v>
      </c>
      <c r="D479" s="172" t="s">
        <v>15</v>
      </c>
      <c r="E479" s="173">
        <v>42331</v>
      </c>
      <c r="F479" s="176">
        <v>5284.2239999000003</v>
      </c>
      <c r="G479" s="175" t="s">
        <v>19</v>
      </c>
      <c r="H479" s="172" t="s">
        <v>17</v>
      </c>
      <c r="I479" s="175">
        <v>1</v>
      </c>
      <c r="J479" s="175" t="s">
        <v>18</v>
      </c>
      <c r="K479" s="175" t="s">
        <v>57</v>
      </c>
      <c r="L479" s="172" t="s">
        <v>56</v>
      </c>
    </row>
    <row r="480" spans="1:12" x14ac:dyDescent="0.2">
      <c r="A480" s="172" t="s">
        <v>12</v>
      </c>
      <c r="B480" s="172" t="s">
        <v>13</v>
      </c>
      <c r="C480" s="172" t="s">
        <v>14</v>
      </c>
      <c r="D480" s="172" t="s">
        <v>15</v>
      </c>
      <c r="E480" s="173">
        <v>42331</v>
      </c>
      <c r="F480" s="174">
        <v>16.690000000000001</v>
      </c>
      <c r="G480" s="175" t="s">
        <v>16</v>
      </c>
      <c r="H480" s="172" t="s">
        <v>20</v>
      </c>
      <c r="I480" s="175">
        <v>1</v>
      </c>
      <c r="J480" s="175" t="s">
        <v>18</v>
      </c>
      <c r="K480" s="175" t="s">
        <v>57</v>
      </c>
      <c r="L480" s="172" t="s">
        <v>56</v>
      </c>
    </row>
    <row r="481" spans="1:12" x14ac:dyDescent="0.2">
      <c r="A481" s="172" t="s">
        <v>12</v>
      </c>
      <c r="B481" s="172" t="s">
        <v>13</v>
      </c>
      <c r="C481" s="172" t="s">
        <v>14</v>
      </c>
      <c r="D481" s="172" t="s">
        <v>15</v>
      </c>
      <c r="E481" s="173">
        <v>42331</v>
      </c>
      <c r="F481" s="176">
        <v>5150.2002000000002</v>
      </c>
      <c r="G481" s="175" t="s">
        <v>19</v>
      </c>
      <c r="H481" s="172" t="s">
        <v>20</v>
      </c>
      <c r="I481" s="175">
        <v>1</v>
      </c>
      <c r="J481" s="175" t="s">
        <v>18</v>
      </c>
      <c r="K481" s="175" t="s">
        <v>57</v>
      </c>
      <c r="L481" s="172" t="s">
        <v>56</v>
      </c>
    </row>
    <row r="482" spans="1:12" x14ac:dyDescent="0.2">
      <c r="A482" s="172" t="s">
        <v>12</v>
      </c>
      <c r="B482" s="172" t="s">
        <v>13</v>
      </c>
      <c r="C482" s="172" t="s">
        <v>14</v>
      </c>
      <c r="D482" s="172" t="s">
        <v>15</v>
      </c>
      <c r="E482" s="173">
        <v>42326</v>
      </c>
      <c r="F482" s="174">
        <v>20.952354</v>
      </c>
      <c r="G482" s="175" t="s">
        <v>16</v>
      </c>
      <c r="H482" s="172" t="s">
        <v>17</v>
      </c>
      <c r="I482" s="175">
        <v>1</v>
      </c>
      <c r="J482" s="175" t="s">
        <v>18</v>
      </c>
      <c r="K482" s="175" t="s">
        <v>57</v>
      </c>
      <c r="L482" s="172" t="s">
        <v>56</v>
      </c>
    </row>
    <row r="483" spans="1:12" x14ac:dyDescent="0.2">
      <c r="A483" s="172" t="s">
        <v>12</v>
      </c>
      <c r="B483" s="172" t="s">
        <v>13</v>
      </c>
      <c r="C483" s="172" t="s">
        <v>14</v>
      </c>
      <c r="D483" s="172" t="s">
        <v>15</v>
      </c>
      <c r="E483" s="173">
        <v>42326</v>
      </c>
      <c r="F483" s="176">
        <v>9278.8337998999996</v>
      </c>
      <c r="G483" s="175" t="s">
        <v>19</v>
      </c>
      <c r="H483" s="172" t="s">
        <v>17</v>
      </c>
      <c r="I483" s="175">
        <v>1</v>
      </c>
      <c r="J483" s="175" t="s">
        <v>18</v>
      </c>
      <c r="K483" s="175" t="s">
        <v>57</v>
      </c>
      <c r="L483" s="172" t="s">
        <v>56</v>
      </c>
    </row>
    <row r="484" spans="1:12" x14ac:dyDescent="0.2">
      <c r="A484" s="172" t="s">
        <v>12</v>
      </c>
      <c r="B484" s="172" t="s">
        <v>13</v>
      </c>
      <c r="C484" s="172" t="s">
        <v>14</v>
      </c>
      <c r="D484" s="172" t="s">
        <v>15</v>
      </c>
      <c r="E484" s="173">
        <v>42326</v>
      </c>
      <c r="F484" s="174">
        <v>10.8799999</v>
      </c>
      <c r="G484" s="175" t="s">
        <v>16</v>
      </c>
      <c r="H484" s="172" t="s">
        <v>20</v>
      </c>
      <c r="I484" s="175">
        <v>1</v>
      </c>
      <c r="J484" s="175" t="s">
        <v>18</v>
      </c>
      <c r="K484" s="175" t="s">
        <v>57</v>
      </c>
      <c r="L484" s="172" t="s">
        <v>56</v>
      </c>
    </row>
    <row r="485" spans="1:12" x14ac:dyDescent="0.2">
      <c r="A485" s="172" t="s">
        <v>12</v>
      </c>
      <c r="B485" s="172" t="s">
        <v>13</v>
      </c>
      <c r="C485" s="172" t="s">
        <v>14</v>
      </c>
      <c r="D485" s="172" t="s">
        <v>15</v>
      </c>
      <c r="E485" s="173">
        <v>42326</v>
      </c>
      <c r="F485" s="176">
        <v>3929.0073599000002</v>
      </c>
      <c r="G485" s="175" t="s">
        <v>19</v>
      </c>
      <c r="H485" s="172" t="s">
        <v>20</v>
      </c>
      <c r="I485" s="175">
        <v>1</v>
      </c>
      <c r="J485" s="175" t="s">
        <v>18</v>
      </c>
      <c r="K485" s="175" t="s">
        <v>57</v>
      </c>
      <c r="L485" s="172" t="s">
        <v>56</v>
      </c>
    </row>
    <row r="486" spans="1:12" x14ac:dyDescent="0.2">
      <c r="A486" s="172" t="s">
        <v>12</v>
      </c>
      <c r="B486" s="172" t="s">
        <v>13</v>
      </c>
      <c r="C486" s="172" t="s">
        <v>14</v>
      </c>
      <c r="D486" s="172" t="s">
        <v>15</v>
      </c>
      <c r="E486" s="173">
        <v>42319</v>
      </c>
      <c r="F486" s="174">
        <v>48.803061200000002</v>
      </c>
      <c r="G486" s="175" t="s">
        <v>16</v>
      </c>
      <c r="H486" s="172" t="s">
        <v>17</v>
      </c>
      <c r="I486" s="175">
        <v>1</v>
      </c>
      <c r="J486" s="175" t="s">
        <v>18</v>
      </c>
      <c r="K486" s="175" t="s">
        <v>57</v>
      </c>
      <c r="L486" s="172" t="s">
        <v>56</v>
      </c>
    </row>
    <row r="487" spans="1:12" x14ac:dyDescent="0.2">
      <c r="A487" s="172" t="s">
        <v>12</v>
      </c>
      <c r="B487" s="172" t="s">
        <v>13</v>
      </c>
      <c r="C487" s="172" t="s">
        <v>14</v>
      </c>
      <c r="D487" s="172" t="s">
        <v>15</v>
      </c>
      <c r="E487" s="173">
        <v>42319</v>
      </c>
      <c r="F487" s="176">
        <v>7977.5436</v>
      </c>
      <c r="G487" s="175" t="s">
        <v>19</v>
      </c>
      <c r="H487" s="172" t="s">
        <v>17</v>
      </c>
      <c r="I487" s="175">
        <v>1</v>
      </c>
      <c r="J487" s="175" t="s">
        <v>18</v>
      </c>
      <c r="K487" s="175" t="s">
        <v>57</v>
      </c>
      <c r="L487" s="172" t="s">
        <v>56</v>
      </c>
    </row>
    <row r="488" spans="1:12" x14ac:dyDescent="0.2">
      <c r="A488" s="172" t="s">
        <v>12</v>
      </c>
      <c r="B488" s="172" t="s">
        <v>13</v>
      </c>
      <c r="C488" s="172" t="s">
        <v>14</v>
      </c>
      <c r="D488" s="172" t="s">
        <v>15</v>
      </c>
      <c r="E488" s="173">
        <v>42319</v>
      </c>
      <c r="F488" s="174">
        <v>29.4</v>
      </c>
      <c r="G488" s="175" t="s">
        <v>16</v>
      </c>
      <c r="H488" s="172" t="s">
        <v>20</v>
      </c>
      <c r="I488" s="175">
        <v>1</v>
      </c>
      <c r="J488" s="175" t="s">
        <v>18</v>
      </c>
      <c r="K488" s="175" t="s">
        <v>57</v>
      </c>
      <c r="L488" s="172" t="s">
        <v>56</v>
      </c>
    </row>
    <row r="489" spans="1:12" x14ac:dyDescent="0.2">
      <c r="A489" s="172" t="s">
        <v>12</v>
      </c>
      <c r="B489" s="172" t="s">
        <v>13</v>
      </c>
      <c r="C489" s="172" t="s">
        <v>14</v>
      </c>
      <c r="D489" s="172" t="s">
        <v>15</v>
      </c>
      <c r="E489" s="173">
        <v>42319</v>
      </c>
      <c r="F489" s="176">
        <v>5149.116</v>
      </c>
      <c r="G489" s="175" t="s">
        <v>19</v>
      </c>
      <c r="H489" s="172" t="s">
        <v>20</v>
      </c>
      <c r="I489" s="175">
        <v>1</v>
      </c>
      <c r="J489" s="175" t="s">
        <v>18</v>
      </c>
      <c r="K489" s="175" t="s">
        <v>57</v>
      </c>
      <c r="L489" s="172" t="s">
        <v>56</v>
      </c>
    </row>
    <row r="490" spans="1:12" x14ac:dyDescent="0.2">
      <c r="A490" s="172" t="s">
        <v>12</v>
      </c>
      <c r="B490" s="172" t="s">
        <v>13</v>
      </c>
      <c r="C490" s="172" t="s">
        <v>14</v>
      </c>
      <c r="D490" s="172" t="s">
        <v>15</v>
      </c>
      <c r="E490" s="173">
        <v>42311</v>
      </c>
      <c r="F490" s="174">
        <v>45.475000000000001</v>
      </c>
      <c r="G490" s="175" t="s">
        <v>16</v>
      </c>
      <c r="H490" s="172" t="s">
        <v>17</v>
      </c>
      <c r="I490" s="175">
        <v>1</v>
      </c>
      <c r="J490" s="175" t="s">
        <v>18</v>
      </c>
      <c r="K490" s="175" t="s">
        <v>57</v>
      </c>
      <c r="L490" s="172" t="s">
        <v>56</v>
      </c>
    </row>
    <row r="491" spans="1:12" x14ac:dyDescent="0.2">
      <c r="A491" s="172" t="s">
        <v>12</v>
      </c>
      <c r="B491" s="172" t="s">
        <v>13</v>
      </c>
      <c r="C491" s="172" t="s">
        <v>14</v>
      </c>
      <c r="D491" s="172" t="s">
        <v>15</v>
      </c>
      <c r="E491" s="173">
        <v>42311</v>
      </c>
      <c r="F491" s="176">
        <v>7281.8207998999997</v>
      </c>
      <c r="G491" s="175" t="s">
        <v>19</v>
      </c>
      <c r="H491" s="172" t="s">
        <v>17</v>
      </c>
      <c r="I491" s="175">
        <v>1</v>
      </c>
      <c r="J491" s="175" t="s">
        <v>18</v>
      </c>
      <c r="K491" s="175" t="s">
        <v>57</v>
      </c>
      <c r="L491" s="172" t="s">
        <v>56</v>
      </c>
    </row>
    <row r="492" spans="1:12" x14ac:dyDescent="0.2">
      <c r="A492" s="172" t="s">
        <v>12</v>
      </c>
      <c r="B492" s="172" t="s">
        <v>13</v>
      </c>
      <c r="C492" s="172" t="s">
        <v>14</v>
      </c>
      <c r="D492" s="172" t="s">
        <v>15</v>
      </c>
      <c r="E492" s="173">
        <v>42311</v>
      </c>
      <c r="F492" s="174">
        <v>16.829999999999998</v>
      </c>
      <c r="G492" s="175" t="s">
        <v>16</v>
      </c>
      <c r="H492" s="172" t="s">
        <v>20</v>
      </c>
      <c r="I492" s="175">
        <v>1</v>
      </c>
      <c r="J492" s="175" t="s">
        <v>18</v>
      </c>
      <c r="K492" s="175" t="s">
        <v>57</v>
      </c>
      <c r="L492" s="172" t="s">
        <v>56</v>
      </c>
    </row>
    <row r="493" spans="1:12" x14ac:dyDescent="0.2">
      <c r="A493" s="172" t="s">
        <v>12</v>
      </c>
      <c r="B493" s="172" t="s">
        <v>13</v>
      </c>
      <c r="C493" s="172" t="s">
        <v>14</v>
      </c>
      <c r="D493" s="172" t="s">
        <v>15</v>
      </c>
      <c r="E493" s="173">
        <v>42311</v>
      </c>
      <c r="F493" s="176">
        <v>2863.3888799000001</v>
      </c>
      <c r="G493" s="175" t="s">
        <v>19</v>
      </c>
      <c r="H493" s="172" t="s">
        <v>20</v>
      </c>
      <c r="I493" s="175">
        <v>1</v>
      </c>
      <c r="J493" s="175" t="s">
        <v>18</v>
      </c>
      <c r="K493" s="175" t="s">
        <v>57</v>
      </c>
      <c r="L493" s="172" t="s">
        <v>56</v>
      </c>
    </row>
    <row r="494" spans="1:12" x14ac:dyDescent="0.2">
      <c r="A494" s="172" t="s">
        <v>12</v>
      </c>
      <c r="B494" s="172" t="s">
        <v>13</v>
      </c>
      <c r="C494" s="172" t="s">
        <v>14</v>
      </c>
      <c r="D494" s="172" t="s">
        <v>15</v>
      </c>
      <c r="E494" s="173">
        <v>42304</v>
      </c>
      <c r="F494" s="174">
        <v>31.721717099999999</v>
      </c>
      <c r="G494" s="175" t="s">
        <v>16</v>
      </c>
      <c r="H494" s="172" t="s">
        <v>17</v>
      </c>
      <c r="I494" s="175">
        <v>1</v>
      </c>
      <c r="J494" s="175" t="s">
        <v>18</v>
      </c>
      <c r="K494" s="175" t="s">
        <v>57</v>
      </c>
      <c r="L494" s="172" t="s">
        <v>56</v>
      </c>
    </row>
    <row r="495" spans="1:12" x14ac:dyDescent="0.2">
      <c r="A495" s="172" t="s">
        <v>12</v>
      </c>
      <c r="B495" s="172" t="s">
        <v>13</v>
      </c>
      <c r="C495" s="172" t="s">
        <v>14</v>
      </c>
      <c r="D495" s="172" t="s">
        <v>15</v>
      </c>
      <c r="E495" s="173">
        <v>42304</v>
      </c>
      <c r="F495" s="176">
        <v>5238.2705999</v>
      </c>
      <c r="G495" s="175" t="s">
        <v>19</v>
      </c>
      <c r="H495" s="172" t="s">
        <v>17</v>
      </c>
      <c r="I495" s="175">
        <v>1</v>
      </c>
      <c r="J495" s="175" t="s">
        <v>18</v>
      </c>
      <c r="K495" s="175" t="s">
        <v>57</v>
      </c>
      <c r="L495" s="172" t="s">
        <v>56</v>
      </c>
    </row>
    <row r="496" spans="1:12" x14ac:dyDescent="0.2">
      <c r="A496" s="172" t="s">
        <v>12</v>
      </c>
      <c r="B496" s="172" t="s">
        <v>13</v>
      </c>
      <c r="C496" s="172" t="s">
        <v>14</v>
      </c>
      <c r="D496" s="172" t="s">
        <v>15</v>
      </c>
      <c r="E496" s="173">
        <v>42304</v>
      </c>
      <c r="F496" s="174">
        <v>24</v>
      </c>
      <c r="G496" s="175" t="s">
        <v>16</v>
      </c>
      <c r="H496" s="172" t="s">
        <v>20</v>
      </c>
      <c r="I496" s="175">
        <v>1</v>
      </c>
      <c r="J496" s="175" t="s">
        <v>18</v>
      </c>
      <c r="K496" s="175" t="s">
        <v>57</v>
      </c>
      <c r="L496" s="172" t="s">
        <v>56</v>
      </c>
    </row>
    <row r="497" spans="1:12" x14ac:dyDescent="0.2">
      <c r="A497" s="172" t="s">
        <v>12</v>
      </c>
      <c r="B497" s="172" t="s">
        <v>13</v>
      </c>
      <c r="C497" s="172" t="s">
        <v>14</v>
      </c>
      <c r="D497" s="172" t="s">
        <v>15</v>
      </c>
      <c r="E497" s="173">
        <v>42304</v>
      </c>
      <c r="F497" s="176">
        <v>4163.3280000000004</v>
      </c>
      <c r="G497" s="175" t="s">
        <v>19</v>
      </c>
      <c r="H497" s="172" t="s">
        <v>20</v>
      </c>
      <c r="I497" s="175">
        <v>1</v>
      </c>
      <c r="J497" s="175" t="s">
        <v>18</v>
      </c>
      <c r="K497" s="175" t="s">
        <v>57</v>
      </c>
      <c r="L497" s="172" t="s">
        <v>56</v>
      </c>
    </row>
    <row r="498" spans="1:12" x14ac:dyDescent="0.2">
      <c r="A498" s="172" t="s">
        <v>12</v>
      </c>
      <c r="B498" s="172" t="s">
        <v>13</v>
      </c>
      <c r="C498" s="172" t="s">
        <v>14</v>
      </c>
      <c r="D498" s="172" t="s">
        <v>15</v>
      </c>
      <c r="E498" s="173">
        <v>42296</v>
      </c>
      <c r="F498" s="174">
        <v>62.1029239</v>
      </c>
      <c r="G498" s="175" t="s">
        <v>16</v>
      </c>
      <c r="H498" s="172" t="s">
        <v>17</v>
      </c>
      <c r="I498" s="175">
        <v>1</v>
      </c>
      <c r="J498" s="175" t="s">
        <v>18</v>
      </c>
      <c r="K498" s="175" t="s">
        <v>57</v>
      </c>
      <c r="L498" s="172" t="s">
        <v>56</v>
      </c>
    </row>
    <row r="499" spans="1:12" x14ac:dyDescent="0.2">
      <c r="A499" s="172" t="s">
        <v>12</v>
      </c>
      <c r="B499" s="172" t="s">
        <v>13</v>
      </c>
      <c r="C499" s="172" t="s">
        <v>14</v>
      </c>
      <c r="D499" s="172" t="s">
        <v>15</v>
      </c>
      <c r="E499" s="173">
        <v>42296</v>
      </c>
      <c r="F499" s="176">
        <v>8856.7463998999992</v>
      </c>
      <c r="G499" s="175" t="s">
        <v>19</v>
      </c>
      <c r="H499" s="172" t="s">
        <v>17</v>
      </c>
      <c r="I499" s="175">
        <v>1</v>
      </c>
      <c r="J499" s="175" t="s">
        <v>18</v>
      </c>
      <c r="K499" s="175" t="s">
        <v>57</v>
      </c>
      <c r="L499" s="172" t="s">
        <v>56</v>
      </c>
    </row>
    <row r="500" spans="1:12" x14ac:dyDescent="0.2">
      <c r="A500" s="172" t="s">
        <v>12</v>
      </c>
      <c r="B500" s="172" t="s">
        <v>13</v>
      </c>
      <c r="C500" s="172" t="s">
        <v>14</v>
      </c>
      <c r="D500" s="172" t="s">
        <v>15</v>
      </c>
      <c r="E500" s="173">
        <v>42296</v>
      </c>
      <c r="F500" s="174">
        <v>26.4</v>
      </c>
      <c r="G500" s="175" t="s">
        <v>16</v>
      </c>
      <c r="H500" s="172" t="s">
        <v>20</v>
      </c>
      <c r="I500" s="175">
        <v>1</v>
      </c>
      <c r="J500" s="175" t="s">
        <v>18</v>
      </c>
      <c r="K500" s="175" t="s">
        <v>57</v>
      </c>
      <c r="L500" s="172" t="s">
        <v>56</v>
      </c>
    </row>
    <row r="501" spans="1:12" x14ac:dyDescent="0.2">
      <c r="A501" s="172" t="s">
        <v>12</v>
      </c>
      <c r="B501" s="172" t="s">
        <v>13</v>
      </c>
      <c r="C501" s="172" t="s">
        <v>14</v>
      </c>
      <c r="D501" s="172" t="s">
        <v>15</v>
      </c>
      <c r="E501" s="173">
        <v>42296</v>
      </c>
      <c r="F501" s="176">
        <v>4029.2208000000001</v>
      </c>
      <c r="G501" s="175" t="s">
        <v>19</v>
      </c>
      <c r="H501" s="172" t="s">
        <v>20</v>
      </c>
      <c r="I501" s="175">
        <v>1</v>
      </c>
      <c r="J501" s="175" t="s">
        <v>18</v>
      </c>
      <c r="K501" s="175" t="s">
        <v>57</v>
      </c>
      <c r="L501" s="172" t="s">
        <v>56</v>
      </c>
    </row>
    <row r="502" spans="1:12" x14ac:dyDescent="0.2">
      <c r="A502" s="172" t="s">
        <v>12</v>
      </c>
      <c r="B502" s="172" t="s">
        <v>13</v>
      </c>
      <c r="C502" s="172" t="s">
        <v>14</v>
      </c>
      <c r="D502" s="172" t="s">
        <v>15</v>
      </c>
      <c r="E502" s="173">
        <v>42291</v>
      </c>
      <c r="F502" s="174">
        <v>37.863256200000002</v>
      </c>
      <c r="G502" s="175" t="s">
        <v>16</v>
      </c>
      <c r="H502" s="172" t="s">
        <v>17</v>
      </c>
      <c r="I502" s="175">
        <v>1</v>
      </c>
      <c r="J502" s="175" t="s">
        <v>18</v>
      </c>
      <c r="K502" s="175" t="s">
        <v>57</v>
      </c>
      <c r="L502" s="172" t="s">
        <v>56</v>
      </c>
    </row>
    <row r="503" spans="1:12" x14ac:dyDescent="0.2">
      <c r="A503" s="172" t="s">
        <v>12</v>
      </c>
      <c r="B503" s="172" t="s">
        <v>13</v>
      </c>
      <c r="C503" s="172" t="s">
        <v>14</v>
      </c>
      <c r="D503" s="172" t="s">
        <v>15</v>
      </c>
      <c r="E503" s="173">
        <v>42291</v>
      </c>
      <c r="F503" s="176">
        <v>5052.4729139999999</v>
      </c>
      <c r="G503" s="175" t="s">
        <v>19</v>
      </c>
      <c r="H503" s="172" t="s">
        <v>17</v>
      </c>
      <c r="I503" s="175">
        <v>1</v>
      </c>
      <c r="J503" s="175" t="s">
        <v>18</v>
      </c>
      <c r="K503" s="175" t="s">
        <v>57</v>
      </c>
      <c r="L503" s="172" t="s">
        <v>56</v>
      </c>
    </row>
    <row r="504" spans="1:12" x14ac:dyDescent="0.2">
      <c r="A504" s="172" t="s">
        <v>12</v>
      </c>
      <c r="B504" s="172" t="s">
        <v>13</v>
      </c>
      <c r="C504" s="172" t="s">
        <v>14</v>
      </c>
      <c r="D504" s="172" t="s">
        <v>15</v>
      </c>
      <c r="E504" s="173">
        <v>42291</v>
      </c>
      <c r="F504" s="174">
        <v>24.571999999999999</v>
      </c>
      <c r="G504" s="175" t="s">
        <v>16</v>
      </c>
      <c r="H504" s="172" t="s">
        <v>20</v>
      </c>
      <c r="I504" s="175">
        <v>1</v>
      </c>
      <c r="J504" s="175" t="s">
        <v>18</v>
      </c>
      <c r="K504" s="175" t="s">
        <v>57</v>
      </c>
      <c r="L504" s="172" t="s">
        <v>56</v>
      </c>
    </row>
    <row r="505" spans="1:12" x14ac:dyDescent="0.2">
      <c r="A505" s="172" t="s">
        <v>12</v>
      </c>
      <c r="B505" s="172" t="s">
        <v>13</v>
      </c>
      <c r="C505" s="172" t="s">
        <v>14</v>
      </c>
      <c r="D505" s="172" t="s">
        <v>15</v>
      </c>
      <c r="E505" s="173">
        <v>42291</v>
      </c>
      <c r="F505" s="176">
        <v>3545.2973040000002</v>
      </c>
      <c r="G505" s="175" t="s">
        <v>19</v>
      </c>
      <c r="H505" s="172" t="s">
        <v>20</v>
      </c>
      <c r="I505" s="175">
        <v>1</v>
      </c>
      <c r="J505" s="175" t="s">
        <v>18</v>
      </c>
      <c r="K505" s="175" t="s">
        <v>57</v>
      </c>
      <c r="L505" s="172" t="s">
        <v>56</v>
      </c>
    </row>
    <row r="506" spans="1:12" x14ac:dyDescent="0.2">
      <c r="A506" s="172" t="s">
        <v>12</v>
      </c>
      <c r="B506" s="172" t="s">
        <v>13</v>
      </c>
      <c r="C506" s="172" t="s">
        <v>14</v>
      </c>
      <c r="D506" s="172" t="s">
        <v>15</v>
      </c>
      <c r="E506" s="173">
        <v>42284</v>
      </c>
      <c r="F506" s="174">
        <v>33.9453684</v>
      </c>
      <c r="G506" s="175" t="s">
        <v>16</v>
      </c>
      <c r="H506" s="172" t="s">
        <v>17</v>
      </c>
      <c r="I506" s="175">
        <v>1</v>
      </c>
      <c r="J506" s="175" t="s">
        <v>18</v>
      </c>
      <c r="K506" s="175" t="s">
        <v>57</v>
      </c>
      <c r="L506" s="172" t="s">
        <v>56</v>
      </c>
    </row>
    <row r="507" spans="1:12" x14ac:dyDescent="0.2">
      <c r="A507" s="172" t="s">
        <v>12</v>
      </c>
      <c r="B507" s="172" t="s">
        <v>13</v>
      </c>
      <c r="C507" s="172" t="s">
        <v>14</v>
      </c>
      <c r="D507" s="172" t="s">
        <v>15</v>
      </c>
      <c r="E507" s="173">
        <v>42284</v>
      </c>
      <c r="F507" s="176">
        <v>4841.0847720000002</v>
      </c>
      <c r="G507" s="175" t="s">
        <v>19</v>
      </c>
      <c r="H507" s="172" t="s">
        <v>17</v>
      </c>
      <c r="I507" s="175">
        <v>1</v>
      </c>
      <c r="J507" s="175" t="s">
        <v>18</v>
      </c>
      <c r="K507" s="175" t="s">
        <v>57</v>
      </c>
      <c r="L507" s="172" t="s">
        <v>56</v>
      </c>
    </row>
    <row r="508" spans="1:12" x14ac:dyDescent="0.2">
      <c r="A508" s="172" t="s">
        <v>12</v>
      </c>
      <c r="B508" s="172" t="s">
        <v>13</v>
      </c>
      <c r="C508" s="172" t="s">
        <v>14</v>
      </c>
      <c r="D508" s="172" t="s">
        <v>15</v>
      </c>
      <c r="E508" s="173">
        <v>42284</v>
      </c>
      <c r="F508" s="174">
        <v>32.308999999999997</v>
      </c>
      <c r="G508" s="175" t="s">
        <v>16</v>
      </c>
      <c r="H508" s="172" t="s">
        <v>20</v>
      </c>
      <c r="I508" s="175">
        <v>1</v>
      </c>
      <c r="J508" s="175" t="s">
        <v>18</v>
      </c>
      <c r="K508" s="175" t="s">
        <v>57</v>
      </c>
      <c r="L508" s="172" t="s">
        <v>56</v>
      </c>
    </row>
    <row r="509" spans="1:12" x14ac:dyDescent="0.2">
      <c r="A509" s="172" t="s">
        <v>12</v>
      </c>
      <c r="B509" s="172" t="s">
        <v>13</v>
      </c>
      <c r="C509" s="172" t="s">
        <v>14</v>
      </c>
      <c r="D509" s="172" t="s">
        <v>15</v>
      </c>
      <c r="E509" s="173">
        <v>42284</v>
      </c>
      <c r="F509" s="176">
        <v>4850.2270798999998</v>
      </c>
      <c r="G509" s="175" t="s">
        <v>19</v>
      </c>
      <c r="H509" s="172" t="s">
        <v>20</v>
      </c>
      <c r="I509" s="175">
        <v>1</v>
      </c>
      <c r="J509" s="175" t="s">
        <v>18</v>
      </c>
      <c r="K509" s="175" t="s">
        <v>57</v>
      </c>
      <c r="L509" s="172" t="s">
        <v>56</v>
      </c>
    </row>
    <row r="510" spans="1:12" x14ac:dyDescent="0.2">
      <c r="A510" s="172" t="s">
        <v>12</v>
      </c>
      <c r="B510" s="172" t="s">
        <v>13</v>
      </c>
      <c r="C510" s="172" t="s">
        <v>14</v>
      </c>
      <c r="D510" s="172" t="s">
        <v>15</v>
      </c>
      <c r="E510" s="173">
        <v>42278</v>
      </c>
      <c r="F510" s="174">
        <v>31.2799999</v>
      </c>
      <c r="G510" s="175" t="s">
        <v>16</v>
      </c>
      <c r="H510" s="172" t="s">
        <v>17</v>
      </c>
      <c r="I510" s="175">
        <v>1</v>
      </c>
      <c r="J510" s="175" t="s">
        <v>18</v>
      </c>
      <c r="K510" s="175" t="s">
        <v>57</v>
      </c>
      <c r="L510" s="172" t="s">
        <v>56</v>
      </c>
    </row>
    <row r="511" spans="1:12" x14ac:dyDescent="0.2">
      <c r="A511" s="172" t="s">
        <v>12</v>
      </c>
      <c r="B511" s="172" t="s">
        <v>13</v>
      </c>
      <c r="C511" s="172" t="s">
        <v>14</v>
      </c>
      <c r="D511" s="172" t="s">
        <v>15</v>
      </c>
      <c r="E511" s="173">
        <v>42278</v>
      </c>
      <c r="F511" s="176">
        <v>4565.3159999</v>
      </c>
      <c r="G511" s="175" t="s">
        <v>19</v>
      </c>
      <c r="H511" s="172" t="s">
        <v>17</v>
      </c>
      <c r="I511" s="175">
        <v>1</v>
      </c>
      <c r="J511" s="175" t="s">
        <v>18</v>
      </c>
      <c r="K511" s="175" t="s">
        <v>57</v>
      </c>
      <c r="L511" s="172" t="s">
        <v>56</v>
      </c>
    </row>
    <row r="512" spans="1:12" x14ac:dyDescent="0.2">
      <c r="A512" s="172" t="s">
        <v>12</v>
      </c>
      <c r="B512" s="172" t="s">
        <v>13</v>
      </c>
      <c r="C512" s="172" t="s">
        <v>14</v>
      </c>
      <c r="D512" s="172" t="s">
        <v>15</v>
      </c>
      <c r="E512" s="173">
        <v>42278</v>
      </c>
      <c r="F512" s="174">
        <v>48.4</v>
      </c>
      <c r="G512" s="175" t="s">
        <v>16</v>
      </c>
      <c r="H512" s="172" t="s">
        <v>20</v>
      </c>
      <c r="I512" s="175">
        <v>1</v>
      </c>
      <c r="J512" s="175" t="s">
        <v>18</v>
      </c>
      <c r="K512" s="175" t="s">
        <v>57</v>
      </c>
      <c r="L512" s="172" t="s">
        <v>56</v>
      </c>
    </row>
    <row r="513" spans="1:12" x14ac:dyDescent="0.2">
      <c r="A513" s="172" t="s">
        <v>12</v>
      </c>
      <c r="B513" s="172" t="s">
        <v>13</v>
      </c>
      <c r="C513" s="172" t="s">
        <v>14</v>
      </c>
      <c r="D513" s="172" t="s">
        <v>15</v>
      </c>
      <c r="E513" s="173">
        <v>42278</v>
      </c>
      <c r="F513" s="176">
        <v>7467.6359998999997</v>
      </c>
      <c r="G513" s="175" t="s">
        <v>19</v>
      </c>
      <c r="H513" s="172" t="s">
        <v>20</v>
      </c>
      <c r="I513" s="175">
        <v>1</v>
      </c>
      <c r="J513" s="175" t="s">
        <v>18</v>
      </c>
      <c r="K513" s="175" t="s">
        <v>57</v>
      </c>
      <c r="L513" s="172" t="s">
        <v>56</v>
      </c>
    </row>
    <row r="514" spans="1:12" x14ac:dyDescent="0.2">
      <c r="A514" s="172" t="s">
        <v>12</v>
      </c>
      <c r="B514" s="172" t="s">
        <v>13</v>
      </c>
      <c r="C514" s="172" t="s">
        <v>14</v>
      </c>
      <c r="D514" s="172" t="s">
        <v>15</v>
      </c>
      <c r="E514" s="173">
        <v>42269</v>
      </c>
      <c r="F514" s="174">
        <v>36.296599999999998</v>
      </c>
      <c r="G514" s="175" t="s">
        <v>16</v>
      </c>
      <c r="H514" s="172" t="s">
        <v>17</v>
      </c>
      <c r="I514" s="175">
        <v>1</v>
      </c>
      <c r="J514" s="175" t="s">
        <v>18</v>
      </c>
      <c r="K514" s="175" t="s">
        <v>57</v>
      </c>
      <c r="L514" s="172" t="s">
        <v>56</v>
      </c>
    </row>
    <row r="515" spans="1:12" x14ac:dyDescent="0.2">
      <c r="A515" s="172" t="s">
        <v>12</v>
      </c>
      <c r="B515" s="172" t="s">
        <v>13</v>
      </c>
      <c r="C515" s="172" t="s">
        <v>14</v>
      </c>
      <c r="D515" s="172" t="s">
        <v>15</v>
      </c>
      <c r="E515" s="173">
        <v>42269</v>
      </c>
      <c r="F515" s="176">
        <v>6054.2728800000004</v>
      </c>
      <c r="G515" s="175" t="s">
        <v>19</v>
      </c>
      <c r="H515" s="172" t="s">
        <v>17</v>
      </c>
      <c r="I515" s="175">
        <v>1</v>
      </c>
      <c r="J515" s="175" t="s">
        <v>18</v>
      </c>
      <c r="K515" s="175" t="s">
        <v>57</v>
      </c>
      <c r="L515" s="172" t="s">
        <v>56</v>
      </c>
    </row>
    <row r="516" spans="1:12" x14ac:dyDescent="0.2">
      <c r="A516" s="172" t="s">
        <v>12</v>
      </c>
      <c r="B516" s="172" t="s">
        <v>13</v>
      </c>
      <c r="C516" s="172" t="s">
        <v>14</v>
      </c>
      <c r="D516" s="172" t="s">
        <v>15</v>
      </c>
      <c r="E516" s="173">
        <v>42269</v>
      </c>
      <c r="F516" s="174">
        <v>33.046999999999997</v>
      </c>
      <c r="G516" s="175" t="s">
        <v>16</v>
      </c>
      <c r="H516" s="172" t="s">
        <v>20</v>
      </c>
      <c r="I516" s="175">
        <v>1</v>
      </c>
      <c r="J516" s="175" t="s">
        <v>18</v>
      </c>
      <c r="K516" s="175" t="s">
        <v>57</v>
      </c>
      <c r="L516" s="172" t="s">
        <v>56</v>
      </c>
    </row>
    <row r="517" spans="1:12" x14ac:dyDescent="0.2">
      <c r="A517" s="172" t="s">
        <v>12</v>
      </c>
      <c r="B517" s="172" t="s">
        <v>13</v>
      </c>
      <c r="C517" s="172" t="s">
        <v>14</v>
      </c>
      <c r="D517" s="172" t="s">
        <v>15</v>
      </c>
      <c r="E517" s="173">
        <v>42269</v>
      </c>
      <c r="F517" s="176">
        <v>6559.5651239999997</v>
      </c>
      <c r="G517" s="175" t="s">
        <v>19</v>
      </c>
      <c r="H517" s="172" t="s">
        <v>20</v>
      </c>
      <c r="I517" s="175">
        <v>1</v>
      </c>
      <c r="J517" s="175" t="s">
        <v>18</v>
      </c>
      <c r="K517" s="175" t="s">
        <v>57</v>
      </c>
      <c r="L517" s="172" t="s">
        <v>56</v>
      </c>
    </row>
    <row r="518" spans="1:12" x14ac:dyDescent="0.2">
      <c r="A518" s="172" t="s">
        <v>12</v>
      </c>
      <c r="B518" s="172" t="s">
        <v>13</v>
      </c>
      <c r="C518" s="172" t="s">
        <v>14</v>
      </c>
      <c r="D518" s="172" t="s">
        <v>15</v>
      </c>
      <c r="E518" s="173">
        <v>42263</v>
      </c>
      <c r="F518" s="174">
        <v>53.286388600000002</v>
      </c>
      <c r="G518" s="175" t="s">
        <v>16</v>
      </c>
      <c r="H518" s="172" t="s">
        <v>17</v>
      </c>
      <c r="I518" s="175">
        <v>1</v>
      </c>
      <c r="J518" s="175" t="s">
        <v>18</v>
      </c>
      <c r="K518" s="175" t="s">
        <v>57</v>
      </c>
      <c r="L518" s="172" t="s">
        <v>56</v>
      </c>
    </row>
    <row r="519" spans="1:12" x14ac:dyDescent="0.2">
      <c r="A519" s="172" t="s">
        <v>12</v>
      </c>
      <c r="B519" s="172" t="s">
        <v>13</v>
      </c>
      <c r="C519" s="172" t="s">
        <v>14</v>
      </c>
      <c r="D519" s="172" t="s">
        <v>15</v>
      </c>
      <c r="E519" s="173">
        <v>42263</v>
      </c>
      <c r="F519" s="176">
        <v>8577.0836820000004</v>
      </c>
      <c r="G519" s="175" t="s">
        <v>19</v>
      </c>
      <c r="H519" s="172" t="s">
        <v>17</v>
      </c>
      <c r="I519" s="175">
        <v>1</v>
      </c>
      <c r="J519" s="175" t="s">
        <v>18</v>
      </c>
      <c r="K519" s="175" t="s">
        <v>57</v>
      </c>
      <c r="L519" s="172" t="s">
        <v>56</v>
      </c>
    </row>
    <row r="520" spans="1:12" x14ac:dyDescent="0.2">
      <c r="A520" s="172" t="s">
        <v>12</v>
      </c>
      <c r="B520" s="172" t="s">
        <v>13</v>
      </c>
      <c r="C520" s="172" t="s">
        <v>14</v>
      </c>
      <c r="D520" s="172" t="s">
        <v>15</v>
      </c>
      <c r="E520" s="173">
        <v>42263</v>
      </c>
      <c r="F520" s="174">
        <v>52.582999999999998</v>
      </c>
      <c r="G520" s="175" t="s">
        <v>16</v>
      </c>
      <c r="H520" s="172" t="s">
        <v>20</v>
      </c>
      <c r="I520" s="175">
        <v>1</v>
      </c>
      <c r="J520" s="175" t="s">
        <v>18</v>
      </c>
      <c r="K520" s="175" t="s">
        <v>57</v>
      </c>
      <c r="L520" s="172" t="s">
        <v>56</v>
      </c>
    </row>
    <row r="521" spans="1:12" x14ac:dyDescent="0.2">
      <c r="A521" s="172" t="s">
        <v>12</v>
      </c>
      <c r="B521" s="172" t="s">
        <v>13</v>
      </c>
      <c r="C521" s="172" t="s">
        <v>14</v>
      </c>
      <c r="D521" s="172" t="s">
        <v>15</v>
      </c>
      <c r="E521" s="173">
        <v>42263</v>
      </c>
      <c r="F521" s="176">
        <v>9823.3457278999995</v>
      </c>
      <c r="G521" s="175" t="s">
        <v>19</v>
      </c>
      <c r="H521" s="172" t="s">
        <v>20</v>
      </c>
      <c r="I521" s="175">
        <v>1</v>
      </c>
      <c r="J521" s="175" t="s">
        <v>18</v>
      </c>
      <c r="K521" s="175" t="s">
        <v>57</v>
      </c>
      <c r="L521" s="172" t="s">
        <v>56</v>
      </c>
    </row>
    <row r="522" spans="1:12" x14ac:dyDescent="0.2">
      <c r="A522" s="172" t="s">
        <v>12</v>
      </c>
      <c r="B522" s="172" t="s">
        <v>13</v>
      </c>
      <c r="C522" s="172" t="s">
        <v>14</v>
      </c>
      <c r="D522" s="172" t="s">
        <v>15</v>
      </c>
      <c r="E522" s="173">
        <v>42256</v>
      </c>
      <c r="F522" s="174">
        <v>19.685029199999999</v>
      </c>
      <c r="G522" s="175" t="s">
        <v>16</v>
      </c>
      <c r="H522" s="172" t="s">
        <v>17</v>
      </c>
      <c r="I522" s="175">
        <v>1</v>
      </c>
      <c r="J522" s="175" t="s">
        <v>18</v>
      </c>
      <c r="K522" s="175" t="s">
        <v>57</v>
      </c>
      <c r="L522" s="172" t="s">
        <v>56</v>
      </c>
    </row>
    <row r="523" spans="1:12" x14ac:dyDescent="0.2">
      <c r="A523" s="172" t="s">
        <v>12</v>
      </c>
      <c r="B523" s="172" t="s">
        <v>13</v>
      </c>
      <c r="C523" s="172" t="s">
        <v>14</v>
      </c>
      <c r="D523" s="172" t="s">
        <v>15</v>
      </c>
      <c r="E523" s="173">
        <v>42256</v>
      </c>
      <c r="F523" s="176">
        <v>2807.3607599000002</v>
      </c>
      <c r="G523" s="175" t="s">
        <v>19</v>
      </c>
      <c r="H523" s="172" t="s">
        <v>17</v>
      </c>
      <c r="I523" s="175">
        <v>1</v>
      </c>
      <c r="J523" s="175" t="s">
        <v>18</v>
      </c>
      <c r="K523" s="175" t="s">
        <v>57</v>
      </c>
      <c r="L523" s="172" t="s">
        <v>56</v>
      </c>
    </row>
    <row r="524" spans="1:12" x14ac:dyDescent="0.2">
      <c r="A524" s="172" t="s">
        <v>12</v>
      </c>
      <c r="B524" s="172" t="s">
        <v>13</v>
      </c>
      <c r="C524" s="172" t="s">
        <v>14</v>
      </c>
      <c r="D524" s="172" t="s">
        <v>15</v>
      </c>
      <c r="E524" s="173">
        <v>42256</v>
      </c>
      <c r="F524" s="174">
        <v>29.21</v>
      </c>
      <c r="G524" s="175" t="s">
        <v>16</v>
      </c>
      <c r="H524" s="172" t="s">
        <v>20</v>
      </c>
      <c r="I524" s="175">
        <v>1</v>
      </c>
      <c r="J524" s="175" t="s">
        <v>18</v>
      </c>
      <c r="K524" s="175" t="s">
        <v>57</v>
      </c>
      <c r="L524" s="172" t="s">
        <v>56</v>
      </c>
    </row>
    <row r="525" spans="1:12" x14ac:dyDescent="0.2">
      <c r="A525" s="172" t="s">
        <v>12</v>
      </c>
      <c r="B525" s="172" t="s">
        <v>13</v>
      </c>
      <c r="C525" s="172" t="s">
        <v>14</v>
      </c>
      <c r="D525" s="172" t="s">
        <v>15</v>
      </c>
      <c r="E525" s="173">
        <v>42256</v>
      </c>
      <c r="F525" s="176">
        <v>4847.8668600000001</v>
      </c>
      <c r="G525" s="175" t="s">
        <v>19</v>
      </c>
      <c r="H525" s="172" t="s">
        <v>20</v>
      </c>
      <c r="I525" s="175">
        <v>1</v>
      </c>
      <c r="J525" s="175" t="s">
        <v>18</v>
      </c>
      <c r="K525" s="175" t="s">
        <v>57</v>
      </c>
      <c r="L525" s="172" t="s">
        <v>56</v>
      </c>
    </row>
    <row r="526" spans="1:12" x14ac:dyDescent="0.2">
      <c r="A526" s="172" t="s">
        <v>12</v>
      </c>
      <c r="B526" s="172" t="s">
        <v>13</v>
      </c>
      <c r="C526" s="172" t="s">
        <v>14</v>
      </c>
      <c r="D526" s="172" t="s">
        <v>15</v>
      </c>
      <c r="E526" s="173">
        <v>42249</v>
      </c>
      <c r="F526" s="174">
        <v>24.618550800000001</v>
      </c>
      <c r="G526" s="175" t="s">
        <v>16</v>
      </c>
      <c r="H526" s="172" t="s">
        <v>17</v>
      </c>
      <c r="I526" s="175">
        <v>1</v>
      </c>
      <c r="J526" s="175" t="s">
        <v>18</v>
      </c>
      <c r="K526" s="175" t="s">
        <v>57</v>
      </c>
      <c r="L526" s="172" t="s">
        <v>56</v>
      </c>
    </row>
    <row r="527" spans="1:12" x14ac:dyDescent="0.2">
      <c r="A527" s="172" t="s">
        <v>12</v>
      </c>
      <c r="B527" s="172" t="s">
        <v>13</v>
      </c>
      <c r="C527" s="172" t="s">
        <v>14</v>
      </c>
      <c r="D527" s="172" t="s">
        <v>15</v>
      </c>
      <c r="E527" s="173">
        <v>42249</v>
      </c>
      <c r="F527" s="176">
        <v>3839.4599459999999</v>
      </c>
      <c r="G527" s="175" t="s">
        <v>19</v>
      </c>
      <c r="H527" s="172" t="s">
        <v>17</v>
      </c>
      <c r="I527" s="175">
        <v>1</v>
      </c>
      <c r="J527" s="175" t="s">
        <v>18</v>
      </c>
      <c r="K527" s="175" t="s">
        <v>57</v>
      </c>
      <c r="L527" s="172" t="s">
        <v>56</v>
      </c>
    </row>
    <row r="528" spans="1:12" x14ac:dyDescent="0.2">
      <c r="A528" s="172" t="s">
        <v>12</v>
      </c>
      <c r="B528" s="172" t="s">
        <v>13</v>
      </c>
      <c r="C528" s="172" t="s">
        <v>14</v>
      </c>
      <c r="D528" s="172" t="s">
        <v>15</v>
      </c>
      <c r="E528" s="173">
        <v>42249</v>
      </c>
      <c r="F528" s="174">
        <v>42.543999999999997</v>
      </c>
      <c r="G528" s="175" t="s">
        <v>16</v>
      </c>
      <c r="H528" s="172" t="s">
        <v>20</v>
      </c>
      <c r="I528" s="175">
        <v>1</v>
      </c>
      <c r="J528" s="175" t="s">
        <v>18</v>
      </c>
      <c r="K528" s="175" t="s">
        <v>57</v>
      </c>
      <c r="L528" s="172" t="s">
        <v>56</v>
      </c>
    </row>
    <row r="529" spans="1:12" x14ac:dyDescent="0.2">
      <c r="A529" s="172" t="s">
        <v>12</v>
      </c>
      <c r="B529" s="172" t="s">
        <v>13</v>
      </c>
      <c r="C529" s="172" t="s">
        <v>14</v>
      </c>
      <c r="D529" s="172" t="s">
        <v>15</v>
      </c>
      <c r="E529" s="173">
        <v>42249</v>
      </c>
      <c r="F529" s="176">
        <v>7344.7110720000001</v>
      </c>
      <c r="G529" s="175" t="s">
        <v>19</v>
      </c>
      <c r="H529" s="172" t="s">
        <v>20</v>
      </c>
      <c r="I529" s="175">
        <v>1</v>
      </c>
      <c r="J529" s="175" t="s">
        <v>18</v>
      </c>
      <c r="K529" s="175" t="s">
        <v>57</v>
      </c>
      <c r="L529" s="172" t="s">
        <v>56</v>
      </c>
    </row>
    <row r="530" spans="1:12" x14ac:dyDescent="0.2">
      <c r="A530" s="172" t="s">
        <v>12</v>
      </c>
      <c r="B530" s="172" t="s">
        <v>13</v>
      </c>
      <c r="C530" s="172" t="s">
        <v>14</v>
      </c>
      <c r="D530" s="172" t="s">
        <v>15</v>
      </c>
      <c r="E530" s="173">
        <v>42242</v>
      </c>
      <c r="F530" s="174">
        <v>39.746910900000003</v>
      </c>
      <c r="G530" s="175" t="s">
        <v>16</v>
      </c>
      <c r="H530" s="172" t="s">
        <v>17</v>
      </c>
      <c r="I530" s="175">
        <v>1</v>
      </c>
      <c r="J530" s="175" t="s">
        <v>18</v>
      </c>
      <c r="K530" s="175" t="s">
        <v>57</v>
      </c>
      <c r="L530" s="172" t="s">
        <v>56</v>
      </c>
    </row>
    <row r="531" spans="1:12" x14ac:dyDescent="0.2">
      <c r="A531" s="172" t="s">
        <v>12</v>
      </c>
      <c r="B531" s="172" t="s">
        <v>13</v>
      </c>
      <c r="C531" s="172" t="s">
        <v>14</v>
      </c>
      <c r="D531" s="172" t="s">
        <v>15</v>
      </c>
      <c r="E531" s="173">
        <v>42242</v>
      </c>
      <c r="F531" s="176">
        <v>6331.4444400000002</v>
      </c>
      <c r="G531" s="175" t="s">
        <v>19</v>
      </c>
      <c r="H531" s="172" t="s">
        <v>17</v>
      </c>
      <c r="I531" s="175">
        <v>1</v>
      </c>
      <c r="J531" s="175" t="s">
        <v>18</v>
      </c>
      <c r="K531" s="175" t="s">
        <v>57</v>
      </c>
      <c r="L531" s="172" t="s">
        <v>56</v>
      </c>
    </row>
    <row r="532" spans="1:12" x14ac:dyDescent="0.2">
      <c r="A532" s="172" t="s">
        <v>12</v>
      </c>
      <c r="B532" s="172" t="s">
        <v>13</v>
      </c>
      <c r="C532" s="172" t="s">
        <v>14</v>
      </c>
      <c r="D532" s="172" t="s">
        <v>15</v>
      </c>
      <c r="E532" s="173">
        <v>42242</v>
      </c>
      <c r="F532" s="174">
        <v>31.640999999999998</v>
      </c>
      <c r="G532" s="175" t="s">
        <v>16</v>
      </c>
      <c r="H532" s="172" t="s">
        <v>20</v>
      </c>
      <c r="I532" s="175">
        <v>1</v>
      </c>
      <c r="J532" s="175" t="s">
        <v>18</v>
      </c>
      <c r="K532" s="175" t="s">
        <v>57</v>
      </c>
      <c r="L532" s="172" t="s">
        <v>56</v>
      </c>
    </row>
    <row r="533" spans="1:12" x14ac:dyDescent="0.2">
      <c r="A533" s="172" t="s">
        <v>12</v>
      </c>
      <c r="B533" s="172" t="s">
        <v>13</v>
      </c>
      <c r="C533" s="172" t="s">
        <v>14</v>
      </c>
      <c r="D533" s="172" t="s">
        <v>15</v>
      </c>
      <c r="E533" s="173">
        <v>42242</v>
      </c>
      <c r="F533" s="176">
        <v>5911.0450559000001</v>
      </c>
      <c r="G533" s="175" t="s">
        <v>19</v>
      </c>
      <c r="H533" s="172" t="s">
        <v>20</v>
      </c>
      <c r="I533" s="175">
        <v>1</v>
      </c>
      <c r="J533" s="175" t="s">
        <v>18</v>
      </c>
      <c r="K533" s="175" t="s">
        <v>57</v>
      </c>
      <c r="L533" s="172" t="s">
        <v>56</v>
      </c>
    </row>
    <row r="534" spans="1:12" x14ac:dyDescent="0.2">
      <c r="A534" s="172" t="s">
        <v>12</v>
      </c>
      <c r="B534" s="172" t="s">
        <v>13</v>
      </c>
      <c r="C534" s="172" t="s">
        <v>14</v>
      </c>
      <c r="D534" s="172" t="s">
        <v>15</v>
      </c>
      <c r="E534" s="173">
        <v>42234</v>
      </c>
      <c r="F534" s="174">
        <v>51.659199999999998</v>
      </c>
      <c r="G534" s="175" t="s">
        <v>16</v>
      </c>
      <c r="H534" s="172" t="s">
        <v>17</v>
      </c>
      <c r="I534" s="175">
        <v>1</v>
      </c>
      <c r="J534" s="175" t="s">
        <v>18</v>
      </c>
      <c r="K534" s="175" t="s">
        <v>57</v>
      </c>
      <c r="L534" s="172" t="s">
        <v>56</v>
      </c>
    </row>
    <row r="535" spans="1:12" x14ac:dyDescent="0.2">
      <c r="A535" s="172" t="s">
        <v>12</v>
      </c>
      <c r="B535" s="172" t="s">
        <v>13</v>
      </c>
      <c r="C535" s="172" t="s">
        <v>14</v>
      </c>
      <c r="D535" s="172" t="s">
        <v>15</v>
      </c>
      <c r="E535" s="173">
        <v>42234</v>
      </c>
      <c r="F535" s="176">
        <v>10770.9432</v>
      </c>
      <c r="G535" s="175" t="s">
        <v>19</v>
      </c>
      <c r="H535" s="172" t="s">
        <v>17</v>
      </c>
      <c r="I535" s="175">
        <v>1</v>
      </c>
      <c r="J535" s="175" t="s">
        <v>18</v>
      </c>
      <c r="K535" s="175" t="s">
        <v>57</v>
      </c>
      <c r="L535" s="172" t="s">
        <v>56</v>
      </c>
    </row>
    <row r="536" spans="1:12" x14ac:dyDescent="0.2">
      <c r="A536" s="172" t="s">
        <v>12</v>
      </c>
      <c r="B536" s="172" t="s">
        <v>13</v>
      </c>
      <c r="C536" s="172" t="s">
        <v>14</v>
      </c>
      <c r="D536" s="172" t="s">
        <v>15</v>
      </c>
      <c r="E536" s="173">
        <v>42234</v>
      </c>
      <c r="F536" s="174">
        <v>36.1</v>
      </c>
      <c r="G536" s="175" t="s">
        <v>16</v>
      </c>
      <c r="H536" s="172" t="s">
        <v>20</v>
      </c>
      <c r="I536" s="175">
        <v>1</v>
      </c>
      <c r="J536" s="175" t="s">
        <v>18</v>
      </c>
      <c r="K536" s="175" t="s">
        <v>57</v>
      </c>
      <c r="L536" s="172" t="s">
        <v>56</v>
      </c>
    </row>
    <row r="537" spans="1:12" x14ac:dyDescent="0.2">
      <c r="A537" s="172" t="s">
        <v>12</v>
      </c>
      <c r="B537" s="172" t="s">
        <v>13</v>
      </c>
      <c r="C537" s="172" t="s">
        <v>14</v>
      </c>
      <c r="D537" s="172" t="s">
        <v>15</v>
      </c>
      <c r="E537" s="173">
        <v>42234</v>
      </c>
      <c r="F537" s="176">
        <v>8038.6758</v>
      </c>
      <c r="G537" s="175" t="s">
        <v>19</v>
      </c>
      <c r="H537" s="172" t="s">
        <v>20</v>
      </c>
      <c r="I537" s="175">
        <v>1</v>
      </c>
      <c r="J537" s="175" t="s">
        <v>18</v>
      </c>
      <c r="K537" s="175" t="s">
        <v>57</v>
      </c>
      <c r="L537" s="172" t="s">
        <v>56</v>
      </c>
    </row>
    <row r="538" spans="1:12" x14ac:dyDescent="0.2">
      <c r="A538" s="172" t="s">
        <v>12</v>
      </c>
      <c r="B538" s="172" t="s">
        <v>13</v>
      </c>
      <c r="C538" s="172" t="s">
        <v>14</v>
      </c>
      <c r="D538" s="172" t="s">
        <v>15</v>
      </c>
      <c r="E538" s="173">
        <v>42228</v>
      </c>
      <c r="F538" s="174">
        <v>29.8348017</v>
      </c>
      <c r="G538" s="175" t="s">
        <v>16</v>
      </c>
      <c r="H538" s="172" t="s">
        <v>17</v>
      </c>
      <c r="I538" s="175">
        <v>1</v>
      </c>
      <c r="J538" s="175" t="s">
        <v>18</v>
      </c>
      <c r="K538" s="175" t="s">
        <v>57</v>
      </c>
      <c r="L538" s="172" t="s">
        <v>56</v>
      </c>
    </row>
    <row r="539" spans="1:12" x14ac:dyDescent="0.2">
      <c r="A539" s="172" t="s">
        <v>12</v>
      </c>
      <c r="B539" s="172" t="s">
        <v>13</v>
      </c>
      <c r="C539" s="172" t="s">
        <v>14</v>
      </c>
      <c r="D539" s="172" t="s">
        <v>15</v>
      </c>
      <c r="E539" s="173">
        <v>42228</v>
      </c>
      <c r="F539" s="176">
        <v>5648.2650000000003</v>
      </c>
      <c r="G539" s="175" t="s">
        <v>19</v>
      </c>
      <c r="H539" s="172" t="s">
        <v>17</v>
      </c>
      <c r="I539" s="175">
        <v>1</v>
      </c>
      <c r="J539" s="175" t="s">
        <v>18</v>
      </c>
      <c r="K539" s="175" t="s">
        <v>57</v>
      </c>
      <c r="L539" s="172" t="s">
        <v>56</v>
      </c>
    </row>
    <row r="540" spans="1:12" x14ac:dyDescent="0.2">
      <c r="A540" s="172" t="s">
        <v>12</v>
      </c>
      <c r="B540" s="172" t="s">
        <v>13</v>
      </c>
      <c r="C540" s="172" t="s">
        <v>14</v>
      </c>
      <c r="D540" s="172" t="s">
        <v>15</v>
      </c>
      <c r="E540" s="173">
        <v>42228</v>
      </c>
      <c r="F540" s="174">
        <v>26.7999999</v>
      </c>
      <c r="G540" s="175" t="s">
        <v>16</v>
      </c>
      <c r="H540" s="172" t="s">
        <v>20</v>
      </c>
      <c r="I540" s="175">
        <v>1</v>
      </c>
      <c r="J540" s="175" t="s">
        <v>18</v>
      </c>
      <c r="K540" s="175" t="s">
        <v>57</v>
      </c>
      <c r="L540" s="172" t="s">
        <v>56</v>
      </c>
    </row>
    <row r="541" spans="1:12" x14ac:dyDescent="0.2">
      <c r="A541" s="172" t="s">
        <v>12</v>
      </c>
      <c r="B541" s="172" t="s">
        <v>13</v>
      </c>
      <c r="C541" s="172" t="s">
        <v>14</v>
      </c>
      <c r="D541" s="172" t="s">
        <v>15</v>
      </c>
      <c r="E541" s="173">
        <v>42228</v>
      </c>
      <c r="F541" s="176">
        <v>5677.2047998999997</v>
      </c>
      <c r="G541" s="175" t="s">
        <v>19</v>
      </c>
      <c r="H541" s="172" t="s">
        <v>20</v>
      </c>
      <c r="I541" s="175">
        <v>1</v>
      </c>
      <c r="J541" s="175" t="s">
        <v>18</v>
      </c>
      <c r="K541" s="175" t="s">
        <v>57</v>
      </c>
      <c r="L541" s="172" t="s">
        <v>56</v>
      </c>
    </row>
    <row r="542" spans="1:12" x14ac:dyDescent="0.2">
      <c r="A542" s="172" t="s">
        <v>12</v>
      </c>
      <c r="B542" s="172" t="s">
        <v>13</v>
      </c>
      <c r="C542" s="172" t="s">
        <v>14</v>
      </c>
      <c r="D542" s="172" t="s">
        <v>15</v>
      </c>
      <c r="E542" s="173">
        <v>42221</v>
      </c>
      <c r="F542" s="174">
        <v>42.273584900000003</v>
      </c>
      <c r="G542" s="175" t="s">
        <v>16</v>
      </c>
      <c r="H542" s="172" t="s">
        <v>17</v>
      </c>
      <c r="I542" s="175">
        <v>1</v>
      </c>
      <c r="J542" s="175" t="s">
        <v>18</v>
      </c>
      <c r="K542" s="175" t="s">
        <v>57</v>
      </c>
      <c r="L542" s="172" t="s">
        <v>56</v>
      </c>
    </row>
    <row r="543" spans="1:12" x14ac:dyDescent="0.2">
      <c r="A543" s="172" t="s">
        <v>12</v>
      </c>
      <c r="B543" s="172" t="s">
        <v>13</v>
      </c>
      <c r="C543" s="172" t="s">
        <v>14</v>
      </c>
      <c r="D543" s="172" t="s">
        <v>15</v>
      </c>
      <c r="E543" s="173">
        <v>42221</v>
      </c>
      <c r="F543" s="176">
        <v>7474.3079999000001</v>
      </c>
      <c r="G543" s="175" t="s">
        <v>19</v>
      </c>
      <c r="H543" s="172" t="s">
        <v>17</v>
      </c>
      <c r="I543" s="175">
        <v>1</v>
      </c>
      <c r="J543" s="175" t="s">
        <v>18</v>
      </c>
      <c r="K543" s="175" t="s">
        <v>57</v>
      </c>
      <c r="L543" s="172" t="s">
        <v>56</v>
      </c>
    </row>
    <row r="544" spans="1:12" x14ac:dyDescent="0.2">
      <c r="A544" s="172" t="s">
        <v>12</v>
      </c>
      <c r="B544" s="172" t="s">
        <v>13</v>
      </c>
      <c r="C544" s="172" t="s">
        <v>14</v>
      </c>
      <c r="D544" s="172" t="s">
        <v>15</v>
      </c>
      <c r="E544" s="173">
        <v>42221</v>
      </c>
      <c r="F544" s="174">
        <v>30</v>
      </c>
      <c r="G544" s="175" t="s">
        <v>16</v>
      </c>
      <c r="H544" s="172" t="s">
        <v>20</v>
      </c>
      <c r="I544" s="175">
        <v>1</v>
      </c>
      <c r="J544" s="175" t="s">
        <v>18</v>
      </c>
      <c r="K544" s="175" t="s">
        <v>57</v>
      </c>
      <c r="L544" s="172" t="s">
        <v>56</v>
      </c>
    </row>
    <row r="545" spans="1:12" x14ac:dyDescent="0.2">
      <c r="A545" s="172" t="s">
        <v>12</v>
      </c>
      <c r="B545" s="172" t="s">
        <v>13</v>
      </c>
      <c r="C545" s="172" t="s">
        <v>14</v>
      </c>
      <c r="D545" s="172" t="s">
        <v>15</v>
      </c>
      <c r="E545" s="173">
        <v>42221</v>
      </c>
      <c r="F545" s="176">
        <v>5854.68</v>
      </c>
      <c r="G545" s="175" t="s">
        <v>19</v>
      </c>
      <c r="H545" s="172" t="s">
        <v>20</v>
      </c>
      <c r="I545" s="175">
        <v>1</v>
      </c>
      <c r="J545" s="175" t="s">
        <v>18</v>
      </c>
      <c r="K545" s="175" t="s">
        <v>57</v>
      </c>
      <c r="L545" s="172" t="s">
        <v>56</v>
      </c>
    </row>
    <row r="546" spans="1:12" x14ac:dyDescent="0.2">
      <c r="A546" s="172" t="s">
        <v>12</v>
      </c>
      <c r="B546" s="172" t="s">
        <v>13</v>
      </c>
      <c r="C546" s="172" t="s">
        <v>14</v>
      </c>
      <c r="D546" s="172" t="s">
        <v>15</v>
      </c>
      <c r="E546" s="173">
        <v>42212</v>
      </c>
      <c r="F546" s="174">
        <v>36.776449599999999</v>
      </c>
      <c r="G546" s="175" t="s">
        <v>16</v>
      </c>
      <c r="H546" s="172" t="s">
        <v>17</v>
      </c>
      <c r="I546" s="175">
        <v>1</v>
      </c>
      <c r="J546" s="175" t="s">
        <v>18</v>
      </c>
      <c r="K546" s="175" t="s">
        <v>57</v>
      </c>
      <c r="L546" s="172" t="s">
        <v>56</v>
      </c>
    </row>
    <row r="547" spans="1:12" x14ac:dyDescent="0.2">
      <c r="A547" s="172" t="s">
        <v>12</v>
      </c>
      <c r="B547" s="172" t="s">
        <v>13</v>
      </c>
      <c r="C547" s="172" t="s">
        <v>14</v>
      </c>
      <c r="D547" s="172" t="s">
        <v>15</v>
      </c>
      <c r="E547" s="173">
        <v>42212</v>
      </c>
      <c r="F547" s="176">
        <v>7913.2622160000001</v>
      </c>
      <c r="G547" s="175" t="s">
        <v>19</v>
      </c>
      <c r="H547" s="172" t="s">
        <v>17</v>
      </c>
      <c r="I547" s="175">
        <v>1</v>
      </c>
      <c r="J547" s="175" t="s">
        <v>18</v>
      </c>
      <c r="K547" s="175" t="s">
        <v>57</v>
      </c>
      <c r="L547" s="172" t="s">
        <v>56</v>
      </c>
    </row>
    <row r="548" spans="1:12" x14ac:dyDescent="0.2">
      <c r="A548" s="172" t="s">
        <v>12</v>
      </c>
      <c r="B548" s="172" t="s">
        <v>13</v>
      </c>
      <c r="C548" s="172" t="s">
        <v>14</v>
      </c>
      <c r="D548" s="172" t="s">
        <v>15</v>
      </c>
      <c r="E548" s="173">
        <v>42212</v>
      </c>
      <c r="F548" s="174">
        <v>23.731999999999999</v>
      </c>
      <c r="G548" s="175" t="s">
        <v>16</v>
      </c>
      <c r="H548" s="172" t="s">
        <v>20</v>
      </c>
      <c r="I548" s="175">
        <v>1</v>
      </c>
      <c r="J548" s="175" t="s">
        <v>18</v>
      </c>
      <c r="K548" s="175" t="s">
        <v>57</v>
      </c>
      <c r="L548" s="172" t="s">
        <v>56</v>
      </c>
    </row>
    <row r="549" spans="1:12" x14ac:dyDescent="0.2">
      <c r="A549" s="172" t="s">
        <v>12</v>
      </c>
      <c r="B549" s="172" t="s">
        <v>13</v>
      </c>
      <c r="C549" s="172" t="s">
        <v>14</v>
      </c>
      <c r="D549" s="172" t="s">
        <v>15</v>
      </c>
      <c r="E549" s="173">
        <v>42212</v>
      </c>
      <c r="F549" s="176">
        <v>5462.7266879999997</v>
      </c>
      <c r="G549" s="175" t="s">
        <v>19</v>
      </c>
      <c r="H549" s="172" t="s">
        <v>20</v>
      </c>
      <c r="I549" s="175">
        <v>1</v>
      </c>
      <c r="J549" s="175" t="s">
        <v>18</v>
      </c>
      <c r="K549" s="175" t="s">
        <v>57</v>
      </c>
      <c r="L549" s="172" t="s">
        <v>56</v>
      </c>
    </row>
    <row r="550" spans="1:12" x14ac:dyDescent="0.2">
      <c r="A550" s="172" t="s">
        <v>12</v>
      </c>
      <c r="B550" s="172" t="s">
        <v>13</v>
      </c>
      <c r="C550" s="172" t="s">
        <v>14</v>
      </c>
      <c r="D550" s="172" t="s">
        <v>15</v>
      </c>
      <c r="E550" s="173">
        <v>42207</v>
      </c>
      <c r="F550" s="174">
        <v>25.074074</v>
      </c>
      <c r="G550" s="175" t="s">
        <v>16</v>
      </c>
      <c r="H550" s="172" t="s">
        <v>17</v>
      </c>
      <c r="I550" s="175">
        <v>1</v>
      </c>
      <c r="J550" s="175" t="s">
        <v>18</v>
      </c>
      <c r="K550" s="175" t="s">
        <v>57</v>
      </c>
      <c r="L550" s="172" t="s">
        <v>56</v>
      </c>
    </row>
    <row r="551" spans="1:12" x14ac:dyDescent="0.2">
      <c r="A551" s="172" t="s">
        <v>12</v>
      </c>
      <c r="B551" s="172" t="s">
        <v>13</v>
      </c>
      <c r="C551" s="172" t="s">
        <v>14</v>
      </c>
      <c r="D551" s="172" t="s">
        <v>15</v>
      </c>
      <c r="E551" s="173">
        <v>42207</v>
      </c>
      <c r="F551" s="176">
        <v>6210.7979999999998</v>
      </c>
      <c r="G551" s="175" t="s">
        <v>19</v>
      </c>
      <c r="H551" s="172" t="s">
        <v>17</v>
      </c>
      <c r="I551" s="175">
        <v>1</v>
      </c>
      <c r="J551" s="175" t="s">
        <v>18</v>
      </c>
      <c r="K551" s="175" t="s">
        <v>57</v>
      </c>
      <c r="L551" s="172" t="s">
        <v>56</v>
      </c>
    </row>
    <row r="552" spans="1:12" x14ac:dyDescent="0.2">
      <c r="A552" s="172" t="s">
        <v>12</v>
      </c>
      <c r="B552" s="172" t="s">
        <v>13</v>
      </c>
      <c r="C552" s="172" t="s">
        <v>14</v>
      </c>
      <c r="D552" s="172" t="s">
        <v>15</v>
      </c>
      <c r="E552" s="173">
        <v>42207</v>
      </c>
      <c r="F552" s="174">
        <v>24.6</v>
      </c>
      <c r="G552" s="175" t="s">
        <v>16</v>
      </c>
      <c r="H552" s="172" t="s">
        <v>20</v>
      </c>
      <c r="I552" s="175">
        <v>1</v>
      </c>
      <c r="J552" s="175" t="s">
        <v>18</v>
      </c>
      <c r="K552" s="175" t="s">
        <v>57</v>
      </c>
      <c r="L552" s="172" t="s">
        <v>56</v>
      </c>
    </row>
    <row r="553" spans="1:12" x14ac:dyDescent="0.2">
      <c r="A553" s="172" t="s">
        <v>12</v>
      </c>
      <c r="B553" s="172" t="s">
        <v>13</v>
      </c>
      <c r="C553" s="172" t="s">
        <v>14</v>
      </c>
      <c r="D553" s="172" t="s">
        <v>15</v>
      </c>
      <c r="E553" s="173">
        <v>42207</v>
      </c>
      <c r="F553" s="176">
        <v>6483.1823999999997</v>
      </c>
      <c r="G553" s="175" t="s">
        <v>19</v>
      </c>
      <c r="H553" s="172" t="s">
        <v>20</v>
      </c>
      <c r="I553" s="175">
        <v>1</v>
      </c>
      <c r="J553" s="175" t="s">
        <v>18</v>
      </c>
      <c r="K553" s="175" t="s">
        <v>57</v>
      </c>
      <c r="L553" s="172" t="s">
        <v>56</v>
      </c>
    </row>
    <row r="554" spans="1:12" x14ac:dyDescent="0.2">
      <c r="A554" s="172" t="s">
        <v>12</v>
      </c>
      <c r="B554" s="172" t="s">
        <v>13</v>
      </c>
      <c r="C554" s="172" t="s">
        <v>14</v>
      </c>
      <c r="D554" s="172" t="s">
        <v>15</v>
      </c>
      <c r="E554" s="173">
        <v>42200</v>
      </c>
      <c r="F554" s="174">
        <v>27.810410900000001</v>
      </c>
      <c r="G554" s="175" t="s">
        <v>16</v>
      </c>
      <c r="H554" s="172" t="s">
        <v>17</v>
      </c>
      <c r="I554" s="175">
        <v>1</v>
      </c>
      <c r="J554" s="175" t="s">
        <v>18</v>
      </c>
      <c r="K554" s="175" t="s">
        <v>57</v>
      </c>
      <c r="L554" s="172" t="s">
        <v>56</v>
      </c>
    </row>
    <row r="555" spans="1:12" x14ac:dyDescent="0.2">
      <c r="A555" s="172" t="s">
        <v>12</v>
      </c>
      <c r="B555" s="172" t="s">
        <v>13</v>
      </c>
      <c r="C555" s="172" t="s">
        <v>14</v>
      </c>
      <c r="D555" s="172" t="s">
        <v>15</v>
      </c>
      <c r="E555" s="173">
        <v>42200</v>
      </c>
      <c r="F555" s="176">
        <v>8465.7672000000002</v>
      </c>
      <c r="G555" s="175" t="s">
        <v>19</v>
      </c>
      <c r="H555" s="172" t="s">
        <v>17</v>
      </c>
      <c r="I555" s="175">
        <v>1</v>
      </c>
      <c r="J555" s="175" t="s">
        <v>18</v>
      </c>
      <c r="K555" s="175" t="s">
        <v>57</v>
      </c>
      <c r="L555" s="172" t="s">
        <v>56</v>
      </c>
    </row>
    <row r="556" spans="1:12" x14ac:dyDescent="0.2">
      <c r="A556" s="172" t="s">
        <v>12</v>
      </c>
      <c r="B556" s="172" t="s">
        <v>13</v>
      </c>
      <c r="C556" s="172" t="s">
        <v>14</v>
      </c>
      <c r="D556" s="172" t="s">
        <v>15</v>
      </c>
      <c r="E556" s="173">
        <v>42200</v>
      </c>
      <c r="F556" s="174">
        <v>14.39</v>
      </c>
      <c r="G556" s="175" t="s">
        <v>16</v>
      </c>
      <c r="H556" s="172" t="s">
        <v>20</v>
      </c>
      <c r="I556" s="175">
        <v>1</v>
      </c>
      <c r="J556" s="175" t="s">
        <v>18</v>
      </c>
      <c r="K556" s="175" t="s">
        <v>57</v>
      </c>
      <c r="L556" s="172" t="s">
        <v>56</v>
      </c>
    </row>
    <row r="557" spans="1:12" x14ac:dyDescent="0.2">
      <c r="A557" s="172" t="s">
        <v>12</v>
      </c>
      <c r="B557" s="172" t="s">
        <v>13</v>
      </c>
      <c r="C557" s="172" t="s">
        <v>14</v>
      </c>
      <c r="D557" s="172" t="s">
        <v>15</v>
      </c>
      <c r="E557" s="173">
        <v>42200</v>
      </c>
      <c r="F557" s="176">
        <v>4548.4775399999999</v>
      </c>
      <c r="G557" s="175" t="s">
        <v>19</v>
      </c>
      <c r="H557" s="172" t="s">
        <v>20</v>
      </c>
      <c r="I557" s="175">
        <v>1</v>
      </c>
      <c r="J557" s="175" t="s">
        <v>18</v>
      </c>
      <c r="K557" s="175" t="s">
        <v>57</v>
      </c>
      <c r="L557" s="172" t="s">
        <v>56</v>
      </c>
    </row>
    <row r="558" spans="1:12" x14ac:dyDescent="0.2">
      <c r="A558" s="172" t="s">
        <v>12</v>
      </c>
      <c r="B558" s="172" t="s">
        <v>13</v>
      </c>
      <c r="C558" s="172" t="s">
        <v>14</v>
      </c>
      <c r="D558" s="172" t="s">
        <v>15</v>
      </c>
      <c r="E558" s="173">
        <v>42193</v>
      </c>
      <c r="F558" s="174">
        <v>12.7531284</v>
      </c>
      <c r="G558" s="175" t="s">
        <v>16</v>
      </c>
      <c r="H558" s="172" t="s">
        <v>17</v>
      </c>
      <c r="I558" s="175">
        <v>1</v>
      </c>
      <c r="J558" s="175" t="s">
        <v>18</v>
      </c>
      <c r="K558" s="175" t="s">
        <v>57</v>
      </c>
      <c r="L558" s="172" t="s">
        <v>56</v>
      </c>
    </row>
    <row r="559" spans="1:12" x14ac:dyDescent="0.2">
      <c r="A559" s="172" t="s">
        <v>12</v>
      </c>
      <c r="B559" s="172" t="s">
        <v>13</v>
      </c>
      <c r="C559" s="172" t="s">
        <v>14</v>
      </c>
      <c r="D559" s="172" t="s">
        <v>15</v>
      </c>
      <c r="E559" s="173">
        <v>42193</v>
      </c>
      <c r="F559" s="176">
        <v>6541.2071158999997</v>
      </c>
      <c r="G559" s="175" t="s">
        <v>19</v>
      </c>
      <c r="H559" s="172" t="s">
        <v>17</v>
      </c>
      <c r="I559" s="175">
        <v>1</v>
      </c>
      <c r="J559" s="175" t="s">
        <v>18</v>
      </c>
      <c r="K559" s="175" t="s">
        <v>57</v>
      </c>
      <c r="L559" s="172" t="s">
        <v>56</v>
      </c>
    </row>
    <row r="560" spans="1:12" x14ac:dyDescent="0.2">
      <c r="A560" s="172" t="s">
        <v>12</v>
      </c>
      <c r="B560" s="172" t="s">
        <v>13</v>
      </c>
      <c r="C560" s="172" t="s">
        <v>14</v>
      </c>
      <c r="D560" s="172" t="s">
        <v>15</v>
      </c>
      <c r="E560" s="173">
        <v>42193</v>
      </c>
      <c r="F560" s="174">
        <v>14.304</v>
      </c>
      <c r="G560" s="175" t="s">
        <v>16</v>
      </c>
      <c r="H560" s="172" t="s">
        <v>20</v>
      </c>
      <c r="I560" s="175">
        <v>1</v>
      </c>
      <c r="J560" s="175" t="s">
        <v>18</v>
      </c>
      <c r="K560" s="175" t="s">
        <v>57</v>
      </c>
      <c r="L560" s="172" t="s">
        <v>56</v>
      </c>
    </row>
    <row r="561" spans="1:12" x14ac:dyDescent="0.2">
      <c r="A561" s="172" t="s">
        <v>12</v>
      </c>
      <c r="B561" s="172" t="s">
        <v>13</v>
      </c>
      <c r="C561" s="172" t="s">
        <v>14</v>
      </c>
      <c r="D561" s="172" t="s">
        <v>15</v>
      </c>
      <c r="E561" s="173">
        <v>42193</v>
      </c>
      <c r="F561" s="176">
        <v>5248.9958399999996</v>
      </c>
      <c r="G561" s="175" t="s">
        <v>19</v>
      </c>
      <c r="H561" s="172" t="s">
        <v>20</v>
      </c>
      <c r="I561" s="175">
        <v>1</v>
      </c>
      <c r="J561" s="175" t="s">
        <v>18</v>
      </c>
      <c r="K561" s="175" t="s">
        <v>57</v>
      </c>
      <c r="L561" s="172" t="s">
        <v>56</v>
      </c>
    </row>
    <row r="562" spans="1:12" x14ac:dyDescent="0.2">
      <c r="A562" s="172" t="s">
        <v>12</v>
      </c>
      <c r="B562" s="172" t="s">
        <v>13</v>
      </c>
      <c r="C562" s="172" t="s">
        <v>14</v>
      </c>
      <c r="D562" s="172" t="s">
        <v>15</v>
      </c>
      <c r="E562" s="173">
        <v>42186</v>
      </c>
      <c r="F562" s="174">
        <v>19.998271599999999</v>
      </c>
      <c r="G562" s="175" t="s">
        <v>16</v>
      </c>
      <c r="H562" s="172" t="s">
        <v>17</v>
      </c>
      <c r="I562" s="175">
        <v>1</v>
      </c>
      <c r="J562" s="175" t="s">
        <v>18</v>
      </c>
      <c r="K562" s="175" t="s">
        <v>57</v>
      </c>
      <c r="L562" s="172" t="s">
        <v>56</v>
      </c>
    </row>
    <row r="563" spans="1:12" x14ac:dyDescent="0.2">
      <c r="A563" s="172" t="s">
        <v>12</v>
      </c>
      <c r="B563" s="172" t="s">
        <v>13</v>
      </c>
      <c r="C563" s="172" t="s">
        <v>14</v>
      </c>
      <c r="D563" s="172" t="s">
        <v>15</v>
      </c>
      <c r="E563" s="173">
        <v>42186</v>
      </c>
      <c r="F563" s="176">
        <v>6754.8162000000002</v>
      </c>
      <c r="G563" s="175" t="s">
        <v>19</v>
      </c>
      <c r="H563" s="172" t="s">
        <v>17</v>
      </c>
      <c r="I563" s="175">
        <v>1</v>
      </c>
      <c r="J563" s="175" t="s">
        <v>18</v>
      </c>
      <c r="K563" s="175" t="s">
        <v>57</v>
      </c>
      <c r="L563" s="172" t="s">
        <v>56</v>
      </c>
    </row>
    <row r="564" spans="1:12" x14ac:dyDescent="0.2">
      <c r="A564" s="172" t="s">
        <v>12</v>
      </c>
      <c r="B564" s="172" t="s">
        <v>13</v>
      </c>
      <c r="C564" s="172" t="s">
        <v>14</v>
      </c>
      <c r="D564" s="172" t="s">
        <v>15</v>
      </c>
      <c r="E564" s="173">
        <v>42186</v>
      </c>
      <c r="F564" s="174">
        <v>14.86</v>
      </c>
      <c r="G564" s="175" t="s">
        <v>16</v>
      </c>
      <c r="H564" s="172" t="s">
        <v>20</v>
      </c>
      <c r="I564" s="175">
        <v>1</v>
      </c>
      <c r="J564" s="175" t="s">
        <v>18</v>
      </c>
      <c r="K564" s="175" t="s">
        <v>57</v>
      </c>
      <c r="L564" s="172" t="s">
        <v>56</v>
      </c>
    </row>
    <row r="565" spans="1:12" x14ac:dyDescent="0.2">
      <c r="A565" s="172" t="s">
        <v>12</v>
      </c>
      <c r="B565" s="172" t="s">
        <v>13</v>
      </c>
      <c r="C565" s="172" t="s">
        <v>14</v>
      </c>
      <c r="D565" s="172" t="s">
        <v>15</v>
      </c>
      <c r="E565" s="173">
        <v>42186</v>
      </c>
      <c r="F565" s="176">
        <v>5353.87968</v>
      </c>
      <c r="G565" s="175" t="s">
        <v>19</v>
      </c>
      <c r="H565" s="172" t="s">
        <v>20</v>
      </c>
      <c r="I565" s="175">
        <v>1</v>
      </c>
      <c r="J565" s="175" t="s">
        <v>18</v>
      </c>
      <c r="K565" s="175" t="s">
        <v>57</v>
      </c>
      <c r="L565" s="172" t="s">
        <v>56</v>
      </c>
    </row>
    <row r="566" spans="1:12" x14ac:dyDescent="0.2">
      <c r="A566" s="172" t="s">
        <v>12</v>
      </c>
      <c r="B566" s="172" t="s">
        <v>13</v>
      </c>
      <c r="C566" s="172" t="s">
        <v>14</v>
      </c>
      <c r="D566" s="172" t="s">
        <v>15</v>
      </c>
      <c r="E566" s="173">
        <v>42180</v>
      </c>
      <c r="F566" s="174">
        <v>18.3259553</v>
      </c>
      <c r="G566" s="175" t="s">
        <v>16</v>
      </c>
      <c r="H566" s="172" t="s">
        <v>17</v>
      </c>
      <c r="I566" s="175">
        <v>1</v>
      </c>
      <c r="J566" s="175" t="s">
        <v>18</v>
      </c>
      <c r="K566" s="175" t="s">
        <v>57</v>
      </c>
      <c r="L566" s="172" t="s">
        <v>56</v>
      </c>
    </row>
    <row r="567" spans="1:12" x14ac:dyDescent="0.2">
      <c r="A567" s="172" t="s">
        <v>12</v>
      </c>
      <c r="B567" s="172" t="s">
        <v>13</v>
      </c>
      <c r="C567" s="172" t="s">
        <v>14</v>
      </c>
      <c r="D567" s="172" t="s">
        <v>15</v>
      </c>
      <c r="E567" s="173">
        <v>42180</v>
      </c>
      <c r="F567" s="176">
        <v>6159.3902399999997</v>
      </c>
      <c r="G567" s="175" t="s">
        <v>19</v>
      </c>
      <c r="H567" s="172" t="s">
        <v>17</v>
      </c>
      <c r="I567" s="175">
        <v>1</v>
      </c>
      <c r="J567" s="175" t="s">
        <v>18</v>
      </c>
      <c r="K567" s="175" t="s">
        <v>57</v>
      </c>
      <c r="L567" s="172" t="s">
        <v>56</v>
      </c>
    </row>
    <row r="568" spans="1:12" x14ac:dyDescent="0.2">
      <c r="A568" s="172" t="s">
        <v>12</v>
      </c>
      <c r="B568" s="172" t="s">
        <v>13</v>
      </c>
      <c r="C568" s="172" t="s">
        <v>14</v>
      </c>
      <c r="D568" s="172" t="s">
        <v>15</v>
      </c>
      <c r="E568" s="173">
        <v>42180</v>
      </c>
      <c r="F568" s="174">
        <v>8.7370000000000001</v>
      </c>
      <c r="G568" s="175" t="s">
        <v>16</v>
      </c>
      <c r="H568" s="172" t="s">
        <v>20</v>
      </c>
      <c r="I568" s="175">
        <v>1</v>
      </c>
      <c r="J568" s="175" t="s">
        <v>18</v>
      </c>
      <c r="K568" s="175" t="s">
        <v>57</v>
      </c>
      <c r="L568" s="172" t="s">
        <v>56</v>
      </c>
    </row>
    <row r="569" spans="1:12" x14ac:dyDescent="0.2">
      <c r="A569" s="172" t="s">
        <v>12</v>
      </c>
      <c r="B569" s="172" t="s">
        <v>13</v>
      </c>
      <c r="C569" s="172" t="s">
        <v>14</v>
      </c>
      <c r="D569" s="172" t="s">
        <v>15</v>
      </c>
      <c r="E569" s="173">
        <v>42180</v>
      </c>
      <c r="F569" s="176">
        <v>3089.5429920000001</v>
      </c>
      <c r="G569" s="175" t="s">
        <v>19</v>
      </c>
      <c r="H569" s="172" t="s">
        <v>20</v>
      </c>
      <c r="I569" s="175">
        <v>1</v>
      </c>
      <c r="J569" s="175" t="s">
        <v>18</v>
      </c>
      <c r="K569" s="175" t="s">
        <v>57</v>
      </c>
      <c r="L569" s="172" t="s">
        <v>56</v>
      </c>
    </row>
    <row r="570" spans="1:12" x14ac:dyDescent="0.2">
      <c r="A570" s="172" t="s">
        <v>12</v>
      </c>
      <c r="B570" s="172" t="s">
        <v>13</v>
      </c>
      <c r="C570" s="172" t="s">
        <v>14</v>
      </c>
      <c r="D570" s="172" t="s">
        <v>15</v>
      </c>
      <c r="E570" s="173">
        <v>42172</v>
      </c>
      <c r="F570" s="174">
        <v>16.386583399999999</v>
      </c>
      <c r="G570" s="175" t="s">
        <v>16</v>
      </c>
      <c r="H570" s="172" t="s">
        <v>17</v>
      </c>
      <c r="I570" s="175">
        <v>1</v>
      </c>
      <c r="J570" s="175" t="s">
        <v>18</v>
      </c>
      <c r="K570" s="175" t="s">
        <v>57</v>
      </c>
      <c r="L570" s="172" t="s">
        <v>56</v>
      </c>
    </row>
    <row r="571" spans="1:12" x14ac:dyDescent="0.2">
      <c r="A571" s="172" t="s">
        <v>12</v>
      </c>
      <c r="B571" s="172" t="s">
        <v>13</v>
      </c>
      <c r="C571" s="172" t="s">
        <v>14</v>
      </c>
      <c r="D571" s="172" t="s">
        <v>15</v>
      </c>
      <c r="E571" s="173">
        <v>42172</v>
      </c>
      <c r="F571" s="176">
        <v>8760.1692000000003</v>
      </c>
      <c r="G571" s="175" t="s">
        <v>19</v>
      </c>
      <c r="H571" s="172" t="s">
        <v>17</v>
      </c>
      <c r="I571" s="175">
        <v>1</v>
      </c>
      <c r="J571" s="175" t="s">
        <v>18</v>
      </c>
      <c r="K571" s="175" t="s">
        <v>57</v>
      </c>
      <c r="L571" s="172" t="s">
        <v>56</v>
      </c>
    </row>
    <row r="572" spans="1:12" x14ac:dyDescent="0.2">
      <c r="A572" s="172" t="s">
        <v>12</v>
      </c>
      <c r="B572" s="172" t="s">
        <v>13</v>
      </c>
      <c r="C572" s="172" t="s">
        <v>14</v>
      </c>
      <c r="D572" s="172" t="s">
        <v>15</v>
      </c>
      <c r="E572" s="173">
        <v>42172</v>
      </c>
      <c r="F572" s="174">
        <v>13.93</v>
      </c>
      <c r="G572" s="175" t="s">
        <v>16</v>
      </c>
      <c r="H572" s="172" t="s">
        <v>20</v>
      </c>
      <c r="I572" s="175">
        <v>1</v>
      </c>
      <c r="J572" s="175" t="s">
        <v>18</v>
      </c>
      <c r="K572" s="175" t="s">
        <v>57</v>
      </c>
      <c r="L572" s="172" t="s">
        <v>56</v>
      </c>
    </row>
    <row r="573" spans="1:12" x14ac:dyDescent="0.2">
      <c r="A573" s="172" t="s">
        <v>12</v>
      </c>
      <c r="B573" s="172" t="s">
        <v>13</v>
      </c>
      <c r="C573" s="172" t="s">
        <v>14</v>
      </c>
      <c r="D573" s="172" t="s">
        <v>15</v>
      </c>
      <c r="E573" s="173">
        <v>42172</v>
      </c>
      <c r="F573" s="176">
        <v>5076.8999400000002</v>
      </c>
      <c r="G573" s="175" t="s">
        <v>19</v>
      </c>
      <c r="H573" s="172" t="s">
        <v>20</v>
      </c>
      <c r="I573" s="175">
        <v>1</v>
      </c>
      <c r="J573" s="175" t="s">
        <v>18</v>
      </c>
      <c r="K573" s="175" t="s">
        <v>57</v>
      </c>
      <c r="L573" s="172" t="s">
        <v>56</v>
      </c>
    </row>
    <row r="574" spans="1:12" x14ac:dyDescent="0.2">
      <c r="A574" s="172" t="s">
        <v>12</v>
      </c>
      <c r="B574" s="172" t="s">
        <v>13</v>
      </c>
      <c r="C574" s="172" t="s">
        <v>14</v>
      </c>
      <c r="D574" s="172" t="s">
        <v>15</v>
      </c>
      <c r="E574" s="173">
        <v>42165</v>
      </c>
      <c r="F574" s="174">
        <v>35.492125899999998</v>
      </c>
      <c r="G574" s="175" t="s">
        <v>16</v>
      </c>
      <c r="H574" s="172" t="s">
        <v>17</v>
      </c>
      <c r="I574" s="175">
        <v>1</v>
      </c>
      <c r="J574" s="175" t="s">
        <v>18</v>
      </c>
      <c r="K574" s="175" t="s">
        <v>57</v>
      </c>
      <c r="L574" s="172" t="s">
        <v>56</v>
      </c>
    </row>
    <row r="575" spans="1:12" x14ac:dyDescent="0.2">
      <c r="A575" s="172" t="s">
        <v>12</v>
      </c>
      <c r="B575" s="172" t="s">
        <v>13</v>
      </c>
      <c r="C575" s="172" t="s">
        <v>14</v>
      </c>
      <c r="D575" s="172" t="s">
        <v>15</v>
      </c>
      <c r="E575" s="173">
        <v>42165</v>
      </c>
      <c r="F575" s="176">
        <v>7518.51</v>
      </c>
      <c r="G575" s="175" t="s">
        <v>19</v>
      </c>
      <c r="H575" s="172" t="s">
        <v>17</v>
      </c>
      <c r="I575" s="175">
        <v>1</v>
      </c>
      <c r="J575" s="175" t="s">
        <v>18</v>
      </c>
      <c r="K575" s="175" t="s">
        <v>57</v>
      </c>
      <c r="L575" s="172" t="s">
        <v>56</v>
      </c>
    </row>
    <row r="576" spans="1:12" x14ac:dyDescent="0.2">
      <c r="A576" s="172" t="s">
        <v>12</v>
      </c>
      <c r="B576" s="172" t="s">
        <v>13</v>
      </c>
      <c r="C576" s="172" t="s">
        <v>14</v>
      </c>
      <c r="D576" s="172" t="s">
        <v>15</v>
      </c>
      <c r="E576" s="173">
        <v>42165</v>
      </c>
      <c r="F576" s="174">
        <v>32.1</v>
      </c>
      <c r="G576" s="175" t="s">
        <v>16</v>
      </c>
      <c r="H576" s="172" t="s">
        <v>20</v>
      </c>
      <c r="I576" s="175">
        <v>1</v>
      </c>
      <c r="J576" s="175" t="s">
        <v>18</v>
      </c>
      <c r="K576" s="175" t="s">
        <v>57</v>
      </c>
      <c r="L576" s="172" t="s">
        <v>56</v>
      </c>
    </row>
    <row r="577" spans="1:12" x14ac:dyDescent="0.2">
      <c r="A577" s="172" t="s">
        <v>12</v>
      </c>
      <c r="B577" s="172" t="s">
        <v>13</v>
      </c>
      <c r="C577" s="172" t="s">
        <v>14</v>
      </c>
      <c r="D577" s="172" t="s">
        <v>15</v>
      </c>
      <c r="E577" s="173">
        <v>42165</v>
      </c>
      <c r="F577" s="176">
        <v>7281.8207998999997</v>
      </c>
      <c r="G577" s="175" t="s">
        <v>19</v>
      </c>
      <c r="H577" s="172" t="s">
        <v>20</v>
      </c>
      <c r="I577" s="175">
        <v>1</v>
      </c>
      <c r="J577" s="175" t="s">
        <v>18</v>
      </c>
      <c r="K577" s="175" t="s">
        <v>57</v>
      </c>
      <c r="L577" s="172" t="s">
        <v>56</v>
      </c>
    </row>
    <row r="578" spans="1:12" x14ac:dyDescent="0.2">
      <c r="A578" s="172" t="s">
        <v>12</v>
      </c>
      <c r="B578" s="172" t="s">
        <v>13</v>
      </c>
      <c r="C578" s="172" t="s">
        <v>14</v>
      </c>
      <c r="D578" s="172" t="s">
        <v>15</v>
      </c>
      <c r="E578" s="173">
        <v>42158</v>
      </c>
      <c r="F578" s="174">
        <v>42.351315700000001</v>
      </c>
      <c r="G578" s="175" t="s">
        <v>16</v>
      </c>
      <c r="H578" s="172" t="s">
        <v>17</v>
      </c>
      <c r="I578" s="175">
        <v>1</v>
      </c>
      <c r="J578" s="175" t="s">
        <v>18</v>
      </c>
      <c r="K578" s="175" t="s">
        <v>57</v>
      </c>
      <c r="L578" s="172" t="s">
        <v>56</v>
      </c>
    </row>
    <row r="579" spans="1:12" x14ac:dyDescent="0.2">
      <c r="A579" s="172" t="s">
        <v>12</v>
      </c>
      <c r="B579" s="172" t="s">
        <v>13</v>
      </c>
      <c r="C579" s="172" t="s">
        <v>14</v>
      </c>
      <c r="D579" s="172" t="s">
        <v>15</v>
      </c>
      <c r="E579" s="173">
        <v>42158</v>
      </c>
      <c r="F579" s="176">
        <v>8053.1873998999999</v>
      </c>
      <c r="G579" s="175" t="s">
        <v>19</v>
      </c>
      <c r="H579" s="172" t="s">
        <v>17</v>
      </c>
      <c r="I579" s="175">
        <v>1</v>
      </c>
      <c r="J579" s="175" t="s">
        <v>18</v>
      </c>
      <c r="K579" s="175" t="s">
        <v>57</v>
      </c>
      <c r="L579" s="172" t="s">
        <v>56</v>
      </c>
    </row>
    <row r="580" spans="1:12" x14ac:dyDescent="0.2">
      <c r="A580" s="172" t="s">
        <v>12</v>
      </c>
      <c r="B580" s="172" t="s">
        <v>13</v>
      </c>
      <c r="C580" s="172" t="s">
        <v>14</v>
      </c>
      <c r="D580" s="172" t="s">
        <v>15</v>
      </c>
      <c r="E580" s="173">
        <v>42158</v>
      </c>
      <c r="F580" s="174">
        <v>30.9</v>
      </c>
      <c r="G580" s="175" t="s">
        <v>16</v>
      </c>
      <c r="H580" s="172" t="s">
        <v>20</v>
      </c>
      <c r="I580" s="175">
        <v>1</v>
      </c>
      <c r="J580" s="175" t="s">
        <v>18</v>
      </c>
      <c r="K580" s="175" t="s">
        <v>57</v>
      </c>
      <c r="L580" s="172" t="s">
        <v>56</v>
      </c>
    </row>
    <row r="581" spans="1:12" x14ac:dyDescent="0.2">
      <c r="A581" s="172" t="s">
        <v>12</v>
      </c>
      <c r="B581" s="172" t="s">
        <v>13</v>
      </c>
      <c r="C581" s="172" t="s">
        <v>14</v>
      </c>
      <c r="D581" s="172" t="s">
        <v>15</v>
      </c>
      <c r="E581" s="173">
        <v>42158</v>
      </c>
      <c r="F581" s="176">
        <v>6159.1733998999998</v>
      </c>
      <c r="G581" s="175" t="s">
        <v>19</v>
      </c>
      <c r="H581" s="172" t="s">
        <v>20</v>
      </c>
      <c r="I581" s="175">
        <v>1</v>
      </c>
      <c r="J581" s="175" t="s">
        <v>18</v>
      </c>
      <c r="K581" s="175" t="s">
        <v>57</v>
      </c>
      <c r="L581" s="172" t="s">
        <v>56</v>
      </c>
    </row>
    <row r="582" spans="1:12" x14ac:dyDescent="0.2">
      <c r="A582" s="172" t="s">
        <v>12</v>
      </c>
      <c r="B582" s="172" t="s">
        <v>13</v>
      </c>
      <c r="C582" s="172" t="s">
        <v>14</v>
      </c>
      <c r="D582" s="172" t="s">
        <v>15</v>
      </c>
      <c r="E582" s="173">
        <v>42151</v>
      </c>
      <c r="F582" s="174">
        <v>40.450000000000003</v>
      </c>
      <c r="G582" s="175" t="s">
        <v>16</v>
      </c>
      <c r="H582" s="172" t="s">
        <v>17</v>
      </c>
      <c r="I582" s="175">
        <v>1</v>
      </c>
      <c r="J582" s="175" t="s">
        <v>18</v>
      </c>
      <c r="K582" s="175" t="s">
        <v>57</v>
      </c>
      <c r="L582" s="172" t="s">
        <v>56</v>
      </c>
    </row>
    <row r="583" spans="1:12" x14ac:dyDescent="0.2">
      <c r="A583" s="172" t="s">
        <v>12</v>
      </c>
      <c r="B583" s="172" t="s">
        <v>13</v>
      </c>
      <c r="C583" s="172" t="s">
        <v>14</v>
      </c>
      <c r="D583" s="172" t="s">
        <v>15</v>
      </c>
      <c r="E583" s="173">
        <v>42151</v>
      </c>
      <c r="F583" s="176">
        <v>9412.9251540000005</v>
      </c>
      <c r="G583" s="175" t="s">
        <v>19</v>
      </c>
      <c r="H583" s="172" t="s">
        <v>17</v>
      </c>
      <c r="I583" s="175">
        <v>1</v>
      </c>
      <c r="J583" s="175" t="s">
        <v>18</v>
      </c>
      <c r="K583" s="175" t="s">
        <v>57</v>
      </c>
      <c r="L583" s="172" t="s">
        <v>56</v>
      </c>
    </row>
    <row r="584" spans="1:12" x14ac:dyDescent="0.2">
      <c r="A584" s="172" t="s">
        <v>12</v>
      </c>
      <c r="B584" s="172" t="s">
        <v>13</v>
      </c>
      <c r="C584" s="172" t="s">
        <v>14</v>
      </c>
      <c r="D584" s="172" t="s">
        <v>15</v>
      </c>
      <c r="E584" s="173">
        <v>42151</v>
      </c>
      <c r="F584" s="174">
        <v>30.7</v>
      </c>
      <c r="G584" s="175" t="s">
        <v>16</v>
      </c>
      <c r="H584" s="172" t="s">
        <v>20</v>
      </c>
      <c r="I584" s="175">
        <v>1</v>
      </c>
      <c r="J584" s="175" t="s">
        <v>18</v>
      </c>
      <c r="K584" s="175" t="s">
        <v>57</v>
      </c>
      <c r="L584" s="172" t="s">
        <v>56</v>
      </c>
    </row>
    <row r="585" spans="1:12" x14ac:dyDescent="0.2">
      <c r="A585" s="172" t="s">
        <v>12</v>
      </c>
      <c r="B585" s="172" t="s">
        <v>13</v>
      </c>
      <c r="C585" s="172" t="s">
        <v>14</v>
      </c>
      <c r="D585" s="172" t="s">
        <v>15</v>
      </c>
      <c r="E585" s="173">
        <v>42151</v>
      </c>
      <c r="F585" s="176">
        <v>7622.4764400000004</v>
      </c>
      <c r="G585" s="175" t="s">
        <v>19</v>
      </c>
      <c r="H585" s="172" t="s">
        <v>20</v>
      </c>
      <c r="I585" s="175">
        <v>1</v>
      </c>
      <c r="J585" s="175" t="s">
        <v>18</v>
      </c>
      <c r="K585" s="175" t="s">
        <v>57</v>
      </c>
      <c r="L585" s="172" t="s">
        <v>56</v>
      </c>
    </row>
    <row r="586" spans="1:12" x14ac:dyDescent="0.2">
      <c r="A586" s="172" t="s">
        <v>12</v>
      </c>
      <c r="B586" s="172" t="s">
        <v>13</v>
      </c>
      <c r="C586" s="172" t="s">
        <v>14</v>
      </c>
      <c r="D586" s="172" t="s">
        <v>15</v>
      </c>
      <c r="E586" s="173">
        <v>42144</v>
      </c>
      <c r="F586" s="174">
        <v>35.74</v>
      </c>
      <c r="G586" s="175" t="s">
        <v>16</v>
      </c>
      <c r="H586" s="172" t="s">
        <v>17</v>
      </c>
      <c r="I586" s="175">
        <v>1</v>
      </c>
      <c r="J586" s="175" t="s">
        <v>18</v>
      </c>
      <c r="K586" s="175" t="s">
        <v>57</v>
      </c>
      <c r="L586" s="172" t="s">
        <v>56</v>
      </c>
    </row>
    <row r="587" spans="1:12" x14ac:dyDescent="0.2">
      <c r="A587" s="172" t="s">
        <v>12</v>
      </c>
      <c r="B587" s="172" t="s">
        <v>13</v>
      </c>
      <c r="C587" s="172" t="s">
        <v>14</v>
      </c>
      <c r="D587" s="172" t="s">
        <v>15</v>
      </c>
      <c r="E587" s="173">
        <v>42144</v>
      </c>
      <c r="F587" s="176">
        <v>6080.6940000000004</v>
      </c>
      <c r="G587" s="175" t="s">
        <v>19</v>
      </c>
      <c r="H587" s="172" t="s">
        <v>17</v>
      </c>
      <c r="I587" s="175">
        <v>1</v>
      </c>
      <c r="J587" s="175" t="s">
        <v>18</v>
      </c>
      <c r="K587" s="175" t="s">
        <v>57</v>
      </c>
      <c r="L587" s="172" t="s">
        <v>56</v>
      </c>
    </row>
    <row r="588" spans="1:12" x14ac:dyDescent="0.2">
      <c r="A588" s="172" t="s">
        <v>12</v>
      </c>
      <c r="B588" s="172" t="s">
        <v>13</v>
      </c>
      <c r="C588" s="172" t="s">
        <v>14</v>
      </c>
      <c r="D588" s="172" t="s">
        <v>15</v>
      </c>
      <c r="E588" s="173">
        <v>42144</v>
      </c>
      <c r="F588" s="174">
        <v>21</v>
      </c>
      <c r="G588" s="175" t="s">
        <v>16</v>
      </c>
      <c r="H588" s="172" t="s">
        <v>20</v>
      </c>
      <c r="I588" s="175">
        <v>1</v>
      </c>
      <c r="J588" s="175" t="s">
        <v>18</v>
      </c>
      <c r="K588" s="175" t="s">
        <v>57</v>
      </c>
      <c r="L588" s="172" t="s">
        <v>56</v>
      </c>
    </row>
    <row r="589" spans="1:12" x14ac:dyDescent="0.2">
      <c r="A589" s="172" t="s">
        <v>12</v>
      </c>
      <c r="B589" s="172" t="s">
        <v>13</v>
      </c>
      <c r="C589" s="172" t="s">
        <v>14</v>
      </c>
      <c r="D589" s="172" t="s">
        <v>15</v>
      </c>
      <c r="E589" s="173">
        <v>42144</v>
      </c>
      <c r="F589" s="176">
        <v>3888.1080000000002</v>
      </c>
      <c r="G589" s="175" t="s">
        <v>19</v>
      </c>
      <c r="H589" s="172" t="s">
        <v>20</v>
      </c>
      <c r="I589" s="175">
        <v>1</v>
      </c>
      <c r="J589" s="175" t="s">
        <v>18</v>
      </c>
      <c r="K589" s="175" t="s">
        <v>57</v>
      </c>
      <c r="L589" s="172" t="s">
        <v>56</v>
      </c>
    </row>
    <row r="590" spans="1:12" x14ac:dyDescent="0.2">
      <c r="A590" s="172" t="s">
        <v>12</v>
      </c>
      <c r="B590" s="172" t="s">
        <v>13</v>
      </c>
      <c r="C590" s="172" t="s">
        <v>14</v>
      </c>
      <c r="D590" s="172" t="s">
        <v>15</v>
      </c>
      <c r="E590" s="173">
        <v>42136</v>
      </c>
      <c r="F590" s="174">
        <v>22.15</v>
      </c>
      <c r="G590" s="175" t="s">
        <v>16</v>
      </c>
      <c r="H590" s="172" t="s">
        <v>17</v>
      </c>
      <c r="I590" s="175">
        <v>1</v>
      </c>
      <c r="J590" s="175" t="s">
        <v>18</v>
      </c>
      <c r="K590" s="175" t="s">
        <v>57</v>
      </c>
      <c r="L590" s="172" t="s">
        <v>56</v>
      </c>
    </row>
    <row r="591" spans="1:12" x14ac:dyDescent="0.2">
      <c r="A591" s="172" t="s">
        <v>12</v>
      </c>
      <c r="B591" s="172" t="s">
        <v>13</v>
      </c>
      <c r="C591" s="172" t="s">
        <v>14</v>
      </c>
      <c r="D591" s="172" t="s">
        <v>15</v>
      </c>
      <c r="E591" s="173">
        <v>42136</v>
      </c>
      <c r="F591" s="176">
        <v>4138.0110960000002</v>
      </c>
      <c r="G591" s="175" t="s">
        <v>19</v>
      </c>
      <c r="H591" s="172" t="s">
        <v>17</v>
      </c>
      <c r="I591" s="175">
        <v>1</v>
      </c>
      <c r="J591" s="175" t="s">
        <v>18</v>
      </c>
      <c r="K591" s="175" t="s">
        <v>57</v>
      </c>
      <c r="L591" s="172" t="s">
        <v>56</v>
      </c>
    </row>
    <row r="592" spans="1:12" x14ac:dyDescent="0.2">
      <c r="A592" s="172" t="s">
        <v>12</v>
      </c>
      <c r="B592" s="172" t="s">
        <v>13</v>
      </c>
      <c r="C592" s="172" t="s">
        <v>14</v>
      </c>
      <c r="D592" s="172" t="s">
        <v>15</v>
      </c>
      <c r="E592" s="173">
        <v>42136</v>
      </c>
      <c r="F592" s="174">
        <v>24.8</v>
      </c>
      <c r="G592" s="175" t="s">
        <v>16</v>
      </c>
      <c r="H592" s="172" t="s">
        <v>20</v>
      </c>
      <c r="I592" s="175">
        <v>1</v>
      </c>
      <c r="J592" s="175" t="s">
        <v>18</v>
      </c>
      <c r="K592" s="175" t="s">
        <v>57</v>
      </c>
      <c r="L592" s="172" t="s">
        <v>56</v>
      </c>
    </row>
    <row r="593" spans="1:12" x14ac:dyDescent="0.2">
      <c r="A593" s="172" t="s">
        <v>12</v>
      </c>
      <c r="B593" s="172" t="s">
        <v>13</v>
      </c>
      <c r="C593" s="172" t="s">
        <v>14</v>
      </c>
      <c r="D593" s="172" t="s">
        <v>15</v>
      </c>
      <c r="E593" s="173">
        <v>42136</v>
      </c>
      <c r="F593" s="176">
        <v>5014.2148319999997</v>
      </c>
      <c r="G593" s="175" t="s">
        <v>19</v>
      </c>
      <c r="H593" s="172" t="s">
        <v>20</v>
      </c>
      <c r="I593" s="175">
        <v>1</v>
      </c>
      <c r="J593" s="175" t="s">
        <v>18</v>
      </c>
      <c r="K593" s="175" t="s">
        <v>57</v>
      </c>
      <c r="L593" s="172" t="s">
        <v>56</v>
      </c>
    </row>
    <row r="594" spans="1:12" x14ac:dyDescent="0.2">
      <c r="A594" s="172" t="s">
        <v>12</v>
      </c>
      <c r="B594" s="172" t="s">
        <v>13</v>
      </c>
      <c r="C594" s="172" t="s">
        <v>14</v>
      </c>
      <c r="D594" s="172" t="s">
        <v>15</v>
      </c>
      <c r="E594" s="173">
        <v>42130</v>
      </c>
      <c r="F594" s="174">
        <v>39.28</v>
      </c>
      <c r="G594" s="175" t="s">
        <v>16</v>
      </c>
      <c r="H594" s="172" t="s">
        <v>17</v>
      </c>
      <c r="I594" s="175">
        <v>1</v>
      </c>
      <c r="J594" s="175" t="s">
        <v>18</v>
      </c>
      <c r="K594" s="175" t="s">
        <v>57</v>
      </c>
      <c r="L594" s="172" t="s">
        <v>56</v>
      </c>
    </row>
    <row r="595" spans="1:12" x14ac:dyDescent="0.2">
      <c r="A595" s="172" t="s">
        <v>12</v>
      </c>
      <c r="B595" s="172" t="s">
        <v>13</v>
      </c>
      <c r="C595" s="172" t="s">
        <v>14</v>
      </c>
      <c r="D595" s="172" t="s">
        <v>15</v>
      </c>
      <c r="E595" s="173">
        <v>42130</v>
      </c>
      <c r="F595" s="176">
        <v>8190.7139999999999</v>
      </c>
      <c r="G595" s="175" t="s">
        <v>19</v>
      </c>
      <c r="H595" s="172" t="s">
        <v>17</v>
      </c>
      <c r="I595" s="175">
        <v>1</v>
      </c>
      <c r="J595" s="175" t="s">
        <v>18</v>
      </c>
      <c r="K595" s="175" t="s">
        <v>57</v>
      </c>
      <c r="L595" s="172" t="s">
        <v>56</v>
      </c>
    </row>
    <row r="596" spans="1:12" x14ac:dyDescent="0.2">
      <c r="A596" s="172" t="s">
        <v>12</v>
      </c>
      <c r="B596" s="172" t="s">
        <v>13</v>
      </c>
      <c r="C596" s="172" t="s">
        <v>14</v>
      </c>
      <c r="D596" s="172" t="s">
        <v>15</v>
      </c>
      <c r="E596" s="173">
        <v>42130</v>
      </c>
      <c r="F596" s="174">
        <v>20.100000000000001</v>
      </c>
      <c r="G596" s="175" t="s">
        <v>16</v>
      </c>
      <c r="H596" s="172" t="s">
        <v>20</v>
      </c>
      <c r="I596" s="175">
        <v>1</v>
      </c>
      <c r="J596" s="175" t="s">
        <v>18</v>
      </c>
      <c r="K596" s="175" t="s">
        <v>57</v>
      </c>
      <c r="L596" s="172" t="s">
        <v>56</v>
      </c>
    </row>
    <row r="597" spans="1:12" x14ac:dyDescent="0.2">
      <c r="A597" s="172" t="s">
        <v>12</v>
      </c>
      <c r="B597" s="172" t="s">
        <v>13</v>
      </c>
      <c r="C597" s="172" t="s">
        <v>14</v>
      </c>
      <c r="D597" s="172" t="s">
        <v>15</v>
      </c>
      <c r="E597" s="173">
        <v>42130</v>
      </c>
      <c r="F597" s="176">
        <v>4442.3010000000004</v>
      </c>
      <c r="G597" s="175" t="s">
        <v>19</v>
      </c>
      <c r="H597" s="172" t="s">
        <v>20</v>
      </c>
      <c r="I597" s="175">
        <v>1</v>
      </c>
      <c r="J597" s="175" t="s">
        <v>18</v>
      </c>
      <c r="K597" s="175" t="s">
        <v>57</v>
      </c>
      <c r="L597" s="172" t="s">
        <v>56</v>
      </c>
    </row>
    <row r="598" spans="1:12" x14ac:dyDescent="0.2">
      <c r="A598" s="172" t="s">
        <v>12</v>
      </c>
      <c r="B598" s="172" t="s">
        <v>13</v>
      </c>
      <c r="C598" s="172" t="s">
        <v>14</v>
      </c>
      <c r="D598" s="172" t="s">
        <v>15</v>
      </c>
      <c r="E598" s="173">
        <v>42122</v>
      </c>
      <c r="F598" s="174">
        <v>45.9</v>
      </c>
      <c r="G598" s="175" t="s">
        <v>16</v>
      </c>
      <c r="H598" s="172" t="s">
        <v>17</v>
      </c>
      <c r="I598" s="175">
        <v>1</v>
      </c>
      <c r="J598" s="175" t="s">
        <v>18</v>
      </c>
      <c r="K598" s="175" t="s">
        <v>57</v>
      </c>
      <c r="L598" s="172" t="s">
        <v>56</v>
      </c>
    </row>
    <row r="599" spans="1:12" x14ac:dyDescent="0.2">
      <c r="A599" s="172" t="s">
        <v>12</v>
      </c>
      <c r="B599" s="172" t="s">
        <v>13</v>
      </c>
      <c r="C599" s="172" t="s">
        <v>14</v>
      </c>
      <c r="D599" s="172" t="s">
        <v>15</v>
      </c>
      <c r="E599" s="173">
        <v>42122</v>
      </c>
      <c r="F599" s="176">
        <v>7690.8277440000002</v>
      </c>
      <c r="G599" s="175" t="s">
        <v>19</v>
      </c>
      <c r="H599" s="172" t="s">
        <v>17</v>
      </c>
      <c r="I599" s="175">
        <v>1</v>
      </c>
      <c r="J599" s="175" t="s">
        <v>18</v>
      </c>
      <c r="K599" s="175" t="s">
        <v>57</v>
      </c>
      <c r="L599" s="172" t="s">
        <v>56</v>
      </c>
    </row>
    <row r="600" spans="1:12" x14ac:dyDescent="0.2">
      <c r="A600" s="172" t="s">
        <v>12</v>
      </c>
      <c r="B600" s="172" t="s">
        <v>13</v>
      </c>
      <c r="C600" s="172" t="s">
        <v>14</v>
      </c>
      <c r="D600" s="172" t="s">
        <v>15</v>
      </c>
      <c r="E600" s="173">
        <v>42122</v>
      </c>
      <c r="F600" s="174">
        <v>35.5</v>
      </c>
      <c r="G600" s="175" t="s">
        <v>16</v>
      </c>
      <c r="H600" s="172" t="s">
        <v>20</v>
      </c>
      <c r="I600" s="175">
        <v>1</v>
      </c>
      <c r="J600" s="175" t="s">
        <v>18</v>
      </c>
      <c r="K600" s="175" t="s">
        <v>57</v>
      </c>
      <c r="L600" s="172" t="s">
        <v>56</v>
      </c>
    </row>
    <row r="601" spans="1:12" x14ac:dyDescent="0.2">
      <c r="A601" s="172" t="s">
        <v>12</v>
      </c>
      <c r="B601" s="172" t="s">
        <v>13</v>
      </c>
      <c r="C601" s="172" t="s">
        <v>14</v>
      </c>
      <c r="D601" s="172" t="s">
        <v>15</v>
      </c>
      <c r="E601" s="173">
        <v>42122</v>
      </c>
      <c r="F601" s="176">
        <v>6421.8233520000003</v>
      </c>
      <c r="G601" s="175" t="s">
        <v>19</v>
      </c>
      <c r="H601" s="172" t="s">
        <v>20</v>
      </c>
      <c r="I601" s="175">
        <v>1</v>
      </c>
      <c r="J601" s="175" t="s">
        <v>18</v>
      </c>
      <c r="K601" s="175" t="s">
        <v>57</v>
      </c>
      <c r="L601" s="172" t="s">
        <v>56</v>
      </c>
    </row>
    <row r="602" spans="1:12" x14ac:dyDescent="0.2">
      <c r="A602" s="172" t="s">
        <v>12</v>
      </c>
      <c r="B602" s="172" t="s">
        <v>13</v>
      </c>
      <c r="C602" s="172" t="s">
        <v>14</v>
      </c>
      <c r="D602" s="172" t="s">
        <v>15</v>
      </c>
      <c r="E602" s="173">
        <v>42116</v>
      </c>
      <c r="F602" s="174">
        <v>49.2</v>
      </c>
      <c r="G602" s="175" t="s">
        <v>16</v>
      </c>
      <c r="H602" s="172" t="s">
        <v>17</v>
      </c>
      <c r="I602" s="175">
        <v>1</v>
      </c>
      <c r="J602" s="175" t="s">
        <v>18</v>
      </c>
      <c r="K602" s="175" t="s">
        <v>57</v>
      </c>
      <c r="L602" s="172" t="s">
        <v>56</v>
      </c>
    </row>
    <row r="603" spans="1:12" x14ac:dyDescent="0.2">
      <c r="A603" s="172" t="s">
        <v>12</v>
      </c>
      <c r="B603" s="172" t="s">
        <v>13</v>
      </c>
      <c r="C603" s="172" t="s">
        <v>14</v>
      </c>
      <c r="D603" s="172" t="s">
        <v>15</v>
      </c>
      <c r="E603" s="173">
        <v>42116</v>
      </c>
      <c r="F603" s="176">
        <v>8173.5335999999998</v>
      </c>
      <c r="G603" s="175" t="s">
        <v>19</v>
      </c>
      <c r="H603" s="172" t="s">
        <v>17</v>
      </c>
      <c r="I603" s="175">
        <v>1</v>
      </c>
      <c r="J603" s="175" t="s">
        <v>18</v>
      </c>
      <c r="K603" s="175" t="s">
        <v>57</v>
      </c>
      <c r="L603" s="172" t="s">
        <v>56</v>
      </c>
    </row>
    <row r="604" spans="1:12" x14ac:dyDescent="0.2">
      <c r="A604" s="172" t="s">
        <v>12</v>
      </c>
      <c r="B604" s="172" t="s">
        <v>13</v>
      </c>
      <c r="C604" s="172" t="s">
        <v>14</v>
      </c>
      <c r="D604" s="172" t="s">
        <v>15</v>
      </c>
      <c r="E604" s="173">
        <v>42116</v>
      </c>
      <c r="F604" s="174">
        <v>48.6</v>
      </c>
      <c r="G604" s="175" t="s">
        <v>16</v>
      </c>
      <c r="H604" s="172" t="s">
        <v>20</v>
      </c>
      <c r="I604" s="175">
        <v>1</v>
      </c>
      <c r="J604" s="175" t="s">
        <v>18</v>
      </c>
      <c r="K604" s="175" t="s">
        <v>57</v>
      </c>
      <c r="L604" s="172" t="s">
        <v>56</v>
      </c>
    </row>
    <row r="605" spans="1:12" x14ac:dyDescent="0.2">
      <c r="A605" s="172" t="s">
        <v>12</v>
      </c>
      <c r="B605" s="172" t="s">
        <v>13</v>
      </c>
      <c r="C605" s="172" t="s">
        <v>14</v>
      </c>
      <c r="D605" s="172" t="s">
        <v>15</v>
      </c>
      <c r="E605" s="173">
        <v>42116</v>
      </c>
      <c r="F605" s="176">
        <v>8592.8688000000002</v>
      </c>
      <c r="G605" s="175" t="s">
        <v>19</v>
      </c>
      <c r="H605" s="172" t="s">
        <v>20</v>
      </c>
      <c r="I605" s="175">
        <v>1</v>
      </c>
      <c r="J605" s="175" t="s">
        <v>18</v>
      </c>
      <c r="K605" s="175" t="s">
        <v>57</v>
      </c>
      <c r="L605" s="172" t="s">
        <v>56</v>
      </c>
    </row>
    <row r="606" spans="1:12" x14ac:dyDescent="0.2">
      <c r="A606" s="172" t="s">
        <v>12</v>
      </c>
      <c r="B606" s="172" t="s">
        <v>13</v>
      </c>
      <c r="C606" s="172" t="s">
        <v>14</v>
      </c>
      <c r="D606" s="172" t="s">
        <v>15</v>
      </c>
      <c r="E606" s="173">
        <v>42110</v>
      </c>
      <c r="F606" s="174">
        <v>52.5</v>
      </c>
      <c r="G606" s="175" t="s">
        <v>16</v>
      </c>
      <c r="H606" s="172" t="s">
        <v>17</v>
      </c>
      <c r="I606" s="175">
        <v>1</v>
      </c>
      <c r="J606" s="175" t="s">
        <v>18</v>
      </c>
      <c r="K606" s="175" t="s">
        <v>57</v>
      </c>
      <c r="L606" s="172" t="s">
        <v>56</v>
      </c>
    </row>
    <row r="607" spans="1:12" x14ac:dyDescent="0.2">
      <c r="A607" s="172" t="s">
        <v>12</v>
      </c>
      <c r="B607" s="172" t="s">
        <v>13</v>
      </c>
      <c r="C607" s="172" t="s">
        <v>14</v>
      </c>
      <c r="D607" s="172" t="s">
        <v>15</v>
      </c>
      <c r="E607" s="173">
        <v>42110</v>
      </c>
      <c r="F607" s="176">
        <v>8845.2371999999996</v>
      </c>
      <c r="G607" s="175" t="s">
        <v>19</v>
      </c>
      <c r="H607" s="172" t="s">
        <v>17</v>
      </c>
      <c r="I607" s="175">
        <v>1</v>
      </c>
      <c r="J607" s="175" t="s">
        <v>18</v>
      </c>
      <c r="K607" s="175" t="s">
        <v>57</v>
      </c>
      <c r="L607" s="172" t="s">
        <v>56</v>
      </c>
    </row>
    <row r="608" spans="1:12" x14ac:dyDescent="0.2">
      <c r="A608" s="172" t="s">
        <v>12</v>
      </c>
      <c r="B608" s="172" t="s">
        <v>13</v>
      </c>
      <c r="C608" s="172" t="s">
        <v>14</v>
      </c>
      <c r="D608" s="172" t="s">
        <v>15</v>
      </c>
      <c r="E608" s="173">
        <v>42110</v>
      </c>
      <c r="F608" s="174">
        <v>56.3</v>
      </c>
      <c r="G608" s="175" t="s">
        <v>16</v>
      </c>
      <c r="H608" s="172" t="s">
        <v>20</v>
      </c>
      <c r="I608" s="175">
        <v>1</v>
      </c>
      <c r="J608" s="175" t="s">
        <v>18</v>
      </c>
      <c r="K608" s="175" t="s">
        <v>57</v>
      </c>
      <c r="L608" s="172" t="s">
        <v>56</v>
      </c>
    </row>
    <row r="609" spans="1:12" x14ac:dyDescent="0.2">
      <c r="A609" s="172" t="s">
        <v>12</v>
      </c>
      <c r="B609" s="172" t="s">
        <v>13</v>
      </c>
      <c r="C609" s="172" t="s">
        <v>14</v>
      </c>
      <c r="D609" s="172" t="s">
        <v>15</v>
      </c>
      <c r="E609" s="173">
        <v>42110</v>
      </c>
      <c r="F609" s="176">
        <v>9578.6568000000007</v>
      </c>
      <c r="G609" s="175" t="s">
        <v>19</v>
      </c>
      <c r="H609" s="172" t="s">
        <v>20</v>
      </c>
      <c r="I609" s="175">
        <v>1</v>
      </c>
      <c r="J609" s="175" t="s">
        <v>18</v>
      </c>
      <c r="K609" s="175" t="s">
        <v>57</v>
      </c>
      <c r="L609" s="172" t="s">
        <v>56</v>
      </c>
    </row>
    <row r="610" spans="1:12" x14ac:dyDescent="0.2">
      <c r="A610" s="172" t="s">
        <v>12</v>
      </c>
      <c r="B610" s="172" t="s">
        <v>13</v>
      </c>
      <c r="C610" s="172" t="s">
        <v>14</v>
      </c>
      <c r="D610" s="172" t="s">
        <v>15</v>
      </c>
      <c r="E610" s="173">
        <v>42102</v>
      </c>
      <c r="F610" s="174">
        <v>40.1</v>
      </c>
      <c r="G610" s="175" t="s">
        <v>16</v>
      </c>
      <c r="H610" s="172" t="s">
        <v>17</v>
      </c>
      <c r="I610" s="175">
        <v>1</v>
      </c>
      <c r="J610" s="175" t="s">
        <v>18</v>
      </c>
      <c r="K610" s="175" t="s">
        <v>57</v>
      </c>
      <c r="L610" s="172" t="s">
        <v>56</v>
      </c>
    </row>
    <row r="611" spans="1:12" x14ac:dyDescent="0.2">
      <c r="A611" s="172" t="s">
        <v>12</v>
      </c>
      <c r="B611" s="172" t="s">
        <v>13</v>
      </c>
      <c r="C611" s="172" t="s">
        <v>14</v>
      </c>
      <c r="D611" s="172" t="s">
        <v>15</v>
      </c>
      <c r="E611" s="173">
        <v>42102</v>
      </c>
      <c r="F611" s="176">
        <v>6813.9467999999997</v>
      </c>
      <c r="G611" s="175" t="s">
        <v>19</v>
      </c>
      <c r="H611" s="172" t="s">
        <v>17</v>
      </c>
      <c r="I611" s="175">
        <v>1</v>
      </c>
      <c r="J611" s="175" t="s">
        <v>18</v>
      </c>
      <c r="K611" s="175" t="s">
        <v>57</v>
      </c>
      <c r="L611" s="172" t="s">
        <v>56</v>
      </c>
    </row>
    <row r="612" spans="1:12" x14ac:dyDescent="0.2">
      <c r="A612" s="172" t="s">
        <v>12</v>
      </c>
      <c r="B612" s="172" t="s">
        <v>13</v>
      </c>
      <c r="C612" s="172" t="s">
        <v>14</v>
      </c>
      <c r="D612" s="172" t="s">
        <v>15</v>
      </c>
      <c r="E612" s="173">
        <v>42102</v>
      </c>
      <c r="F612" s="174">
        <v>34.4</v>
      </c>
      <c r="G612" s="175" t="s">
        <v>16</v>
      </c>
      <c r="H612" s="172" t="s">
        <v>20</v>
      </c>
      <c r="I612" s="175">
        <v>1</v>
      </c>
      <c r="J612" s="175" t="s">
        <v>18</v>
      </c>
      <c r="K612" s="175" t="s">
        <v>57</v>
      </c>
      <c r="L612" s="172" t="s">
        <v>56</v>
      </c>
    </row>
    <row r="613" spans="1:12" x14ac:dyDescent="0.2">
      <c r="A613" s="172" t="s">
        <v>12</v>
      </c>
      <c r="B613" s="172" t="s">
        <v>13</v>
      </c>
      <c r="C613" s="172" t="s">
        <v>14</v>
      </c>
      <c r="D613" s="172" t="s">
        <v>15</v>
      </c>
      <c r="E613" s="173">
        <v>42102</v>
      </c>
      <c r="F613" s="176">
        <v>5996.1264000000001</v>
      </c>
      <c r="G613" s="175" t="s">
        <v>19</v>
      </c>
      <c r="H613" s="172" t="s">
        <v>20</v>
      </c>
      <c r="I613" s="175">
        <v>1</v>
      </c>
      <c r="J613" s="175" t="s">
        <v>18</v>
      </c>
      <c r="K613" s="175" t="s">
        <v>57</v>
      </c>
      <c r="L613" s="172" t="s">
        <v>56</v>
      </c>
    </row>
    <row r="614" spans="1:12" x14ac:dyDescent="0.2">
      <c r="A614" s="172" t="s">
        <v>12</v>
      </c>
      <c r="B614" s="172" t="s">
        <v>13</v>
      </c>
      <c r="C614" s="172" t="s">
        <v>14</v>
      </c>
      <c r="D614" s="172" t="s">
        <v>15</v>
      </c>
      <c r="E614" s="173">
        <v>42095</v>
      </c>
      <c r="F614" s="174">
        <v>36.4</v>
      </c>
      <c r="G614" s="175" t="s">
        <v>16</v>
      </c>
      <c r="H614" s="172" t="s">
        <v>17</v>
      </c>
      <c r="I614" s="175">
        <v>1</v>
      </c>
      <c r="J614" s="175" t="s">
        <v>18</v>
      </c>
      <c r="K614" s="175" t="s">
        <v>57</v>
      </c>
      <c r="L614" s="172" t="s">
        <v>56</v>
      </c>
    </row>
    <row r="615" spans="1:12" x14ac:dyDescent="0.2">
      <c r="A615" s="172" t="s">
        <v>12</v>
      </c>
      <c r="B615" s="172" t="s">
        <v>13</v>
      </c>
      <c r="C615" s="172" t="s">
        <v>14</v>
      </c>
      <c r="D615" s="172" t="s">
        <v>15</v>
      </c>
      <c r="E615" s="173">
        <v>42095</v>
      </c>
      <c r="F615" s="176">
        <v>7109.2136579999997</v>
      </c>
      <c r="G615" s="175" t="s">
        <v>19</v>
      </c>
      <c r="H615" s="172" t="s">
        <v>17</v>
      </c>
      <c r="I615" s="175">
        <v>1</v>
      </c>
      <c r="J615" s="175" t="s">
        <v>18</v>
      </c>
      <c r="K615" s="175" t="s">
        <v>57</v>
      </c>
      <c r="L615" s="172" t="s">
        <v>56</v>
      </c>
    </row>
    <row r="616" spans="1:12" x14ac:dyDescent="0.2">
      <c r="A616" s="172" t="s">
        <v>12</v>
      </c>
      <c r="B616" s="172" t="s">
        <v>13</v>
      </c>
      <c r="C616" s="172" t="s">
        <v>14</v>
      </c>
      <c r="D616" s="172" t="s">
        <v>15</v>
      </c>
      <c r="E616" s="173">
        <v>42095</v>
      </c>
      <c r="F616" s="174">
        <v>21.2</v>
      </c>
      <c r="G616" s="175" t="s">
        <v>16</v>
      </c>
      <c r="H616" s="172" t="s">
        <v>20</v>
      </c>
      <c r="I616" s="175">
        <v>1</v>
      </c>
      <c r="J616" s="175" t="s">
        <v>18</v>
      </c>
      <c r="K616" s="175" t="s">
        <v>57</v>
      </c>
      <c r="L616" s="172" t="s">
        <v>56</v>
      </c>
    </row>
    <row r="617" spans="1:12" x14ac:dyDescent="0.2">
      <c r="A617" s="172" t="s">
        <v>12</v>
      </c>
      <c r="B617" s="172" t="s">
        <v>13</v>
      </c>
      <c r="C617" s="172" t="s">
        <v>14</v>
      </c>
      <c r="D617" s="172" t="s">
        <v>15</v>
      </c>
      <c r="E617" s="173">
        <v>42095</v>
      </c>
      <c r="F617" s="176">
        <v>4286.6248919999998</v>
      </c>
      <c r="G617" s="175" t="s">
        <v>19</v>
      </c>
      <c r="H617" s="172" t="s">
        <v>20</v>
      </c>
      <c r="I617" s="175">
        <v>1</v>
      </c>
      <c r="J617" s="175" t="s">
        <v>18</v>
      </c>
      <c r="K617" s="175" t="s">
        <v>57</v>
      </c>
      <c r="L617" s="172" t="s">
        <v>56</v>
      </c>
    </row>
    <row r="618" spans="1:12" x14ac:dyDescent="0.2">
      <c r="A618" s="172" t="s">
        <v>12</v>
      </c>
      <c r="B618" s="172" t="s">
        <v>13</v>
      </c>
      <c r="C618" s="172" t="s">
        <v>14</v>
      </c>
      <c r="D618" s="172" t="s">
        <v>15</v>
      </c>
      <c r="E618" s="173">
        <v>42089</v>
      </c>
      <c r="F618" s="174">
        <v>66.42</v>
      </c>
      <c r="G618" s="175" t="s">
        <v>16</v>
      </c>
      <c r="H618" s="172" t="s">
        <v>17</v>
      </c>
      <c r="I618" s="175">
        <v>1</v>
      </c>
      <c r="J618" s="175" t="s">
        <v>18</v>
      </c>
      <c r="K618" s="175" t="s">
        <v>57</v>
      </c>
      <c r="L618" s="172" t="s">
        <v>56</v>
      </c>
    </row>
    <row r="619" spans="1:12" x14ac:dyDescent="0.2">
      <c r="A619" s="172" t="s">
        <v>12</v>
      </c>
      <c r="B619" s="172" t="s">
        <v>13</v>
      </c>
      <c r="C619" s="172" t="s">
        <v>14</v>
      </c>
      <c r="D619" s="172" t="s">
        <v>15</v>
      </c>
      <c r="E619" s="173">
        <v>42089</v>
      </c>
      <c r="F619" s="176">
        <v>12020.921549999999</v>
      </c>
      <c r="G619" s="175" t="s">
        <v>19</v>
      </c>
      <c r="H619" s="172" t="s">
        <v>17</v>
      </c>
      <c r="I619" s="175">
        <v>1</v>
      </c>
      <c r="J619" s="175" t="s">
        <v>18</v>
      </c>
      <c r="K619" s="175" t="s">
        <v>57</v>
      </c>
      <c r="L619" s="172" t="s">
        <v>56</v>
      </c>
    </row>
    <row r="620" spans="1:12" x14ac:dyDescent="0.2">
      <c r="A620" s="172" t="s">
        <v>12</v>
      </c>
      <c r="B620" s="172" t="s">
        <v>13</v>
      </c>
      <c r="C620" s="172" t="s">
        <v>14</v>
      </c>
      <c r="D620" s="172" t="s">
        <v>15</v>
      </c>
      <c r="E620" s="173">
        <v>42089</v>
      </c>
      <c r="F620" s="174">
        <v>33.700000000000003</v>
      </c>
      <c r="G620" s="175" t="s">
        <v>16</v>
      </c>
      <c r="H620" s="172" t="s">
        <v>20</v>
      </c>
      <c r="I620" s="175">
        <v>1</v>
      </c>
      <c r="J620" s="175" t="s">
        <v>18</v>
      </c>
      <c r="K620" s="175" t="s">
        <v>57</v>
      </c>
      <c r="L620" s="172" t="s">
        <v>56</v>
      </c>
    </row>
    <row r="621" spans="1:12" x14ac:dyDescent="0.2">
      <c r="A621" s="172" t="s">
        <v>12</v>
      </c>
      <c r="B621" s="172" t="s">
        <v>13</v>
      </c>
      <c r="C621" s="172" t="s">
        <v>14</v>
      </c>
      <c r="D621" s="172" t="s">
        <v>15</v>
      </c>
      <c r="E621" s="173">
        <v>42089</v>
      </c>
      <c r="F621" s="176">
        <v>6464.3339999999998</v>
      </c>
      <c r="G621" s="175" t="s">
        <v>19</v>
      </c>
      <c r="H621" s="172" t="s">
        <v>20</v>
      </c>
      <c r="I621" s="175">
        <v>1</v>
      </c>
      <c r="J621" s="175" t="s">
        <v>18</v>
      </c>
      <c r="K621" s="175" t="s">
        <v>57</v>
      </c>
      <c r="L621" s="172" t="s">
        <v>56</v>
      </c>
    </row>
    <row r="622" spans="1:12" x14ac:dyDescent="0.2">
      <c r="A622" s="172" t="s">
        <v>12</v>
      </c>
      <c r="B622" s="172" t="s">
        <v>13</v>
      </c>
      <c r="C622" s="172" t="s">
        <v>14</v>
      </c>
      <c r="D622" s="172" t="s">
        <v>15</v>
      </c>
      <c r="E622" s="173">
        <v>42082</v>
      </c>
      <c r="F622" s="174">
        <v>39.11</v>
      </c>
      <c r="G622" s="175" t="s">
        <v>16</v>
      </c>
      <c r="H622" s="172" t="s">
        <v>17</v>
      </c>
      <c r="I622" s="175">
        <v>1</v>
      </c>
      <c r="J622" s="175" t="s">
        <v>18</v>
      </c>
      <c r="K622" s="175" t="s">
        <v>57</v>
      </c>
      <c r="L622" s="172" t="s">
        <v>56</v>
      </c>
    </row>
    <row r="623" spans="1:12" x14ac:dyDescent="0.2">
      <c r="A623" s="172" t="s">
        <v>12</v>
      </c>
      <c r="B623" s="172" t="s">
        <v>13</v>
      </c>
      <c r="C623" s="172" t="s">
        <v>14</v>
      </c>
      <c r="D623" s="172" t="s">
        <v>15</v>
      </c>
      <c r="E623" s="173">
        <v>42082</v>
      </c>
      <c r="F623" s="176">
        <v>7307.17857</v>
      </c>
      <c r="G623" s="175" t="s">
        <v>19</v>
      </c>
      <c r="H623" s="172" t="s">
        <v>17</v>
      </c>
      <c r="I623" s="175">
        <v>1</v>
      </c>
      <c r="J623" s="175" t="s">
        <v>18</v>
      </c>
      <c r="K623" s="175" t="s">
        <v>57</v>
      </c>
      <c r="L623" s="172" t="s">
        <v>56</v>
      </c>
    </row>
    <row r="624" spans="1:12" x14ac:dyDescent="0.2">
      <c r="A624" s="172" t="s">
        <v>12</v>
      </c>
      <c r="B624" s="172" t="s">
        <v>13</v>
      </c>
      <c r="C624" s="172" t="s">
        <v>14</v>
      </c>
      <c r="D624" s="172" t="s">
        <v>15</v>
      </c>
      <c r="E624" s="173">
        <v>42082</v>
      </c>
      <c r="F624" s="174">
        <v>21.3</v>
      </c>
      <c r="G624" s="175" t="s">
        <v>16</v>
      </c>
      <c r="H624" s="172" t="s">
        <v>20</v>
      </c>
      <c r="I624" s="175">
        <v>1</v>
      </c>
      <c r="J624" s="175" t="s">
        <v>18</v>
      </c>
      <c r="K624" s="175" t="s">
        <v>57</v>
      </c>
      <c r="L624" s="172" t="s">
        <v>56</v>
      </c>
    </row>
    <row r="625" spans="1:12" x14ac:dyDescent="0.2">
      <c r="A625" s="172" t="s">
        <v>12</v>
      </c>
      <c r="B625" s="172" t="s">
        <v>13</v>
      </c>
      <c r="C625" s="172" t="s">
        <v>14</v>
      </c>
      <c r="D625" s="172" t="s">
        <v>15</v>
      </c>
      <c r="E625" s="173">
        <v>42082</v>
      </c>
      <c r="F625" s="176">
        <v>4385.4914220000001</v>
      </c>
      <c r="G625" s="175" t="s">
        <v>19</v>
      </c>
      <c r="H625" s="172" t="s">
        <v>20</v>
      </c>
      <c r="I625" s="175">
        <v>1</v>
      </c>
      <c r="J625" s="175" t="s">
        <v>18</v>
      </c>
      <c r="K625" s="175" t="s">
        <v>57</v>
      </c>
      <c r="L625" s="172" t="s">
        <v>56</v>
      </c>
    </row>
    <row r="626" spans="1:12" x14ac:dyDescent="0.2">
      <c r="A626" s="172" t="s">
        <v>12</v>
      </c>
      <c r="B626" s="172" t="s">
        <v>13</v>
      </c>
      <c r="C626" s="172" t="s">
        <v>14</v>
      </c>
      <c r="D626" s="172" t="s">
        <v>15</v>
      </c>
      <c r="E626" s="173">
        <v>42075</v>
      </c>
      <c r="F626" s="174">
        <v>29.11</v>
      </c>
      <c r="G626" s="175" t="s">
        <v>16</v>
      </c>
      <c r="H626" s="172" t="s">
        <v>17</v>
      </c>
      <c r="I626" s="175">
        <v>1</v>
      </c>
      <c r="J626" s="175" t="s">
        <v>18</v>
      </c>
      <c r="K626" s="175" t="s">
        <v>57</v>
      </c>
      <c r="L626" s="172" t="s">
        <v>56</v>
      </c>
    </row>
    <row r="627" spans="1:12" x14ac:dyDescent="0.2">
      <c r="A627" s="172" t="s">
        <v>12</v>
      </c>
      <c r="B627" s="172" t="s">
        <v>13</v>
      </c>
      <c r="C627" s="172" t="s">
        <v>14</v>
      </c>
      <c r="D627" s="172" t="s">
        <v>15</v>
      </c>
      <c r="E627" s="173">
        <v>42075</v>
      </c>
      <c r="F627" s="176">
        <v>6360.7228439999999</v>
      </c>
      <c r="G627" s="175" t="s">
        <v>19</v>
      </c>
      <c r="H627" s="172" t="s">
        <v>17</v>
      </c>
      <c r="I627" s="175">
        <v>1</v>
      </c>
      <c r="J627" s="175" t="s">
        <v>18</v>
      </c>
      <c r="K627" s="175" t="s">
        <v>57</v>
      </c>
      <c r="L627" s="172" t="s">
        <v>56</v>
      </c>
    </row>
    <row r="628" spans="1:12" x14ac:dyDescent="0.2">
      <c r="A628" s="172" t="s">
        <v>12</v>
      </c>
      <c r="B628" s="172" t="s">
        <v>13</v>
      </c>
      <c r="C628" s="172" t="s">
        <v>14</v>
      </c>
      <c r="D628" s="172" t="s">
        <v>15</v>
      </c>
      <c r="E628" s="173">
        <v>42075</v>
      </c>
      <c r="F628" s="174">
        <v>15.6</v>
      </c>
      <c r="G628" s="175" t="s">
        <v>16</v>
      </c>
      <c r="H628" s="172" t="s">
        <v>20</v>
      </c>
      <c r="I628" s="175">
        <v>1</v>
      </c>
      <c r="J628" s="175" t="s">
        <v>18</v>
      </c>
      <c r="K628" s="175" t="s">
        <v>57</v>
      </c>
      <c r="L628" s="172" t="s">
        <v>56</v>
      </c>
    </row>
    <row r="629" spans="1:12" x14ac:dyDescent="0.2">
      <c r="A629" s="172" t="s">
        <v>12</v>
      </c>
      <c r="B629" s="172" t="s">
        <v>13</v>
      </c>
      <c r="C629" s="172" t="s">
        <v>14</v>
      </c>
      <c r="D629" s="172" t="s">
        <v>15</v>
      </c>
      <c r="E629" s="173">
        <v>42075</v>
      </c>
      <c r="F629" s="176">
        <v>3471.4149120000002</v>
      </c>
      <c r="G629" s="175" t="s">
        <v>19</v>
      </c>
      <c r="H629" s="172" t="s">
        <v>20</v>
      </c>
      <c r="I629" s="175">
        <v>1</v>
      </c>
      <c r="J629" s="175" t="s">
        <v>18</v>
      </c>
      <c r="K629" s="175" t="s">
        <v>57</v>
      </c>
      <c r="L629" s="172" t="s">
        <v>56</v>
      </c>
    </row>
    <row r="630" spans="1:12" x14ac:dyDescent="0.2">
      <c r="A630" s="172" t="s">
        <v>12</v>
      </c>
      <c r="B630" s="172" t="s">
        <v>13</v>
      </c>
      <c r="C630" s="172" t="s">
        <v>14</v>
      </c>
      <c r="D630" s="172" t="s">
        <v>15</v>
      </c>
      <c r="E630" s="173">
        <v>42066</v>
      </c>
      <c r="F630" s="174">
        <v>41.84</v>
      </c>
      <c r="G630" s="175" t="s">
        <v>16</v>
      </c>
      <c r="H630" s="172" t="s">
        <v>17</v>
      </c>
      <c r="I630" s="175">
        <v>1</v>
      </c>
      <c r="J630" s="175" t="s">
        <v>18</v>
      </c>
      <c r="K630" s="175" t="s">
        <v>57</v>
      </c>
      <c r="L630" s="172" t="s">
        <v>56</v>
      </c>
    </row>
    <row r="631" spans="1:12" x14ac:dyDescent="0.2">
      <c r="A631" s="172" t="s">
        <v>12</v>
      </c>
      <c r="B631" s="172" t="s">
        <v>13</v>
      </c>
      <c r="C631" s="172" t="s">
        <v>14</v>
      </c>
      <c r="D631" s="172" t="s">
        <v>15</v>
      </c>
      <c r="E631" s="173">
        <v>42066</v>
      </c>
      <c r="F631" s="176">
        <v>6943.8539760000003</v>
      </c>
      <c r="G631" s="175" t="s">
        <v>19</v>
      </c>
      <c r="H631" s="172" t="s">
        <v>17</v>
      </c>
      <c r="I631" s="175">
        <v>1</v>
      </c>
      <c r="J631" s="175" t="s">
        <v>18</v>
      </c>
      <c r="K631" s="175" t="s">
        <v>57</v>
      </c>
      <c r="L631" s="172" t="s">
        <v>56</v>
      </c>
    </row>
    <row r="632" spans="1:12" x14ac:dyDescent="0.2">
      <c r="A632" s="172" t="s">
        <v>12</v>
      </c>
      <c r="B632" s="172" t="s">
        <v>13</v>
      </c>
      <c r="C632" s="172" t="s">
        <v>14</v>
      </c>
      <c r="D632" s="172" t="s">
        <v>15</v>
      </c>
      <c r="E632" s="173">
        <v>42066</v>
      </c>
      <c r="F632" s="174">
        <v>27.7</v>
      </c>
      <c r="G632" s="175" t="s">
        <v>16</v>
      </c>
      <c r="H632" s="172" t="s">
        <v>20</v>
      </c>
      <c r="I632" s="175">
        <v>1</v>
      </c>
      <c r="J632" s="175" t="s">
        <v>18</v>
      </c>
      <c r="K632" s="175" t="s">
        <v>57</v>
      </c>
      <c r="L632" s="172" t="s">
        <v>56</v>
      </c>
    </row>
    <row r="633" spans="1:12" x14ac:dyDescent="0.2">
      <c r="A633" s="172" t="s">
        <v>12</v>
      </c>
      <c r="B633" s="172" t="s">
        <v>13</v>
      </c>
      <c r="C633" s="172" t="s">
        <v>14</v>
      </c>
      <c r="D633" s="172" t="s">
        <v>15</v>
      </c>
      <c r="E633" s="173">
        <v>42066</v>
      </c>
      <c r="F633" s="176">
        <v>4834.7255219999997</v>
      </c>
      <c r="G633" s="175" t="s">
        <v>19</v>
      </c>
      <c r="H633" s="172" t="s">
        <v>20</v>
      </c>
      <c r="I633" s="175">
        <v>1</v>
      </c>
      <c r="J633" s="175" t="s">
        <v>18</v>
      </c>
      <c r="K633" s="175" t="s">
        <v>57</v>
      </c>
      <c r="L633" s="172" t="s">
        <v>56</v>
      </c>
    </row>
    <row r="634" spans="1:12" x14ac:dyDescent="0.2">
      <c r="A634" s="172" t="s">
        <v>12</v>
      </c>
      <c r="B634" s="172" t="s">
        <v>13</v>
      </c>
      <c r="C634" s="172" t="s">
        <v>14</v>
      </c>
      <c r="D634" s="172" t="s">
        <v>15</v>
      </c>
      <c r="E634" s="173">
        <v>42060</v>
      </c>
      <c r="F634" s="174">
        <v>69.7</v>
      </c>
      <c r="G634" s="175" t="s">
        <v>16</v>
      </c>
      <c r="H634" s="172" t="s">
        <v>17</v>
      </c>
      <c r="I634" s="175">
        <v>1</v>
      </c>
      <c r="J634" s="175" t="s">
        <v>18</v>
      </c>
      <c r="K634" s="175" t="s">
        <v>57</v>
      </c>
      <c r="L634" s="172" t="s">
        <v>56</v>
      </c>
    </row>
    <row r="635" spans="1:12" x14ac:dyDescent="0.2">
      <c r="A635" s="172" t="s">
        <v>12</v>
      </c>
      <c r="B635" s="172" t="s">
        <v>13</v>
      </c>
      <c r="C635" s="172" t="s">
        <v>14</v>
      </c>
      <c r="D635" s="172" t="s">
        <v>15</v>
      </c>
      <c r="E635" s="173">
        <v>42060</v>
      </c>
      <c r="F635" s="176">
        <v>10461.279</v>
      </c>
      <c r="G635" s="175" t="s">
        <v>19</v>
      </c>
      <c r="H635" s="172" t="s">
        <v>17</v>
      </c>
      <c r="I635" s="175">
        <v>1</v>
      </c>
      <c r="J635" s="175" t="s">
        <v>18</v>
      </c>
      <c r="K635" s="175" t="s">
        <v>57</v>
      </c>
      <c r="L635" s="172" t="s">
        <v>56</v>
      </c>
    </row>
    <row r="636" spans="1:12" x14ac:dyDescent="0.2">
      <c r="A636" s="172" t="s">
        <v>12</v>
      </c>
      <c r="B636" s="172" t="s">
        <v>13</v>
      </c>
      <c r="C636" s="172" t="s">
        <v>14</v>
      </c>
      <c r="D636" s="172" t="s">
        <v>15</v>
      </c>
      <c r="E636" s="173">
        <v>42060</v>
      </c>
      <c r="F636" s="174">
        <v>29.4</v>
      </c>
      <c r="G636" s="175" t="s">
        <v>16</v>
      </c>
      <c r="H636" s="172" t="s">
        <v>20</v>
      </c>
      <c r="I636" s="175">
        <v>1</v>
      </c>
      <c r="J636" s="175" t="s">
        <v>18</v>
      </c>
      <c r="K636" s="175" t="s">
        <v>57</v>
      </c>
      <c r="L636" s="172" t="s">
        <v>56</v>
      </c>
    </row>
    <row r="637" spans="1:12" x14ac:dyDescent="0.2">
      <c r="A637" s="172" t="s">
        <v>12</v>
      </c>
      <c r="B637" s="172" t="s">
        <v>13</v>
      </c>
      <c r="C637" s="172" t="s">
        <v>14</v>
      </c>
      <c r="D637" s="172" t="s">
        <v>15</v>
      </c>
      <c r="E637" s="173">
        <v>42060</v>
      </c>
      <c r="F637" s="176">
        <v>4805.8415999999997</v>
      </c>
      <c r="G637" s="175" t="s">
        <v>19</v>
      </c>
      <c r="H637" s="172" t="s">
        <v>20</v>
      </c>
      <c r="I637" s="175">
        <v>1</v>
      </c>
      <c r="J637" s="175" t="s">
        <v>18</v>
      </c>
      <c r="K637" s="175" t="s">
        <v>57</v>
      </c>
      <c r="L637" s="172" t="s">
        <v>56</v>
      </c>
    </row>
    <row r="638" spans="1:12" x14ac:dyDescent="0.2">
      <c r="A638" s="172" t="s">
        <v>12</v>
      </c>
      <c r="B638" s="172" t="s">
        <v>13</v>
      </c>
      <c r="C638" s="172" t="s">
        <v>14</v>
      </c>
      <c r="D638" s="172" t="s">
        <v>15</v>
      </c>
      <c r="E638" s="173">
        <v>42053</v>
      </c>
      <c r="F638" s="174">
        <v>51.4</v>
      </c>
      <c r="G638" s="175" t="s">
        <v>16</v>
      </c>
      <c r="H638" s="172" t="s">
        <v>17</v>
      </c>
      <c r="I638" s="175">
        <v>1</v>
      </c>
      <c r="J638" s="175" t="s">
        <v>18</v>
      </c>
      <c r="K638" s="175" t="s">
        <v>57</v>
      </c>
      <c r="L638" s="172" t="s">
        <v>56</v>
      </c>
    </row>
    <row r="639" spans="1:12" x14ac:dyDescent="0.2">
      <c r="A639" s="172" t="s">
        <v>12</v>
      </c>
      <c r="B639" s="172" t="s">
        <v>13</v>
      </c>
      <c r="C639" s="172" t="s">
        <v>14</v>
      </c>
      <c r="D639" s="172" t="s">
        <v>15</v>
      </c>
      <c r="E639" s="173">
        <v>42053</v>
      </c>
      <c r="F639" s="176">
        <v>8269.4269199999999</v>
      </c>
      <c r="G639" s="175" t="s">
        <v>19</v>
      </c>
      <c r="H639" s="172" t="s">
        <v>17</v>
      </c>
      <c r="I639" s="175">
        <v>1</v>
      </c>
      <c r="J639" s="175" t="s">
        <v>18</v>
      </c>
      <c r="K639" s="175" t="s">
        <v>57</v>
      </c>
      <c r="L639" s="172" t="s">
        <v>56</v>
      </c>
    </row>
    <row r="640" spans="1:12" x14ac:dyDescent="0.2">
      <c r="A640" s="172" t="s">
        <v>12</v>
      </c>
      <c r="B640" s="172" t="s">
        <v>13</v>
      </c>
      <c r="C640" s="172" t="s">
        <v>14</v>
      </c>
      <c r="D640" s="172" t="s">
        <v>15</v>
      </c>
      <c r="E640" s="173">
        <v>42053</v>
      </c>
      <c r="F640" s="174">
        <v>35.799999999999997</v>
      </c>
      <c r="G640" s="175" t="s">
        <v>16</v>
      </c>
      <c r="H640" s="172" t="s">
        <v>20</v>
      </c>
      <c r="I640" s="175">
        <v>1</v>
      </c>
      <c r="J640" s="175" t="s">
        <v>18</v>
      </c>
      <c r="K640" s="175" t="s">
        <v>57</v>
      </c>
      <c r="L640" s="172" t="s">
        <v>56</v>
      </c>
    </row>
    <row r="641" spans="1:12" x14ac:dyDescent="0.2">
      <c r="A641" s="172" t="s">
        <v>12</v>
      </c>
      <c r="B641" s="172" t="s">
        <v>13</v>
      </c>
      <c r="C641" s="172" t="s">
        <v>14</v>
      </c>
      <c r="D641" s="172" t="s">
        <v>15</v>
      </c>
      <c r="E641" s="173">
        <v>42053</v>
      </c>
      <c r="F641" s="176">
        <v>6331.4944800000003</v>
      </c>
      <c r="G641" s="175" t="s">
        <v>19</v>
      </c>
      <c r="H641" s="172" t="s">
        <v>20</v>
      </c>
      <c r="I641" s="175">
        <v>1</v>
      </c>
      <c r="J641" s="175" t="s">
        <v>18</v>
      </c>
      <c r="K641" s="175" t="s">
        <v>57</v>
      </c>
      <c r="L641" s="172" t="s">
        <v>56</v>
      </c>
    </row>
    <row r="642" spans="1:12" x14ac:dyDescent="0.2">
      <c r="A642" s="172" t="s">
        <v>12</v>
      </c>
      <c r="B642" s="172" t="s">
        <v>13</v>
      </c>
      <c r="C642" s="172" t="s">
        <v>14</v>
      </c>
      <c r="D642" s="172" t="s">
        <v>15</v>
      </c>
      <c r="E642" s="173">
        <v>42047</v>
      </c>
      <c r="F642" s="174">
        <v>35.6</v>
      </c>
      <c r="G642" s="175" t="s">
        <v>16</v>
      </c>
      <c r="H642" s="172" t="s">
        <v>17</v>
      </c>
      <c r="I642" s="175">
        <v>1</v>
      </c>
      <c r="J642" s="175" t="s">
        <v>18</v>
      </c>
      <c r="K642" s="175" t="s">
        <v>57</v>
      </c>
      <c r="L642" s="172" t="s">
        <v>56</v>
      </c>
    </row>
    <row r="643" spans="1:12" x14ac:dyDescent="0.2">
      <c r="A643" s="172" t="s">
        <v>12</v>
      </c>
      <c r="B643" s="172" t="s">
        <v>13</v>
      </c>
      <c r="C643" s="172" t="s">
        <v>14</v>
      </c>
      <c r="D643" s="172" t="s">
        <v>15</v>
      </c>
      <c r="E643" s="173">
        <v>42047</v>
      </c>
      <c r="F643" s="176">
        <v>5991.2041319999998</v>
      </c>
      <c r="G643" s="175" t="s">
        <v>19</v>
      </c>
      <c r="H643" s="172" t="s">
        <v>17</v>
      </c>
      <c r="I643" s="175">
        <v>1</v>
      </c>
      <c r="J643" s="175" t="s">
        <v>18</v>
      </c>
      <c r="K643" s="175" t="s">
        <v>57</v>
      </c>
      <c r="L643" s="172" t="s">
        <v>56</v>
      </c>
    </row>
    <row r="644" spans="1:12" x14ac:dyDescent="0.2">
      <c r="A644" s="172" t="s">
        <v>12</v>
      </c>
      <c r="B644" s="172" t="s">
        <v>13</v>
      </c>
      <c r="C644" s="172" t="s">
        <v>14</v>
      </c>
      <c r="D644" s="172" t="s">
        <v>15</v>
      </c>
      <c r="E644" s="173">
        <v>42047</v>
      </c>
      <c r="F644" s="174">
        <v>25.6</v>
      </c>
      <c r="G644" s="175" t="s">
        <v>16</v>
      </c>
      <c r="H644" s="172" t="s">
        <v>20</v>
      </c>
      <c r="I644" s="175">
        <v>1</v>
      </c>
      <c r="J644" s="175" t="s">
        <v>18</v>
      </c>
      <c r="K644" s="175" t="s">
        <v>57</v>
      </c>
      <c r="L644" s="172" t="s">
        <v>56</v>
      </c>
    </row>
    <row r="645" spans="1:12" x14ac:dyDescent="0.2">
      <c r="A645" s="172" t="s">
        <v>12</v>
      </c>
      <c r="B645" s="172" t="s">
        <v>13</v>
      </c>
      <c r="C645" s="172" t="s">
        <v>14</v>
      </c>
      <c r="D645" s="172" t="s">
        <v>15</v>
      </c>
      <c r="E645" s="173">
        <v>42047</v>
      </c>
      <c r="F645" s="176">
        <v>4583.5222199999998</v>
      </c>
      <c r="G645" s="175" t="s">
        <v>19</v>
      </c>
      <c r="H645" s="172" t="s">
        <v>20</v>
      </c>
      <c r="I645" s="175">
        <v>1</v>
      </c>
      <c r="J645" s="175" t="s">
        <v>18</v>
      </c>
      <c r="K645" s="175" t="s">
        <v>57</v>
      </c>
      <c r="L645" s="172" t="s">
        <v>56</v>
      </c>
    </row>
    <row r="646" spans="1:12" x14ac:dyDescent="0.2">
      <c r="A646" s="172" t="s">
        <v>12</v>
      </c>
      <c r="B646" s="172" t="s">
        <v>13</v>
      </c>
      <c r="C646" s="172" t="s">
        <v>14</v>
      </c>
      <c r="D646" s="172" t="s">
        <v>15</v>
      </c>
      <c r="E646" s="173">
        <v>42039</v>
      </c>
      <c r="F646" s="174">
        <v>38.5</v>
      </c>
      <c r="G646" s="175" t="s">
        <v>16</v>
      </c>
      <c r="H646" s="172" t="s">
        <v>17</v>
      </c>
      <c r="I646" s="175">
        <v>1</v>
      </c>
      <c r="J646" s="175" t="s">
        <v>18</v>
      </c>
      <c r="K646" s="175" t="s">
        <v>57</v>
      </c>
      <c r="L646" s="172" t="s">
        <v>56</v>
      </c>
    </row>
    <row r="647" spans="1:12" x14ac:dyDescent="0.2">
      <c r="A647" s="172" t="s">
        <v>12</v>
      </c>
      <c r="B647" s="172" t="s">
        <v>13</v>
      </c>
      <c r="C647" s="172" t="s">
        <v>14</v>
      </c>
      <c r="D647" s="172" t="s">
        <v>15</v>
      </c>
      <c r="E647" s="173">
        <v>42039</v>
      </c>
      <c r="F647" s="176">
        <v>5809.4772000000003</v>
      </c>
      <c r="G647" s="175" t="s">
        <v>19</v>
      </c>
      <c r="H647" s="172" t="s">
        <v>17</v>
      </c>
      <c r="I647" s="175">
        <v>1</v>
      </c>
      <c r="J647" s="175" t="s">
        <v>18</v>
      </c>
      <c r="K647" s="175" t="s">
        <v>57</v>
      </c>
      <c r="L647" s="172" t="s">
        <v>56</v>
      </c>
    </row>
    <row r="648" spans="1:12" x14ac:dyDescent="0.2">
      <c r="A648" s="172" t="s">
        <v>12</v>
      </c>
      <c r="B648" s="172" t="s">
        <v>13</v>
      </c>
      <c r="C648" s="172" t="s">
        <v>14</v>
      </c>
      <c r="D648" s="172" t="s">
        <v>15</v>
      </c>
      <c r="E648" s="173">
        <v>42039</v>
      </c>
      <c r="F648" s="174">
        <v>30.4</v>
      </c>
      <c r="G648" s="175" t="s">
        <v>16</v>
      </c>
      <c r="H648" s="172" t="s">
        <v>20</v>
      </c>
      <c r="I648" s="175">
        <v>1</v>
      </c>
      <c r="J648" s="175" t="s">
        <v>18</v>
      </c>
      <c r="K648" s="175" t="s">
        <v>57</v>
      </c>
      <c r="L648" s="172" t="s">
        <v>56</v>
      </c>
    </row>
    <row r="649" spans="1:12" x14ac:dyDescent="0.2">
      <c r="A649" s="172" t="s">
        <v>12</v>
      </c>
      <c r="B649" s="172" t="s">
        <v>13</v>
      </c>
      <c r="C649" s="172" t="s">
        <v>14</v>
      </c>
      <c r="D649" s="172" t="s">
        <v>15</v>
      </c>
      <c r="E649" s="173">
        <v>42039</v>
      </c>
      <c r="F649" s="176">
        <v>5121.4272000000001</v>
      </c>
      <c r="G649" s="175" t="s">
        <v>19</v>
      </c>
      <c r="H649" s="172" t="s">
        <v>20</v>
      </c>
      <c r="I649" s="175">
        <v>1</v>
      </c>
      <c r="J649" s="175" t="s">
        <v>18</v>
      </c>
      <c r="K649" s="175" t="s">
        <v>57</v>
      </c>
      <c r="L649" s="172" t="s">
        <v>56</v>
      </c>
    </row>
    <row r="650" spans="1:12" x14ac:dyDescent="0.2">
      <c r="A650" s="172" t="s">
        <v>12</v>
      </c>
      <c r="B650" s="172" t="s">
        <v>13</v>
      </c>
      <c r="C650" s="172" t="s">
        <v>14</v>
      </c>
      <c r="D650" s="172" t="s">
        <v>15</v>
      </c>
      <c r="E650" s="173">
        <v>42032</v>
      </c>
      <c r="F650" s="174">
        <v>34.700000000000003</v>
      </c>
      <c r="G650" s="175" t="s">
        <v>16</v>
      </c>
      <c r="H650" s="172" t="s">
        <v>17</v>
      </c>
      <c r="I650" s="175">
        <v>1</v>
      </c>
      <c r="J650" s="175" t="s">
        <v>18</v>
      </c>
      <c r="K650" s="175" t="s">
        <v>57</v>
      </c>
      <c r="L650" s="172" t="s">
        <v>56</v>
      </c>
    </row>
    <row r="651" spans="1:12" x14ac:dyDescent="0.2">
      <c r="A651" s="172" t="s">
        <v>12</v>
      </c>
      <c r="B651" s="172" t="s">
        <v>13</v>
      </c>
      <c r="C651" s="172" t="s">
        <v>14</v>
      </c>
      <c r="D651" s="172" t="s">
        <v>15</v>
      </c>
      <c r="E651" s="173">
        <v>42032</v>
      </c>
      <c r="F651" s="176">
        <v>5671.68372</v>
      </c>
      <c r="G651" s="175" t="s">
        <v>19</v>
      </c>
      <c r="H651" s="172" t="s">
        <v>17</v>
      </c>
      <c r="I651" s="175">
        <v>1</v>
      </c>
      <c r="J651" s="175" t="s">
        <v>18</v>
      </c>
      <c r="K651" s="175" t="s">
        <v>57</v>
      </c>
      <c r="L651" s="172" t="s">
        <v>56</v>
      </c>
    </row>
    <row r="652" spans="1:12" x14ac:dyDescent="0.2">
      <c r="A652" s="172" t="s">
        <v>12</v>
      </c>
      <c r="B652" s="172" t="s">
        <v>13</v>
      </c>
      <c r="C652" s="172" t="s">
        <v>14</v>
      </c>
      <c r="D652" s="172" t="s">
        <v>15</v>
      </c>
      <c r="E652" s="173">
        <v>42032</v>
      </c>
      <c r="F652" s="174">
        <v>37</v>
      </c>
      <c r="G652" s="175" t="s">
        <v>16</v>
      </c>
      <c r="H652" s="172" t="s">
        <v>20</v>
      </c>
      <c r="I652" s="175">
        <v>1</v>
      </c>
      <c r="J652" s="175" t="s">
        <v>18</v>
      </c>
      <c r="K652" s="175" t="s">
        <v>57</v>
      </c>
      <c r="L652" s="172" t="s">
        <v>56</v>
      </c>
    </row>
    <row r="653" spans="1:12" x14ac:dyDescent="0.2">
      <c r="A653" s="172" t="s">
        <v>12</v>
      </c>
      <c r="B653" s="172" t="s">
        <v>13</v>
      </c>
      <c r="C653" s="172" t="s">
        <v>14</v>
      </c>
      <c r="D653" s="172" t="s">
        <v>15</v>
      </c>
      <c r="E653" s="173">
        <v>42032</v>
      </c>
      <c r="F653" s="176">
        <v>6881.3339999999998</v>
      </c>
      <c r="G653" s="175" t="s">
        <v>19</v>
      </c>
      <c r="H653" s="172" t="s">
        <v>20</v>
      </c>
      <c r="I653" s="175">
        <v>1</v>
      </c>
      <c r="J653" s="175" t="s">
        <v>18</v>
      </c>
      <c r="K653" s="175" t="s">
        <v>57</v>
      </c>
      <c r="L653" s="172" t="s">
        <v>56</v>
      </c>
    </row>
    <row r="654" spans="1:12" x14ac:dyDescent="0.2">
      <c r="A654" s="172" t="s">
        <v>12</v>
      </c>
      <c r="B654" s="172" t="s">
        <v>13</v>
      </c>
      <c r="C654" s="172" t="s">
        <v>14</v>
      </c>
      <c r="D654" s="172" t="s">
        <v>15</v>
      </c>
      <c r="E654" s="173">
        <v>42026</v>
      </c>
      <c r="F654" s="174">
        <v>40</v>
      </c>
      <c r="G654" s="175" t="s">
        <v>16</v>
      </c>
      <c r="H654" s="172" t="s">
        <v>17</v>
      </c>
      <c r="I654" s="175">
        <v>1</v>
      </c>
      <c r="J654" s="175" t="s">
        <v>18</v>
      </c>
      <c r="K654" s="175" t="s">
        <v>57</v>
      </c>
      <c r="L654" s="172" t="s">
        <v>56</v>
      </c>
    </row>
    <row r="655" spans="1:12" x14ac:dyDescent="0.2">
      <c r="A655" s="172" t="s">
        <v>12</v>
      </c>
      <c r="B655" s="172" t="s">
        <v>13</v>
      </c>
      <c r="C655" s="172" t="s">
        <v>14</v>
      </c>
      <c r="D655" s="172" t="s">
        <v>15</v>
      </c>
      <c r="E655" s="173">
        <v>42026</v>
      </c>
      <c r="F655" s="176">
        <v>7539.8603999999996</v>
      </c>
      <c r="G655" s="175" t="s">
        <v>19</v>
      </c>
      <c r="H655" s="172" t="s">
        <v>17</v>
      </c>
      <c r="I655" s="175">
        <v>1</v>
      </c>
      <c r="J655" s="175" t="s">
        <v>18</v>
      </c>
      <c r="K655" s="175" t="s">
        <v>57</v>
      </c>
      <c r="L655" s="172" t="s">
        <v>56</v>
      </c>
    </row>
    <row r="656" spans="1:12" x14ac:dyDescent="0.2">
      <c r="A656" s="172" t="s">
        <v>12</v>
      </c>
      <c r="B656" s="172" t="s">
        <v>13</v>
      </c>
      <c r="C656" s="172" t="s">
        <v>14</v>
      </c>
      <c r="D656" s="172" t="s">
        <v>15</v>
      </c>
      <c r="E656" s="173">
        <v>42026</v>
      </c>
      <c r="F656" s="174">
        <v>28.9</v>
      </c>
      <c r="G656" s="175" t="s">
        <v>16</v>
      </c>
      <c r="H656" s="172" t="s">
        <v>20</v>
      </c>
      <c r="I656" s="175">
        <v>1</v>
      </c>
      <c r="J656" s="175" t="s">
        <v>18</v>
      </c>
      <c r="K656" s="175" t="s">
        <v>57</v>
      </c>
      <c r="L656" s="172" t="s">
        <v>56</v>
      </c>
    </row>
    <row r="657" spans="1:12" x14ac:dyDescent="0.2">
      <c r="A657" s="172" t="s">
        <v>12</v>
      </c>
      <c r="B657" s="172" t="s">
        <v>13</v>
      </c>
      <c r="C657" s="172" t="s">
        <v>14</v>
      </c>
      <c r="D657" s="172" t="s">
        <v>15</v>
      </c>
      <c r="E657" s="173">
        <v>42026</v>
      </c>
      <c r="F657" s="176">
        <v>6218.4708000000001</v>
      </c>
      <c r="G657" s="175" t="s">
        <v>19</v>
      </c>
      <c r="H657" s="172" t="s">
        <v>20</v>
      </c>
      <c r="I657" s="175">
        <v>1</v>
      </c>
      <c r="J657" s="175" t="s">
        <v>18</v>
      </c>
      <c r="K657" s="175" t="s">
        <v>57</v>
      </c>
      <c r="L657" s="172" t="s">
        <v>56</v>
      </c>
    </row>
    <row r="658" spans="1:12" x14ac:dyDescent="0.2">
      <c r="A658" s="172" t="s">
        <v>12</v>
      </c>
      <c r="B658" s="172" t="s">
        <v>13</v>
      </c>
      <c r="C658" s="172" t="s">
        <v>14</v>
      </c>
      <c r="D658" s="172" t="s">
        <v>15</v>
      </c>
      <c r="E658" s="173">
        <v>42018</v>
      </c>
      <c r="F658" s="174">
        <v>40.6</v>
      </c>
      <c r="G658" s="175" t="s">
        <v>16</v>
      </c>
      <c r="H658" s="172" t="s">
        <v>17</v>
      </c>
      <c r="I658" s="175">
        <v>1</v>
      </c>
      <c r="J658" s="175" t="s">
        <v>18</v>
      </c>
      <c r="K658" s="175" t="s">
        <v>57</v>
      </c>
      <c r="L658" s="172" t="s">
        <v>56</v>
      </c>
    </row>
    <row r="659" spans="1:12" x14ac:dyDescent="0.2">
      <c r="A659" s="172" t="s">
        <v>12</v>
      </c>
      <c r="B659" s="172" t="s">
        <v>13</v>
      </c>
      <c r="C659" s="172" t="s">
        <v>14</v>
      </c>
      <c r="D659" s="172" t="s">
        <v>15</v>
      </c>
      <c r="E659" s="173">
        <v>42018</v>
      </c>
      <c r="F659" s="176">
        <v>7547.0328</v>
      </c>
      <c r="G659" s="175" t="s">
        <v>19</v>
      </c>
      <c r="H659" s="172" t="s">
        <v>17</v>
      </c>
      <c r="I659" s="175">
        <v>1</v>
      </c>
      <c r="J659" s="175" t="s">
        <v>18</v>
      </c>
      <c r="K659" s="175" t="s">
        <v>57</v>
      </c>
      <c r="L659" s="172" t="s">
        <v>56</v>
      </c>
    </row>
    <row r="660" spans="1:12" x14ac:dyDescent="0.2">
      <c r="A660" s="172" t="s">
        <v>12</v>
      </c>
      <c r="B660" s="172" t="s">
        <v>13</v>
      </c>
      <c r="C660" s="172" t="s">
        <v>14</v>
      </c>
      <c r="D660" s="172" t="s">
        <v>15</v>
      </c>
      <c r="E660" s="173">
        <v>42018</v>
      </c>
      <c r="F660" s="174">
        <v>38.1</v>
      </c>
      <c r="G660" s="175" t="s">
        <v>16</v>
      </c>
      <c r="H660" s="172" t="s">
        <v>20</v>
      </c>
      <c r="I660" s="175">
        <v>1</v>
      </c>
      <c r="J660" s="175" t="s">
        <v>18</v>
      </c>
      <c r="K660" s="175" t="s">
        <v>57</v>
      </c>
      <c r="L660" s="172" t="s">
        <v>56</v>
      </c>
    </row>
    <row r="661" spans="1:12" x14ac:dyDescent="0.2">
      <c r="A661" s="172" t="s">
        <v>12</v>
      </c>
      <c r="B661" s="172" t="s">
        <v>13</v>
      </c>
      <c r="C661" s="172" t="s">
        <v>14</v>
      </c>
      <c r="D661" s="172" t="s">
        <v>15</v>
      </c>
      <c r="E661" s="173">
        <v>42018</v>
      </c>
      <c r="F661" s="176">
        <v>8166.2777999999998</v>
      </c>
      <c r="G661" s="175" t="s">
        <v>19</v>
      </c>
      <c r="H661" s="172" t="s">
        <v>20</v>
      </c>
      <c r="I661" s="175">
        <v>1</v>
      </c>
      <c r="J661" s="175" t="s">
        <v>18</v>
      </c>
      <c r="K661" s="175" t="s">
        <v>57</v>
      </c>
      <c r="L661" s="172" t="s">
        <v>56</v>
      </c>
    </row>
    <row r="662" spans="1:12" x14ac:dyDescent="0.2">
      <c r="A662" s="172" t="s">
        <v>12</v>
      </c>
      <c r="B662" s="172" t="s">
        <v>13</v>
      </c>
      <c r="C662" s="172" t="s">
        <v>14</v>
      </c>
      <c r="D662" s="172" t="s">
        <v>15</v>
      </c>
      <c r="E662" s="173">
        <v>42012</v>
      </c>
      <c r="F662" s="174">
        <v>46.5</v>
      </c>
      <c r="G662" s="175" t="s">
        <v>16</v>
      </c>
      <c r="H662" s="172" t="s">
        <v>17</v>
      </c>
      <c r="I662" s="175">
        <v>1</v>
      </c>
      <c r="J662" s="175" t="s">
        <v>18</v>
      </c>
      <c r="K662" s="175" t="s">
        <v>57</v>
      </c>
      <c r="L662" s="172" t="s">
        <v>56</v>
      </c>
    </row>
    <row r="663" spans="1:12" x14ac:dyDescent="0.2">
      <c r="A663" s="172" t="s">
        <v>12</v>
      </c>
      <c r="B663" s="172" t="s">
        <v>13</v>
      </c>
      <c r="C663" s="172" t="s">
        <v>14</v>
      </c>
      <c r="D663" s="172" t="s">
        <v>15</v>
      </c>
      <c r="E663" s="173">
        <v>42012</v>
      </c>
      <c r="F663" s="176">
        <v>9027.1784700000007</v>
      </c>
      <c r="G663" s="175" t="s">
        <v>19</v>
      </c>
      <c r="H663" s="172" t="s">
        <v>17</v>
      </c>
      <c r="I663" s="175">
        <v>1</v>
      </c>
      <c r="J663" s="175" t="s">
        <v>18</v>
      </c>
      <c r="K663" s="175" t="s">
        <v>57</v>
      </c>
      <c r="L663" s="172" t="s">
        <v>56</v>
      </c>
    </row>
    <row r="664" spans="1:12" x14ac:dyDescent="0.2">
      <c r="A664" s="172" t="s">
        <v>12</v>
      </c>
      <c r="B664" s="172" t="s">
        <v>13</v>
      </c>
      <c r="C664" s="172" t="s">
        <v>14</v>
      </c>
      <c r="D664" s="172" t="s">
        <v>15</v>
      </c>
      <c r="E664" s="173">
        <v>42012</v>
      </c>
      <c r="F664" s="174">
        <v>28.6</v>
      </c>
      <c r="G664" s="175" t="s">
        <v>16</v>
      </c>
      <c r="H664" s="172" t="s">
        <v>20</v>
      </c>
      <c r="I664" s="175">
        <v>1</v>
      </c>
      <c r="J664" s="175" t="s">
        <v>18</v>
      </c>
      <c r="K664" s="175" t="s">
        <v>57</v>
      </c>
      <c r="L664" s="172" t="s">
        <v>56</v>
      </c>
    </row>
    <row r="665" spans="1:12" x14ac:dyDescent="0.2">
      <c r="A665" s="172" t="s">
        <v>12</v>
      </c>
      <c r="B665" s="172" t="s">
        <v>13</v>
      </c>
      <c r="C665" s="172" t="s">
        <v>14</v>
      </c>
      <c r="D665" s="172" t="s">
        <v>15</v>
      </c>
      <c r="E665" s="173">
        <v>42012</v>
      </c>
      <c r="F665" s="176">
        <v>6365.2506299999995</v>
      </c>
      <c r="G665" s="175" t="s">
        <v>19</v>
      </c>
      <c r="H665" s="172" t="s">
        <v>20</v>
      </c>
      <c r="I665" s="175">
        <v>1</v>
      </c>
      <c r="J665" s="175" t="s">
        <v>18</v>
      </c>
      <c r="K665" s="175" t="s">
        <v>57</v>
      </c>
      <c r="L665" s="172" t="s">
        <v>56</v>
      </c>
    </row>
    <row r="666" spans="1:12" x14ac:dyDescent="0.2">
      <c r="A666" s="172" t="s">
        <v>12</v>
      </c>
      <c r="B666" s="172" t="s">
        <v>13</v>
      </c>
      <c r="C666" s="172" t="s">
        <v>14</v>
      </c>
      <c r="D666" s="172" t="s">
        <v>15</v>
      </c>
      <c r="E666" s="173">
        <v>42005</v>
      </c>
      <c r="F666" s="174">
        <v>38.479999999999997</v>
      </c>
      <c r="G666" s="175" t="s">
        <v>16</v>
      </c>
      <c r="H666" s="172" t="s">
        <v>17</v>
      </c>
      <c r="I666" s="175">
        <v>1</v>
      </c>
      <c r="J666" s="175" t="s">
        <v>18</v>
      </c>
      <c r="K666" s="175" t="s">
        <v>57</v>
      </c>
      <c r="L666" s="172" t="s">
        <v>56</v>
      </c>
    </row>
    <row r="667" spans="1:12" x14ac:dyDescent="0.2">
      <c r="A667" s="172" t="s">
        <v>12</v>
      </c>
      <c r="B667" s="172" t="s">
        <v>13</v>
      </c>
      <c r="C667" s="172" t="s">
        <v>14</v>
      </c>
      <c r="D667" s="172" t="s">
        <v>15</v>
      </c>
      <c r="E667" s="173">
        <v>42005</v>
      </c>
      <c r="F667" s="176">
        <v>6963.9</v>
      </c>
      <c r="G667" s="175" t="s">
        <v>19</v>
      </c>
      <c r="H667" s="172" t="s">
        <v>17</v>
      </c>
      <c r="I667" s="175">
        <v>1</v>
      </c>
      <c r="J667" s="175" t="s">
        <v>18</v>
      </c>
      <c r="K667" s="175" t="s">
        <v>57</v>
      </c>
      <c r="L667" s="172" t="s">
        <v>56</v>
      </c>
    </row>
    <row r="668" spans="1:12" x14ac:dyDescent="0.2">
      <c r="A668" s="172" t="s">
        <v>12</v>
      </c>
      <c r="B668" s="172" t="s">
        <v>13</v>
      </c>
      <c r="C668" s="172" t="s">
        <v>14</v>
      </c>
      <c r="D668" s="172" t="s">
        <v>15</v>
      </c>
      <c r="E668" s="173">
        <v>42005</v>
      </c>
      <c r="F668" s="174">
        <v>37.1</v>
      </c>
      <c r="G668" s="175" t="s">
        <v>16</v>
      </c>
      <c r="H668" s="172" t="s">
        <v>20</v>
      </c>
      <c r="I668" s="175">
        <v>1</v>
      </c>
      <c r="J668" s="175" t="s">
        <v>18</v>
      </c>
      <c r="K668" s="175" t="s">
        <v>57</v>
      </c>
      <c r="L668" s="172" t="s">
        <v>56</v>
      </c>
    </row>
    <row r="669" spans="1:12" x14ac:dyDescent="0.2">
      <c r="A669" s="172" t="s">
        <v>12</v>
      </c>
      <c r="B669" s="172" t="s">
        <v>13</v>
      </c>
      <c r="C669" s="172" t="s">
        <v>14</v>
      </c>
      <c r="D669" s="172" t="s">
        <v>15</v>
      </c>
      <c r="E669" s="173">
        <v>42005</v>
      </c>
      <c r="F669" s="176">
        <v>7642.5258000000003</v>
      </c>
      <c r="G669" s="175" t="s">
        <v>19</v>
      </c>
      <c r="H669" s="172" t="s">
        <v>20</v>
      </c>
      <c r="I669" s="175">
        <v>1</v>
      </c>
      <c r="J669" s="175" t="s">
        <v>18</v>
      </c>
      <c r="K669" s="175" t="s">
        <v>57</v>
      </c>
      <c r="L669" s="172" t="s">
        <v>56</v>
      </c>
    </row>
    <row r="670" spans="1:12" x14ac:dyDescent="0.2">
      <c r="A670" s="172" t="s">
        <v>12</v>
      </c>
      <c r="B670" s="172" t="s">
        <v>13</v>
      </c>
      <c r="C670" s="172" t="s">
        <v>14</v>
      </c>
      <c r="D670" s="172" t="s">
        <v>15</v>
      </c>
      <c r="E670" s="173">
        <v>41995</v>
      </c>
      <c r="F670" s="174">
        <v>38.4</v>
      </c>
      <c r="G670" s="175" t="s">
        <v>16</v>
      </c>
      <c r="H670" s="172" t="s">
        <v>17</v>
      </c>
      <c r="I670" s="175">
        <v>1</v>
      </c>
      <c r="J670" s="175" t="s">
        <v>18</v>
      </c>
      <c r="K670" s="175" t="s">
        <v>57</v>
      </c>
      <c r="L670" s="172" t="s">
        <v>56</v>
      </c>
    </row>
    <row r="671" spans="1:12" x14ac:dyDescent="0.2">
      <c r="A671" s="172" t="s">
        <v>12</v>
      </c>
      <c r="B671" s="172" t="s">
        <v>13</v>
      </c>
      <c r="C671" s="172" t="s">
        <v>14</v>
      </c>
      <c r="D671" s="172" t="s">
        <v>15</v>
      </c>
      <c r="E671" s="173">
        <v>41995</v>
      </c>
      <c r="F671" s="176">
        <v>7305.4430160000002</v>
      </c>
      <c r="G671" s="175" t="s">
        <v>19</v>
      </c>
      <c r="H671" s="172" t="s">
        <v>17</v>
      </c>
      <c r="I671" s="175">
        <v>1</v>
      </c>
      <c r="J671" s="175" t="s">
        <v>18</v>
      </c>
      <c r="K671" s="175" t="s">
        <v>57</v>
      </c>
      <c r="L671" s="172" t="s">
        <v>56</v>
      </c>
    </row>
    <row r="672" spans="1:12" x14ac:dyDescent="0.2">
      <c r="A672" s="172" t="s">
        <v>12</v>
      </c>
      <c r="B672" s="172" t="s">
        <v>13</v>
      </c>
      <c r="C672" s="172" t="s">
        <v>14</v>
      </c>
      <c r="D672" s="172" t="s">
        <v>15</v>
      </c>
      <c r="E672" s="173">
        <v>41995</v>
      </c>
      <c r="F672" s="174">
        <v>20</v>
      </c>
      <c r="G672" s="175" t="s">
        <v>16</v>
      </c>
      <c r="H672" s="172" t="s">
        <v>20</v>
      </c>
      <c r="I672" s="175">
        <v>1</v>
      </c>
      <c r="J672" s="175" t="s">
        <v>18</v>
      </c>
      <c r="K672" s="175" t="s">
        <v>57</v>
      </c>
      <c r="L672" s="172" t="s">
        <v>56</v>
      </c>
    </row>
    <row r="673" spans="1:12" x14ac:dyDescent="0.2">
      <c r="A673" s="172" t="s">
        <v>12</v>
      </c>
      <c r="B673" s="172" t="s">
        <v>13</v>
      </c>
      <c r="C673" s="172" t="s">
        <v>14</v>
      </c>
      <c r="D673" s="172" t="s">
        <v>15</v>
      </c>
      <c r="E673" s="173">
        <v>41995</v>
      </c>
      <c r="F673" s="176">
        <v>4287.1886759999998</v>
      </c>
      <c r="G673" s="175" t="s">
        <v>19</v>
      </c>
      <c r="H673" s="172" t="s">
        <v>20</v>
      </c>
      <c r="I673" s="175">
        <v>1</v>
      </c>
      <c r="J673" s="175" t="s">
        <v>18</v>
      </c>
      <c r="K673" s="175" t="s">
        <v>57</v>
      </c>
      <c r="L673" s="172" t="s">
        <v>56</v>
      </c>
    </row>
    <row r="674" spans="1:12" x14ac:dyDescent="0.2">
      <c r="A674" s="172" t="s">
        <v>12</v>
      </c>
      <c r="B674" s="172" t="s">
        <v>13</v>
      </c>
      <c r="C674" s="172" t="s">
        <v>14</v>
      </c>
      <c r="D674" s="172" t="s">
        <v>15</v>
      </c>
      <c r="E674" s="173">
        <v>41989</v>
      </c>
      <c r="F674" s="174">
        <v>38.6</v>
      </c>
      <c r="G674" s="175" t="s">
        <v>16</v>
      </c>
      <c r="H674" s="172" t="s">
        <v>17</v>
      </c>
      <c r="I674" s="175">
        <v>1</v>
      </c>
      <c r="J674" s="175" t="s">
        <v>18</v>
      </c>
      <c r="K674" s="175" t="s">
        <v>57</v>
      </c>
      <c r="L674" s="172" t="s">
        <v>56</v>
      </c>
    </row>
    <row r="675" spans="1:12" x14ac:dyDescent="0.2">
      <c r="A675" s="172" t="s">
        <v>12</v>
      </c>
      <c r="B675" s="172" t="s">
        <v>13</v>
      </c>
      <c r="C675" s="172" t="s">
        <v>14</v>
      </c>
      <c r="D675" s="172" t="s">
        <v>15</v>
      </c>
      <c r="E675" s="173">
        <v>41989</v>
      </c>
      <c r="F675" s="176">
        <v>7475.6340600000003</v>
      </c>
      <c r="G675" s="175" t="s">
        <v>19</v>
      </c>
      <c r="H675" s="172" t="s">
        <v>17</v>
      </c>
      <c r="I675" s="175">
        <v>1</v>
      </c>
      <c r="J675" s="175" t="s">
        <v>18</v>
      </c>
      <c r="K675" s="175" t="s">
        <v>57</v>
      </c>
      <c r="L675" s="172" t="s">
        <v>56</v>
      </c>
    </row>
    <row r="676" spans="1:12" x14ac:dyDescent="0.2">
      <c r="A676" s="172" t="s">
        <v>12</v>
      </c>
      <c r="B676" s="172" t="s">
        <v>13</v>
      </c>
      <c r="C676" s="172" t="s">
        <v>14</v>
      </c>
      <c r="D676" s="172" t="s">
        <v>15</v>
      </c>
      <c r="E676" s="173">
        <v>41989</v>
      </c>
      <c r="F676" s="174">
        <v>22.3</v>
      </c>
      <c r="G676" s="175" t="s">
        <v>16</v>
      </c>
      <c r="H676" s="172" t="s">
        <v>20</v>
      </c>
      <c r="I676" s="175">
        <v>1</v>
      </c>
      <c r="J676" s="175" t="s">
        <v>18</v>
      </c>
      <c r="K676" s="175" t="s">
        <v>57</v>
      </c>
      <c r="L676" s="172" t="s">
        <v>56</v>
      </c>
    </row>
    <row r="677" spans="1:12" x14ac:dyDescent="0.2">
      <c r="A677" s="172" t="s">
        <v>12</v>
      </c>
      <c r="B677" s="172" t="s">
        <v>13</v>
      </c>
      <c r="C677" s="172" t="s">
        <v>14</v>
      </c>
      <c r="D677" s="172" t="s">
        <v>15</v>
      </c>
      <c r="E677" s="173">
        <v>41989</v>
      </c>
      <c r="F677" s="176">
        <v>4839.8688000000002</v>
      </c>
      <c r="G677" s="175" t="s">
        <v>19</v>
      </c>
      <c r="H677" s="172" t="s">
        <v>20</v>
      </c>
      <c r="I677" s="175">
        <v>1</v>
      </c>
      <c r="J677" s="175" t="s">
        <v>18</v>
      </c>
      <c r="K677" s="175" t="s">
        <v>57</v>
      </c>
      <c r="L677" s="172" t="s">
        <v>56</v>
      </c>
    </row>
    <row r="678" spans="1:12" x14ac:dyDescent="0.2">
      <c r="A678" s="172" t="s">
        <v>12</v>
      </c>
      <c r="B678" s="172" t="s">
        <v>13</v>
      </c>
      <c r="C678" s="172" t="s">
        <v>14</v>
      </c>
      <c r="D678" s="172" t="s">
        <v>15</v>
      </c>
      <c r="E678" s="173">
        <v>41983</v>
      </c>
      <c r="F678" s="174">
        <v>24.5</v>
      </c>
      <c r="G678" s="175" t="s">
        <v>16</v>
      </c>
      <c r="H678" s="172" t="s">
        <v>17</v>
      </c>
      <c r="I678" s="175">
        <v>1</v>
      </c>
      <c r="J678" s="175" t="s">
        <v>18</v>
      </c>
      <c r="K678" s="175" t="s">
        <v>57</v>
      </c>
      <c r="L678" s="172" t="s">
        <v>56</v>
      </c>
    </row>
    <row r="679" spans="1:12" x14ac:dyDescent="0.2">
      <c r="A679" s="172" t="s">
        <v>12</v>
      </c>
      <c r="B679" s="172" t="s">
        <v>13</v>
      </c>
      <c r="C679" s="172" t="s">
        <v>14</v>
      </c>
      <c r="D679" s="172" t="s">
        <v>15</v>
      </c>
      <c r="E679" s="173">
        <v>41983</v>
      </c>
      <c r="F679" s="176">
        <v>4421.2842000000001</v>
      </c>
      <c r="G679" s="175" t="s">
        <v>19</v>
      </c>
      <c r="H679" s="172" t="s">
        <v>17</v>
      </c>
      <c r="I679" s="175">
        <v>1</v>
      </c>
      <c r="J679" s="175" t="s">
        <v>18</v>
      </c>
      <c r="K679" s="175" t="s">
        <v>57</v>
      </c>
      <c r="L679" s="172" t="s">
        <v>56</v>
      </c>
    </row>
    <row r="680" spans="1:12" x14ac:dyDescent="0.2">
      <c r="A680" s="172" t="s">
        <v>12</v>
      </c>
      <c r="B680" s="172" t="s">
        <v>13</v>
      </c>
      <c r="C680" s="172" t="s">
        <v>14</v>
      </c>
      <c r="D680" s="172" t="s">
        <v>15</v>
      </c>
      <c r="E680" s="173">
        <v>41983</v>
      </c>
      <c r="F680" s="174">
        <v>30.3</v>
      </c>
      <c r="G680" s="175" t="s">
        <v>16</v>
      </c>
      <c r="H680" s="172" t="s">
        <v>20</v>
      </c>
      <c r="I680" s="175">
        <v>1</v>
      </c>
      <c r="J680" s="175" t="s">
        <v>18</v>
      </c>
      <c r="K680" s="175" t="s">
        <v>57</v>
      </c>
      <c r="L680" s="172" t="s">
        <v>56</v>
      </c>
    </row>
    <row r="681" spans="1:12" x14ac:dyDescent="0.2">
      <c r="A681" s="172" t="s">
        <v>12</v>
      </c>
      <c r="B681" s="172" t="s">
        <v>13</v>
      </c>
      <c r="C681" s="172" t="s">
        <v>14</v>
      </c>
      <c r="D681" s="172" t="s">
        <v>15</v>
      </c>
      <c r="E681" s="173">
        <v>41983</v>
      </c>
      <c r="F681" s="176">
        <v>6165.9287999999997</v>
      </c>
      <c r="G681" s="175" t="s">
        <v>19</v>
      </c>
      <c r="H681" s="172" t="s">
        <v>20</v>
      </c>
      <c r="I681" s="175">
        <v>1</v>
      </c>
      <c r="J681" s="175" t="s">
        <v>18</v>
      </c>
      <c r="K681" s="175" t="s">
        <v>57</v>
      </c>
      <c r="L681" s="172" t="s">
        <v>56</v>
      </c>
    </row>
    <row r="682" spans="1:12" x14ac:dyDescent="0.2">
      <c r="A682" s="172" t="s">
        <v>12</v>
      </c>
      <c r="B682" s="172" t="s">
        <v>13</v>
      </c>
      <c r="C682" s="172" t="s">
        <v>14</v>
      </c>
      <c r="D682" s="172" t="s">
        <v>15</v>
      </c>
      <c r="E682" s="173">
        <v>41977</v>
      </c>
      <c r="F682" s="174">
        <v>38.1</v>
      </c>
      <c r="G682" s="175" t="s">
        <v>16</v>
      </c>
      <c r="H682" s="172" t="s">
        <v>17</v>
      </c>
      <c r="I682" s="175">
        <v>1</v>
      </c>
      <c r="J682" s="175" t="s">
        <v>18</v>
      </c>
      <c r="K682" s="175" t="s">
        <v>57</v>
      </c>
      <c r="L682" s="172" t="s">
        <v>56</v>
      </c>
    </row>
    <row r="683" spans="1:12" x14ac:dyDescent="0.2">
      <c r="A683" s="172" t="s">
        <v>12</v>
      </c>
      <c r="B683" s="172" t="s">
        <v>13</v>
      </c>
      <c r="C683" s="172" t="s">
        <v>14</v>
      </c>
      <c r="D683" s="172" t="s">
        <v>15</v>
      </c>
      <c r="E683" s="173">
        <v>41977</v>
      </c>
      <c r="F683" s="176">
        <v>7243.9505280000003</v>
      </c>
      <c r="G683" s="175" t="s">
        <v>19</v>
      </c>
      <c r="H683" s="172" t="s">
        <v>17</v>
      </c>
      <c r="I683" s="175">
        <v>1</v>
      </c>
      <c r="J683" s="175" t="s">
        <v>18</v>
      </c>
      <c r="K683" s="175" t="s">
        <v>57</v>
      </c>
      <c r="L683" s="172" t="s">
        <v>56</v>
      </c>
    </row>
    <row r="684" spans="1:12" x14ac:dyDescent="0.2">
      <c r="A684" s="172" t="s">
        <v>12</v>
      </c>
      <c r="B684" s="172" t="s">
        <v>13</v>
      </c>
      <c r="C684" s="172" t="s">
        <v>14</v>
      </c>
      <c r="D684" s="172" t="s">
        <v>15</v>
      </c>
      <c r="E684" s="173">
        <v>41977</v>
      </c>
      <c r="F684" s="174">
        <v>29.1</v>
      </c>
      <c r="G684" s="175" t="s">
        <v>16</v>
      </c>
      <c r="H684" s="172" t="s">
        <v>20</v>
      </c>
      <c r="I684" s="175">
        <v>1</v>
      </c>
      <c r="J684" s="175" t="s">
        <v>18</v>
      </c>
      <c r="K684" s="175" t="s">
        <v>57</v>
      </c>
      <c r="L684" s="172" t="s">
        <v>56</v>
      </c>
    </row>
    <row r="685" spans="1:12" x14ac:dyDescent="0.2">
      <c r="A685" s="172" t="s">
        <v>12</v>
      </c>
      <c r="B685" s="172" t="s">
        <v>13</v>
      </c>
      <c r="C685" s="172" t="s">
        <v>14</v>
      </c>
      <c r="D685" s="172" t="s">
        <v>15</v>
      </c>
      <c r="E685" s="173">
        <v>41977</v>
      </c>
      <c r="F685" s="176">
        <v>6190.3983600000001</v>
      </c>
      <c r="G685" s="175" t="s">
        <v>19</v>
      </c>
      <c r="H685" s="172" t="s">
        <v>20</v>
      </c>
      <c r="I685" s="175">
        <v>1</v>
      </c>
      <c r="J685" s="175" t="s">
        <v>18</v>
      </c>
      <c r="K685" s="175" t="s">
        <v>57</v>
      </c>
      <c r="L685" s="172" t="s">
        <v>56</v>
      </c>
    </row>
    <row r="686" spans="1:12" x14ac:dyDescent="0.2">
      <c r="A686" s="172" t="s">
        <v>12</v>
      </c>
      <c r="B686" s="172" t="s">
        <v>13</v>
      </c>
      <c r="C686" s="172" t="s">
        <v>14</v>
      </c>
      <c r="D686" s="172" t="s">
        <v>15</v>
      </c>
      <c r="E686" s="173">
        <v>41967</v>
      </c>
      <c r="F686" s="174">
        <v>43.6</v>
      </c>
      <c r="G686" s="175" t="s">
        <v>16</v>
      </c>
      <c r="H686" s="172" t="s">
        <v>17</v>
      </c>
      <c r="I686" s="175">
        <v>1</v>
      </c>
      <c r="J686" s="175" t="s">
        <v>18</v>
      </c>
      <c r="K686" s="175" t="s">
        <v>57</v>
      </c>
      <c r="L686" s="172" t="s">
        <v>56</v>
      </c>
    </row>
    <row r="687" spans="1:12" x14ac:dyDescent="0.2">
      <c r="A687" s="172" t="s">
        <v>12</v>
      </c>
      <c r="B687" s="172" t="s">
        <v>13</v>
      </c>
      <c r="C687" s="172" t="s">
        <v>14</v>
      </c>
      <c r="D687" s="172" t="s">
        <v>15</v>
      </c>
      <c r="E687" s="173">
        <v>41967</v>
      </c>
      <c r="F687" s="176">
        <v>10389.823548</v>
      </c>
      <c r="G687" s="175" t="s">
        <v>19</v>
      </c>
      <c r="H687" s="172" t="s">
        <v>17</v>
      </c>
      <c r="I687" s="175">
        <v>1</v>
      </c>
      <c r="J687" s="175" t="s">
        <v>18</v>
      </c>
      <c r="K687" s="175" t="s">
        <v>57</v>
      </c>
      <c r="L687" s="172" t="s">
        <v>56</v>
      </c>
    </row>
    <row r="688" spans="1:12" x14ac:dyDescent="0.2">
      <c r="A688" s="172" t="s">
        <v>12</v>
      </c>
      <c r="B688" s="172" t="s">
        <v>13</v>
      </c>
      <c r="C688" s="172" t="s">
        <v>14</v>
      </c>
      <c r="D688" s="172" t="s">
        <v>15</v>
      </c>
      <c r="E688" s="173">
        <v>41967</v>
      </c>
      <c r="F688" s="174">
        <v>30.7</v>
      </c>
      <c r="G688" s="175" t="s">
        <v>16</v>
      </c>
      <c r="H688" s="172" t="s">
        <v>20</v>
      </c>
      <c r="I688" s="175">
        <v>1</v>
      </c>
      <c r="J688" s="175" t="s">
        <v>18</v>
      </c>
      <c r="K688" s="175" t="s">
        <v>57</v>
      </c>
      <c r="L688" s="172" t="s">
        <v>56</v>
      </c>
    </row>
    <row r="689" spans="1:12" x14ac:dyDescent="0.2">
      <c r="A689" s="172" t="s">
        <v>12</v>
      </c>
      <c r="B689" s="172" t="s">
        <v>13</v>
      </c>
      <c r="C689" s="172" t="s">
        <v>14</v>
      </c>
      <c r="D689" s="172" t="s">
        <v>15</v>
      </c>
      <c r="E689" s="173">
        <v>41967</v>
      </c>
      <c r="F689" s="176">
        <v>8003.0256360000003</v>
      </c>
      <c r="G689" s="175" t="s">
        <v>19</v>
      </c>
      <c r="H689" s="172" t="s">
        <v>20</v>
      </c>
      <c r="I689" s="175">
        <v>1</v>
      </c>
      <c r="J689" s="175" t="s">
        <v>18</v>
      </c>
      <c r="K689" s="175" t="s">
        <v>57</v>
      </c>
      <c r="L689" s="172" t="s">
        <v>56</v>
      </c>
    </row>
    <row r="690" spans="1:12" x14ac:dyDescent="0.2">
      <c r="A690" s="172" t="s">
        <v>12</v>
      </c>
      <c r="B690" s="172" t="s">
        <v>13</v>
      </c>
      <c r="C690" s="172" t="s">
        <v>14</v>
      </c>
      <c r="D690" s="172" t="s">
        <v>15</v>
      </c>
      <c r="E690" s="173">
        <v>41963</v>
      </c>
      <c r="F690" s="174">
        <v>55.7</v>
      </c>
      <c r="G690" s="175" t="s">
        <v>16</v>
      </c>
      <c r="H690" s="172" t="s">
        <v>17</v>
      </c>
      <c r="I690" s="175">
        <v>1</v>
      </c>
      <c r="J690" s="175" t="s">
        <v>18</v>
      </c>
      <c r="K690" s="175" t="s">
        <v>57</v>
      </c>
      <c r="L690" s="172" t="s">
        <v>56</v>
      </c>
    </row>
    <row r="691" spans="1:12" x14ac:dyDescent="0.2">
      <c r="A691" s="172" t="s">
        <v>12</v>
      </c>
      <c r="B691" s="172" t="s">
        <v>13</v>
      </c>
      <c r="C691" s="172" t="s">
        <v>14</v>
      </c>
      <c r="D691" s="172" t="s">
        <v>15</v>
      </c>
      <c r="E691" s="173">
        <v>41963</v>
      </c>
      <c r="F691" s="176">
        <v>9762.3035999999993</v>
      </c>
      <c r="G691" s="175" t="s">
        <v>19</v>
      </c>
      <c r="H691" s="172" t="s">
        <v>17</v>
      </c>
      <c r="I691" s="175">
        <v>1</v>
      </c>
      <c r="J691" s="175" t="s">
        <v>18</v>
      </c>
      <c r="K691" s="175" t="s">
        <v>57</v>
      </c>
      <c r="L691" s="172" t="s">
        <v>56</v>
      </c>
    </row>
    <row r="692" spans="1:12" x14ac:dyDescent="0.2">
      <c r="A692" s="172" t="s">
        <v>12</v>
      </c>
      <c r="B692" s="172" t="s">
        <v>13</v>
      </c>
      <c r="C692" s="172" t="s">
        <v>14</v>
      </c>
      <c r="D692" s="172" t="s">
        <v>15</v>
      </c>
      <c r="E692" s="173">
        <v>41963</v>
      </c>
      <c r="F692" s="174">
        <v>21.6</v>
      </c>
      <c r="G692" s="175" t="s">
        <v>16</v>
      </c>
      <c r="H692" s="172" t="s">
        <v>20</v>
      </c>
      <c r="I692" s="175">
        <v>1</v>
      </c>
      <c r="J692" s="175" t="s">
        <v>18</v>
      </c>
      <c r="K692" s="175" t="s">
        <v>57</v>
      </c>
      <c r="L692" s="172" t="s">
        <v>56</v>
      </c>
    </row>
    <row r="693" spans="1:12" x14ac:dyDescent="0.2">
      <c r="A693" s="172" t="s">
        <v>12</v>
      </c>
      <c r="B693" s="172" t="s">
        <v>13</v>
      </c>
      <c r="C693" s="172" t="s">
        <v>14</v>
      </c>
      <c r="D693" s="172" t="s">
        <v>15</v>
      </c>
      <c r="E693" s="173">
        <v>41963</v>
      </c>
      <c r="F693" s="176">
        <v>4251.3984</v>
      </c>
      <c r="G693" s="175" t="s">
        <v>19</v>
      </c>
      <c r="H693" s="172" t="s">
        <v>20</v>
      </c>
      <c r="I693" s="175">
        <v>1</v>
      </c>
      <c r="J693" s="175" t="s">
        <v>18</v>
      </c>
      <c r="K693" s="175" t="s">
        <v>57</v>
      </c>
      <c r="L693" s="172" t="s">
        <v>56</v>
      </c>
    </row>
    <row r="694" spans="1:12" x14ac:dyDescent="0.2">
      <c r="A694" s="172" t="s">
        <v>12</v>
      </c>
      <c r="B694" s="172" t="s">
        <v>13</v>
      </c>
      <c r="C694" s="172" t="s">
        <v>14</v>
      </c>
      <c r="D694" s="172" t="s">
        <v>15</v>
      </c>
      <c r="E694" s="173">
        <v>41955</v>
      </c>
      <c r="F694" s="174">
        <v>48</v>
      </c>
      <c r="G694" s="175" t="s">
        <v>16</v>
      </c>
      <c r="H694" s="172" t="s">
        <v>17</v>
      </c>
      <c r="I694" s="175">
        <v>1</v>
      </c>
      <c r="J694" s="175" t="s">
        <v>18</v>
      </c>
      <c r="K694" s="175" t="s">
        <v>57</v>
      </c>
      <c r="L694" s="172" t="s">
        <v>56</v>
      </c>
    </row>
    <row r="695" spans="1:12" x14ac:dyDescent="0.2">
      <c r="A695" s="172" t="s">
        <v>12</v>
      </c>
      <c r="B695" s="172" t="s">
        <v>13</v>
      </c>
      <c r="C695" s="172" t="s">
        <v>14</v>
      </c>
      <c r="D695" s="172" t="s">
        <v>15</v>
      </c>
      <c r="E695" s="173">
        <v>41955</v>
      </c>
      <c r="F695" s="176">
        <v>8399.3591159999996</v>
      </c>
      <c r="G695" s="175" t="s">
        <v>19</v>
      </c>
      <c r="H695" s="172" t="s">
        <v>17</v>
      </c>
      <c r="I695" s="175">
        <v>1</v>
      </c>
      <c r="J695" s="175" t="s">
        <v>18</v>
      </c>
      <c r="K695" s="175" t="s">
        <v>57</v>
      </c>
      <c r="L695" s="172" t="s">
        <v>56</v>
      </c>
    </row>
    <row r="696" spans="1:12" x14ac:dyDescent="0.2">
      <c r="A696" s="172" t="s">
        <v>12</v>
      </c>
      <c r="B696" s="172" t="s">
        <v>13</v>
      </c>
      <c r="C696" s="172" t="s">
        <v>14</v>
      </c>
      <c r="D696" s="172" t="s">
        <v>15</v>
      </c>
      <c r="E696" s="173">
        <v>41955</v>
      </c>
      <c r="F696" s="174">
        <v>34.4</v>
      </c>
      <c r="G696" s="175" t="s">
        <v>16</v>
      </c>
      <c r="H696" s="172" t="s">
        <v>20</v>
      </c>
      <c r="I696" s="175">
        <v>1</v>
      </c>
      <c r="J696" s="175" t="s">
        <v>18</v>
      </c>
      <c r="K696" s="175" t="s">
        <v>57</v>
      </c>
      <c r="L696" s="172" t="s">
        <v>56</v>
      </c>
    </row>
    <row r="697" spans="1:12" x14ac:dyDescent="0.2">
      <c r="A697" s="172" t="s">
        <v>12</v>
      </c>
      <c r="B697" s="172" t="s">
        <v>13</v>
      </c>
      <c r="C697" s="172" t="s">
        <v>14</v>
      </c>
      <c r="D697" s="172" t="s">
        <v>15</v>
      </c>
      <c r="E697" s="173">
        <v>41955</v>
      </c>
      <c r="F697" s="176">
        <v>6512.7285179999999</v>
      </c>
      <c r="G697" s="175" t="s">
        <v>19</v>
      </c>
      <c r="H697" s="172" t="s">
        <v>20</v>
      </c>
      <c r="I697" s="175">
        <v>1</v>
      </c>
      <c r="J697" s="175" t="s">
        <v>18</v>
      </c>
      <c r="K697" s="175" t="s">
        <v>57</v>
      </c>
      <c r="L697" s="172" t="s">
        <v>56</v>
      </c>
    </row>
    <row r="698" spans="1:12" x14ac:dyDescent="0.2">
      <c r="A698" s="172" t="s">
        <v>12</v>
      </c>
      <c r="B698" s="172" t="s">
        <v>13</v>
      </c>
      <c r="C698" s="172" t="s">
        <v>14</v>
      </c>
      <c r="D698" s="172" t="s">
        <v>15</v>
      </c>
      <c r="E698" s="173">
        <v>41948</v>
      </c>
      <c r="F698" s="174">
        <v>35.700000000000003</v>
      </c>
      <c r="G698" s="175" t="s">
        <v>16</v>
      </c>
      <c r="H698" s="172" t="s">
        <v>17</v>
      </c>
      <c r="I698" s="175">
        <v>1</v>
      </c>
      <c r="J698" s="175" t="s">
        <v>18</v>
      </c>
      <c r="K698" s="175" t="s">
        <v>57</v>
      </c>
      <c r="L698" s="172" t="s">
        <v>56</v>
      </c>
    </row>
    <row r="699" spans="1:12" x14ac:dyDescent="0.2">
      <c r="A699" s="172" t="s">
        <v>12</v>
      </c>
      <c r="B699" s="172" t="s">
        <v>13</v>
      </c>
      <c r="C699" s="172" t="s">
        <v>14</v>
      </c>
      <c r="D699" s="172" t="s">
        <v>15</v>
      </c>
      <c r="E699" s="173">
        <v>41948</v>
      </c>
      <c r="F699" s="176">
        <v>6375.5964000000004</v>
      </c>
      <c r="G699" s="175" t="s">
        <v>19</v>
      </c>
      <c r="H699" s="172" t="s">
        <v>17</v>
      </c>
      <c r="I699" s="175">
        <v>1</v>
      </c>
      <c r="J699" s="175" t="s">
        <v>18</v>
      </c>
      <c r="K699" s="175" t="s">
        <v>57</v>
      </c>
      <c r="L699" s="172" t="s">
        <v>56</v>
      </c>
    </row>
    <row r="700" spans="1:12" x14ac:dyDescent="0.2">
      <c r="A700" s="172" t="s">
        <v>12</v>
      </c>
      <c r="B700" s="172" t="s">
        <v>13</v>
      </c>
      <c r="C700" s="172" t="s">
        <v>14</v>
      </c>
      <c r="D700" s="172" t="s">
        <v>15</v>
      </c>
      <c r="E700" s="173">
        <v>41948</v>
      </c>
      <c r="F700" s="174">
        <v>38.5</v>
      </c>
      <c r="G700" s="175" t="s">
        <v>16</v>
      </c>
      <c r="H700" s="172" t="s">
        <v>20</v>
      </c>
      <c r="I700" s="175">
        <v>1</v>
      </c>
      <c r="J700" s="175" t="s">
        <v>18</v>
      </c>
      <c r="K700" s="175" t="s">
        <v>57</v>
      </c>
      <c r="L700" s="172" t="s">
        <v>56</v>
      </c>
    </row>
    <row r="701" spans="1:12" x14ac:dyDescent="0.2">
      <c r="A701" s="172" t="s">
        <v>12</v>
      </c>
      <c r="B701" s="172" t="s">
        <v>13</v>
      </c>
      <c r="C701" s="172" t="s">
        <v>14</v>
      </c>
      <c r="D701" s="172" t="s">
        <v>15</v>
      </c>
      <c r="E701" s="173">
        <v>41948</v>
      </c>
      <c r="F701" s="176">
        <v>7352.9610000000002</v>
      </c>
      <c r="G701" s="175" t="s">
        <v>19</v>
      </c>
      <c r="H701" s="172" t="s">
        <v>20</v>
      </c>
      <c r="I701" s="175">
        <v>1</v>
      </c>
      <c r="J701" s="175" t="s">
        <v>18</v>
      </c>
      <c r="K701" s="175" t="s">
        <v>57</v>
      </c>
      <c r="L701" s="172" t="s">
        <v>56</v>
      </c>
    </row>
    <row r="702" spans="1:12" x14ac:dyDescent="0.2">
      <c r="A702" s="172" t="s">
        <v>12</v>
      </c>
      <c r="B702" s="172" t="s">
        <v>13</v>
      </c>
      <c r="C702" s="172" t="s">
        <v>14</v>
      </c>
      <c r="D702" s="172" t="s">
        <v>15</v>
      </c>
      <c r="E702" s="173">
        <v>41940</v>
      </c>
      <c r="F702" s="174">
        <v>43.9</v>
      </c>
      <c r="G702" s="175" t="s">
        <v>16</v>
      </c>
      <c r="H702" s="172" t="s">
        <v>17</v>
      </c>
      <c r="I702" s="175">
        <v>1</v>
      </c>
      <c r="J702" s="175" t="s">
        <v>18</v>
      </c>
      <c r="K702" s="175" t="s">
        <v>57</v>
      </c>
      <c r="L702" s="172" t="s">
        <v>56</v>
      </c>
    </row>
    <row r="703" spans="1:12" x14ac:dyDescent="0.2">
      <c r="A703" s="172" t="s">
        <v>12</v>
      </c>
      <c r="B703" s="172" t="s">
        <v>13</v>
      </c>
      <c r="C703" s="172" t="s">
        <v>14</v>
      </c>
      <c r="D703" s="172" t="s">
        <v>15</v>
      </c>
      <c r="E703" s="173">
        <v>41940</v>
      </c>
      <c r="F703" s="176">
        <v>8127.7470000000003</v>
      </c>
      <c r="G703" s="175" t="s">
        <v>19</v>
      </c>
      <c r="H703" s="172" t="s">
        <v>17</v>
      </c>
      <c r="I703" s="175">
        <v>1</v>
      </c>
      <c r="J703" s="175" t="s">
        <v>18</v>
      </c>
      <c r="K703" s="175" t="s">
        <v>57</v>
      </c>
      <c r="L703" s="172" t="s">
        <v>56</v>
      </c>
    </row>
    <row r="704" spans="1:12" x14ac:dyDescent="0.2">
      <c r="A704" s="172" t="s">
        <v>12</v>
      </c>
      <c r="B704" s="172" t="s">
        <v>13</v>
      </c>
      <c r="C704" s="172" t="s">
        <v>14</v>
      </c>
      <c r="D704" s="172" t="s">
        <v>15</v>
      </c>
      <c r="E704" s="173">
        <v>41940</v>
      </c>
      <c r="F704" s="174">
        <v>45.1</v>
      </c>
      <c r="G704" s="175" t="s">
        <v>16</v>
      </c>
      <c r="H704" s="172" t="s">
        <v>20</v>
      </c>
      <c r="I704" s="175">
        <v>1</v>
      </c>
      <c r="J704" s="175" t="s">
        <v>18</v>
      </c>
      <c r="K704" s="175" t="s">
        <v>57</v>
      </c>
      <c r="L704" s="172" t="s">
        <v>56</v>
      </c>
    </row>
    <row r="705" spans="1:12" x14ac:dyDescent="0.2">
      <c r="A705" s="172" t="s">
        <v>12</v>
      </c>
      <c r="B705" s="172" t="s">
        <v>13</v>
      </c>
      <c r="C705" s="172" t="s">
        <v>14</v>
      </c>
      <c r="D705" s="172" t="s">
        <v>15</v>
      </c>
      <c r="E705" s="173">
        <v>41940</v>
      </c>
      <c r="F705" s="176">
        <v>9140.0562000000009</v>
      </c>
      <c r="G705" s="175" t="s">
        <v>19</v>
      </c>
      <c r="H705" s="172" t="s">
        <v>20</v>
      </c>
      <c r="I705" s="175">
        <v>1</v>
      </c>
      <c r="J705" s="175" t="s">
        <v>18</v>
      </c>
      <c r="K705" s="175" t="s">
        <v>57</v>
      </c>
      <c r="L705" s="172" t="s">
        <v>56</v>
      </c>
    </row>
    <row r="706" spans="1:12" x14ac:dyDescent="0.2">
      <c r="A706" s="172" t="s">
        <v>12</v>
      </c>
      <c r="B706" s="172" t="s">
        <v>13</v>
      </c>
      <c r="C706" s="172" t="s">
        <v>14</v>
      </c>
      <c r="D706" s="172" t="s">
        <v>15</v>
      </c>
      <c r="E706" s="173">
        <v>41934</v>
      </c>
      <c r="F706" s="174">
        <v>50.6</v>
      </c>
      <c r="G706" s="175" t="s">
        <v>16</v>
      </c>
      <c r="H706" s="172" t="s">
        <v>17</v>
      </c>
      <c r="I706" s="175">
        <v>1</v>
      </c>
      <c r="J706" s="175" t="s">
        <v>18</v>
      </c>
      <c r="K706" s="175" t="s">
        <v>57</v>
      </c>
      <c r="L706" s="172" t="s">
        <v>56</v>
      </c>
    </row>
    <row r="707" spans="1:12" x14ac:dyDescent="0.2">
      <c r="A707" s="172" t="s">
        <v>12</v>
      </c>
      <c r="B707" s="172" t="s">
        <v>13</v>
      </c>
      <c r="C707" s="172" t="s">
        <v>14</v>
      </c>
      <c r="D707" s="172" t="s">
        <v>15</v>
      </c>
      <c r="E707" s="173">
        <v>41934</v>
      </c>
      <c r="F707" s="176">
        <v>9914.1749999999993</v>
      </c>
      <c r="G707" s="175" t="s">
        <v>19</v>
      </c>
      <c r="H707" s="172" t="s">
        <v>17</v>
      </c>
      <c r="I707" s="175">
        <v>1</v>
      </c>
      <c r="J707" s="175" t="s">
        <v>18</v>
      </c>
      <c r="K707" s="175" t="s">
        <v>57</v>
      </c>
      <c r="L707" s="172" t="s">
        <v>56</v>
      </c>
    </row>
    <row r="708" spans="1:12" x14ac:dyDescent="0.2">
      <c r="A708" s="172" t="s">
        <v>12</v>
      </c>
      <c r="B708" s="172" t="s">
        <v>13</v>
      </c>
      <c r="C708" s="172" t="s">
        <v>14</v>
      </c>
      <c r="D708" s="172" t="s">
        <v>15</v>
      </c>
      <c r="E708" s="173">
        <v>41934</v>
      </c>
      <c r="F708" s="174">
        <v>39.9</v>
      </c>
      <c r="G708" s="175" t="s">
        <v>16</v>
      </c>
      <c r="H708" s="172" t="s">
        <v>20</v>
      </c>
      <c r="I708" s="175">
        <v>1</v>
      </c>
      <c r="J708" s="175" t="s">
        <v>18</v>
      </c>
      <c r="K708" s="175" t="s">
        <v>57</v>
      </c>
      <c r="L708" s="172" t="s">
        <v>56</v>
      </c>
    </row>
    <row r="709" spans="1:12" x14ac:dyDescent="0.2">
      <c r="A709" s="172" t="s">
        <v>12</v>
      </c>
      <c r="B709" s="172" t="s">
        <v>13</v>
      </c>
      <c r="C709" s="172" t="s">
        <v>14</v>
      </c>
      <c r="D709" s="172" t="s">
        <v>15</v>
      </c>
      <c r="E709" s="173">
        <v>41934</v>
      </c>
      <c r="F709" s="176">
        <v>8452.2564000000002</v>
      </c>
      <c r="G709" s="175" t="s">
        <v>19</v>
      </c>
      <c r="H709" s="172" t="s">
        <v>20</v>
      </c>
      <c r="I709" s="175">
        <v>1</v>
      </c>
      <c r="J709" s="175" t="s">
        <v>18</v>
      </c>
      <c r="K709" s="175" t="s">
        <v>57</v>
      </c>
      <c r="L709" s="172" t="s">
        <v>56</v>
      </c>
    </row>
    <row r="710" spans="1:12" x14ac:dyDescent="0.2">
      <c r="A710" s="172" t="s">
        <v>12</v>
      </c>
      <c r="B710" s="172" t="s">
        <v>13</v>
      </c>
      <c r="C710" s="172" t="s">
        <v>14</v>
      </c>
      <c r="D710" s="172" t="s">
        <v>15</v>
      </c>
      <c r="E710" s="173">
        <v>41927</v>
      </c>
      <c r="F710" s="174">
        <v>38.700000000000003</v>
      </c>
      <c r="G710" s="175" t="s">
        <v>16</v>
      </c>
      <c r="H710" s="172" t="s">
        <v>17</v>
      </c>
      <c r="I710" s="175">
        <v>1</v>
      </c>
      <c r="J710" s="175" t="s">
        <v>18</v>
      </c>
      <c r="K710" s="175" t="s">
        <v>57</v>
      </c>
      <c r="L710" s="172" t="s">
        <v>56</v>
      </c>
    </row>
    <row r="711" spans="1:12" x14ac:dyDescent="0.2">
      <c r="A711" s="172" t="s">
        <v>12</v>
      </c>
      <c r="B711" s="172" t="s">
        <v>13</v>
      </c>
      <c r="C711" s="172" t="s">
        <v>14</v>
      </c>
      <c r="D711" s="172" t="s">
        <v>15</v>
      </c>
      <c r="E711" s="173">
        <v>41927</v>
      </c>
      <c r="F711" s="176">
        <v>8880.8490000000002</v>
      </c>
      <c r="G711" s="175" t="s">
        <v>19</v>
      </c>
      <c r="H711" s="172" t="s">
        <v>17</v>
      </c>
      <c r="I711" s="175">
        <v>1</v>
      </c>
      <c r="J711" s="175" t="s">
        <v>18</v>
      </c>
      <c r="K711" s="175" t="s">
        <v>57</v>
      </c>
      <c r="L711" s="172" t="s">
        <v>56</v>
      </c>
    </row>
    <row r="712" spans="1:12" x14ac:dyDescent="0.2">
      <c r="A712" s="172" t="s">
        <v>12</v>
      </c>
      <c r="B712" s="172" t="s">
        <v>13</v>
      </c>
      <c r="C712" s="172" t="s">
        <v>14</v>
      </c>
      <c r="D712" s="172" t="s">
        <v>15</v>
      </c>
      <c r="E712" s="173">
        <v>41927</v>
      </c>
      <c r="F712" s="174">
        <v>33.4</v>
      </c>
      <c r="G712" s="175" t="s">
        <v>16</v>
      </c>
      <c r="H712" s="172" t="s">
        <v>20</v>
      </c>
      <c r="I712" s="175">
        <v>1</v>
      </c>
      <c r="J712" s="175" t="s">
        <v>18</v>
      </c>
      <c r="K712" s="175" t="s">
        <v>57</v>
      </c>
      <c r="L712" s="172" t="s">
        <v>56</v>
      </c>
    </row>
    <row r="713" spans="1:12" x14ac:dyDescent="0.2">
      <c r="A713" s="172" t="s">
        <v>12</v>
      </c>
      <c r="B713" s="172" t="s">
        <v>13</v>
      </c>
      <c r="C713" s="172" t="s">
        <v>14</v>
      </c>
      <c r="D713" s="172" t="s">
        <v>15</v>
      </c>
      <c r="E713" s="173">
        <v>41927</v>
      </c>
      <c r="F713" s="176">
        <v>8189.5464000000002</v>
      </c>
      <c r="G713" s="175" t="s">
        <v>19</v>
      </c>
      <c r="H713" s="172" t="s">
        <v>20</v>
      </c>
      <c r="I713" s="175">
        <v>1</v>
      </c>
      <c r="J713" s="175" t="s">
        <v>18</v>
      </c>
      <c r="K713" s="175" t="s">
        <v>57</v>
      </c>
      <c r="L713" s="172" t="s">
        <v>56</v>
      </c>
    </row>
    <row r="714" spans="1:12" x14ac:dyDescent="0.2">
      <c r="A714" s="172" t="s">
        <v>12</v>
      </c>
      <c r="B714" s="172" t="s">
        <v>13</v>
      </c>
      <c r="C714" s="172" t="s">
        <v>14</v>
      </c>
      <c r="D714" s="172" t="s">
        <v>15</v>
      </c>
      <c r="E714" s="173">
        <v>41921</v>
      </c>
      <c r="F714" s="174">
        <v>32.1</v>
      </c>
      <c r="G714" s="175" t="s">
        <v>16</v>
      </c>
      <c r="H714" s="172" t="s">
        <v>17</v>
      </c>
      <c r="I714" s="175">
        <v>1</v>
      </c>
      <c r="J714" s="175" t="s">
        <v>18</v>
      </c>
      <c r="K714" s="175" t="s">
        <v>57</v>
      </c>
      <c r="L714" s="172" t="s">
        <v>56</v>
      </c>
    </row>
    <row r="715" spans="1:12" x14ac:dyDescent="0.2">
      <c r="A715" s="172" t="s">
        <v>12</v>
      </c>
      <c r="B715" s="172" t="s">
        <v>13</v>
      </c>
      <c r="C715" s="172" t="s">
        <v>14</v>
      </c>
      <c r="D715" s="172" t="s">
        <v>15</v>
      </c>
      <c r="E715" s="173">
        <v>41921</v>
      </c>
      <c r="F715" s="176">
        <v>6219.0546000000004</v>
      </c>
      <c r="G715" s="175" t="s">
        <v>19</v>
      </c>
      <c r="H715" s="172" t="s">
        <v>17</v>
      </c>
      <c r="I715" s="175">
        <v>1</v>
      </c>
      <c r="J715" s="175" t="s">
        <v>18</v>
      </c>
      <c r="K715" s="175" t="s">
        <v>57</v>
      </c>
      <c r="L715" s="172" t="s">
        <v>56</v>
      </c>
    </row>
    <row r="716" spans="1:12" x14ac:dyDescent="0.2">
      <c r="A716" s="172" t="s">
        <v>12</v>
      </c>
      <c r="B716" s="172" t="s">
        <v>13</v>
      </c>
      <c r="C716" s="172" t="s">
        <v>14</v>
      </c>
      <c r="D716" s="172" t="s">
        <v>15</v>
      </c>
      <c r="E716" s="173">
        <v>41921</v>
      </c>
      <c r="F716" s="174">
        <v>28.2</v>
      </c>
      <c r="G716" s="175" t="s">
        <v>16</v>
      </c>
      <c r="H716" s="172" t="s">
        <v>20</v>
      </c>
      <c r="I716" s="175">
        <v>1</v>
      </c>
      <c r="J716" s="175" t="s">
        <v>18</v>
      </c>
      <c r="K716" s="175" t="s">
        <v>57</v>
      </c>
      <c r="L716" s="172" t="s">
        <v>56</v>
      </c>
    </row>
    <row r="717" spans="1:12" x14ac:dyDescent="0.2">
      <c r="A717" s="172" t="s">
        <v>12</v>
      </c>
      <c r="B717" s="172" t="s">
        <v>13</v>
      </c>
      <c r="C717" s="172" t="s">
        <v>14</v>
      </c>
      <c r="D717" s="172" t="s">
        <v>15</v>
      </c>
      <c r="E717" s="173">
        <v>41921</v>
      </c>
      <c r="F717" s="176">
        <v>5832.6624000000002</v>
      </c>
      <c r="G717" s="175" t="s">
        <v>19</v>
      </c>
      <c r="H717" s="172" t="s">
        <v>20</v>
      </c>
      <c r="I717" s="175">
        <v>1</v>
      </c>
      <c r="J717" s="175" t="s">
        <v>18</v>
      </c>
      <c r="K717" s="175" t="s">
        <v>57</v>
      </c>
      <c r="L717" s="172" t="s">
        <v>56</v>
      </c>
    </row>
    <row r="718" spans="1:12" x14ac:dyDescent="0.2">
      <c r="A718" s="172" t="s">
        <v>12</v>
      </c>
      <c r="B718" s="172" t="s">
        <v>13</v>
      </c>
      <c r="C718" s="172" t="s">
        <v>14</v>
      </c>
      <c r="D718" s="172" t="s">
        <v>15</v>
      </c>
      <c r="E718" s="173">
        <v>41913</v>
      </c>
      <c r="F718" s="174">
        <v>40.72</v>
      </c>
      <c r="G718" s="175" t="s">
        <v>16</v>
      </c>
      <c r="H718" s="172" t="s">
        <v>17</v>
      </c>
      <c r="I718" s="175">
        <v>1</v>
      </c>
      <c r="J718" s="175" t="s">
        <v>18</v>
      </c>
      <c r="K718" s="175" t="s">
        <v>57</v>
      </c>
      <c r="L718" s="172" t="s">
        <v>56</v>
      </c>
    </row>
    <row r="719" spans="1:12" x14ac:dyDescent="0.2">
      <c r="A719" s="172" t="s">
        <v>12</v>
      </c>
      <c r="B719" s="172" t="s">
        <v>13</v>
      </c>
      <c r="C719" s="172" t="s">
        <v>14</v>
      </c>
      <c r="D719" s="172" t="s">
        <v>15</v>
      </c>
      <c r="E719" s="173">
        <v>41913</v>
      </c>
      <c r="F719" s="176">
        <v>7607.4143999999997</v>
      </c>
      <c r="G719" s="175" t="s">
        <v>19</v>
      </c>
      <c r="H719" s="172" t="s">
        <v>17</v>
      </c>
      <c r="I719" s="175">
        <v>1</v>
      </c>
      <c r="J719" s="175" t="s">
        <v>18</v>
      </c>
      <c r="K719" s="175" t="s">
        <v>57</v>
      </c>
      <c r="L719" s="172" t="s">
        <v>56</v>
      </c>
    </row>
    <row r="720" spans="1:12" x14ac:dyDescent="0.2">
      <c r="A720" s="172" t="s">
        <v>12</v>
      </c>
      <c r="B720" s="172" t="s">
        <v>13</v>
      </c>
      <c r="C720" s="172" t="s">
        <v>14</v>
      </c>
      <c r="D720" s="172" t="s">
        <v>15</v>
      </c>
      <c r="E720" s="173">
        <v>41913</v>
      </c>
      <c r="F720" s="174">
        <v>33.4</v>
      </c>
      <c r="G720" s="175" t="s">
        <v>16</v>
      </c>
      <c r="H720" s="172" t="s">
        <v>20</v>
      </c>
      <c r="I720" s="175">
        <v>1</v>
      </c>
      <c r="J720" s="175" t="s">
        <v>18</v>
      </c>
      <c r="K720" s="175" t="s">
        <v>57</v>
      </c>
      <c r="L720" s="172" t="s">
        <v>56</v>
      </c>
    </row>
    <row r="721" spans="1:12" x14ac:dyDescent="0.2">
      <c r="A721" s="172" t="s">
        <v>12</v>
      </c>
      <c r="B721" s="172" t="s">
        <v>13</v>
      </c>
      <c r="C721" s="172" t="s">
        <v>14</v>
      </c>
      <c r="D721" s="172" t="s">
        <v>15</v>
      </c>
      <c r="E721" s="173">
        <v>41913</v>
      </c>
      <c r="F721" s="176">
        <v>6685.3440000000001</v>
      </c>
      <c r="G721" s="175" t="s">
        <v>19</v>
      </c>
      <c r="H721" s="172" t="s">
        <v>20</v>
      </c>
      <c r="I721" s="175">
        <v>1</v>
      </c>
      <c r="J721" s="175" t="s">
        <v>18</v>
      </c>
      <c r="K721" s="175" t="s">
        <v>57</v>
      </c>
      <c r="L721" s="172" t="s">
        <v>56</v>
      </c>
    </row>
    <row r="722" spans="1:12" x14ac:dyDescent="0.2">
      <c r="A722" s="172" t="s">
        <v>12</v>
      </c>
      <c r="B722" s="172" t="s">
        <v>13</v>
      </c>
      <c r="C722" s="172" t="s">
        <v>14</v>
      </c>
      <c r="D722" s="172" t="s">
        <v>15</v>
      </c>
      <c r="E722" s="173">
        <v>41876</v>
      </c>
      <c r="F722" s="174">
        <v>40.284905700000003</v>
      </c>
      <c r="G722" s="175" t="s">
        <v>16</v>
      </c>
      <c r="H722" s="172" t="s">
        <v>17</v>
      </c>
      <c r="I722" s="175">
        <v>1</v>
      </c>
      <c r="J722" s="175" t="s">
        <v>18</v>
      </c>
      <c r="K722" s="175" t="s">
        <v>57</v>
      </c>
      <c r="L722" s="172" t="s">
        <v>56</v>
      </c>
    </row>
    <row r="723" spans="1:12" x14ac:dyDescent="0.2">
      <c r="A723" s="172" t="s">
        <v>12</v>
      </c>
      <c r="B723" s="172" t="s">
        <v>13</v>
      </c>
      <c r="C723" s="172" t="s">
        <v>14</v>
      </c>
      <c r="D723" s="172" t="s">
        <v>15</v>
      </c>
      <c r="E723" s="173">
        <v>41876</v>
      </c>
      <c r="F723" s="176">
        <v>7122.6935999999996</v>
      </c>
      <c r="G723" s="175" t="s">
        <v>19</v>
      </c>
      <c r="H723" s="172" t="s">
        <v>17</v>
      </c>
      <c r="I723" s="175">
        <v>1</v>
      </c>
      <c r="J723" s="175" t="s">
        <v>18</v>
      </c>
      <c r="K723" s="175" t="s">
        <v>57</v>
      </c>
      <c r="L723" s="172" t="s">
        <v>56</v>
      </c>
    </row>
    <row r="724" spans="1:12" x14ac:dyDescent="0.2">
      <c r="A724" s="172" t="s">
        <v>12</v>
      </c>
      <c r="B724" s="172" t="s">
        <v>13</v>
      </c>
      <c r="C724" s="172" t="s">
        <v>14</v>
      </c>
      <c r="D724" s="172" t="s">
        <v>15</v>
      </c>
      <c r="E724" s="173">
        <v>41876</v>
      </c>
      <c r="F724" s="174">
        <v>19.399999999999999</v>
      </c>
      <c r="G724" s="175" t="s">
        <v>16</v>
      </c>
      <c r="H724" s="172" t="s">
        <v>20</v>
      </c>
      <c r="I724" s="175">
        <v>1</v>
      </c>
      <c r="J724" s="175" t="s">
        <v>18</v>
      </c>
      <c r="K724" s="175" t="s">
        <v>57</v>
      </c>
      <c r="L724" s="172" t="s">
        <v>56</v>
      </c>
    </row>
    <row r="725" spans="1:12" x14ac:dyDescent="0.2">
      <c r="A725" s="172" t="s">
        <v>12</v>
      </c>
      <c r="B725" s="172" t="s">
        <v>13</v>
      </c>
      <c r="C725" s="172" t="s">
        <v>14</v>
      </c>
      <c r="D725" s="172" t="s">
        <v>15</v>
      </c>
      <c r="E725" s="173">
        <v>41876</v>
      </c>
      <c r="F725" s="176">
        <v>3575.6916000000001</v>
      </c>
      <c r="G725" s="175" t="s">
        <v>19</v>
      </c>
      <c r="H725" s="172" t="s">
        <v>20</v>
      </c>
      <c r="I725" s="175">
        <v>1</v>
      </c>
      <c r="J725" s="175" t="s">
        <v>18</v>
      </c>
      <c r="K725" s="175" t="s">
        <v>57</v>
      </c>
      <c r="L725" s="172" t="s">
        <v>56</v>
      </c>
    </row>
    <row r="726" spans="1:12" x14ac:dyDescent="0.2">
      <c r="A726" s="172" t="s">
        <v>12</v>
      </c>
      <c r="B726" s="172" t="s">
        <v>13</v>
      </c>
      <c r="C726" s="172" t="s">
        <v>14</v>
      </c>
      <c r="D726" s="172" t="s">
        <v>15</v>
      </c>
      <c r="E726" s="173">
        <v>41869</v>
      </c>
      <c r="F726" s="174">
        <v>48.610276200000001</v>
      </c>
      <c r="G726" s="175" t="s">
        <v>16</v>
      </c>
      <c r="H726" s="172" t="s">
        <v>17</v>
      </c>
      <c r="I726" s="175">
        <v>1</v>
      </c>
      <c r="J726" s="175" t="s">
        <v>18</v>
      </c>
      <c r="K726" s="175" t="s">
        <v>57</v>
      </c>
      <c r="L726" s="172" t="s">
        <v>56</v>
      </c>
    </row>
    <row r="727" spans="1:12" x14ac:dyDescent="0.2">
      <c r="A727" s="172" t="s">
        <v>12</v>
      </c>
      <c r="B727" s="172" t="s">
        <v>13</v>
      </c>
      <c r="C727" s="172" t="s">
        <v>14</v>
      </c>
      <c r="D727" s="172" t="s">
        <v>15</v>
      </c>
      <c r="E727" s="173">
        <v>41869</v>
      </c>
      <c r="F727" s="176">
        <v>8513.6037720000004</v>
      </c>
      <c r="G727" s="175" t="s">
        <v>19</v>
      </c>
      <c r="H727" s="172" t="s">
        <v>17</v>
      </c>
      <c r="I727" s="175">
        <v>1</v>
      </c>
      <c r="J727" s="175" t="s">
        <v>18</v>
      </c>
      <c r="K727" s="175" t="s">
        <v>57</v>
      </c>
      <c r="L727" s="172" t="s">
        <v>56</v>
      </c>
    </row>
    <row r="728" spans="1:12" x14ac:dyDescent="0.2">
      <c r="A728" s="172" t="s">
        <v>12</v>
      </c>
      <c r="B728" s="172" t="s">
        <v>13</v>
      </c>
      <c r="C728" s="172" t="s">
        <v>14</v>
      </c>
      <c r="D728" s="172" t="s">
        <v>15</v>
      </c>
      <c r="E728" s="173">
        <v>41869</v>
      </c>
      <c r="F728" s="174">
        <v>26.036999999999999</v>
      </c>
      <c r="G728" s="175" t="s">
        <v>16</v>
      </c>
      <c r="H728" s="172" t="s">
        <v>20</v>
      </c>
      <c r="I728" s="175">
        <v>1</v>
      </c>
      <c r="J728" s="175" t="s">
        <v>18</v>
      </c>
      <c r="K728" s="175" t="s">
        <v>57</v>
      </c>
      <c r="L728" s="172" t="s">
        <v>56</v>
      </c>
    </row>
    <row r="729" spans="1:12" x14ac:dyDescent="0.2">
      <c r="A729" s="172" t="s">
        <v>12</v>
      </c>
      <c r="B729" s="172" t="s">
        <v>13</v>
      </c>
      <c r="C729" s="172" t="s">
        <v>14</v>
      </c>
      <c r="D729" s="172" t="s">
        <v>15</v>
      </c>
      <c r="E729" s="173">
        <v>41869</v>
      </c>
      <c r="F729" s="176">
        <v>4560.1201799999999</v>
      </c>
      <c r="G729" s="175" t="s">
        <v>19</v>
      </c>
      <c r="H729" s="172" t="s">
        <v>20</v>
      </c>
      <c r="I729" s="175">
        <v>1</v>
      </c>
      <c r="J729" s="175" t="s">
        <v>18</v>
      </c>
      <c r="K729" s="175" t="s">
        <v>57</v>
      </c>
      <c r="L729" s="172" t="s">
        <v>56</v>
      </c>
    </row>
    <row r="730" spans="1:12" x14ac:dyDescent="0.2">
      <c r="A730" s="172" t="s">
        <v>12</v>
      </c>
      <c r="B730" s="172" t="s">
        <v>13</v>
      </c>
      <c r="C730" s="172" t="s">
        <v>14</v>
      </c>
      <c r="D730" s="172" t="s">
        <v>15</v>
      </c>
      <c r="E730" s="173">
        <v>41863</v>
      </c>
      <c r="F730" s="174">
        <v>31.910395999999999</v>
      </c>
      <c r="G730" s="175" t="s">
        <v>16</v>
      </c>
      <c r="H730" s="172" t="s">
        <v>17</v>
      </c>
      <c r="I730" s="175">
        <v>1</v>
      </c>
      <c r="J730" s="175" t="s">
        <v>18</v>
      </c>
      <c r="K730" s="175" t="s">
        <v>57</v>
      </c>
      <c r="L730" s="172" t="s">
        <v>56</v>
      </c>
    </row>
    <row r="731" spans="1:12" x14ac:dyDescent="0.2">
      <c r="A731" s="172" t="s">
        <v>12</v>
      </c>
      <c r="B731" s="172" t="s">
        <v>13</v>
      </c>
      <c r="C731" s="172" t="s">
        <v>14</v>
      </c>
      <c r="D731" s="172" t="s">
        <v>15</v>
      </c>
      <c r="E731" s="173">
        <v>41863</v>
      </c>
      <c r="F731" s="176">
        <v>5375.8806000000004</v>
      </c>
      <c r="G731" s="175" t="s">
        <v>19</v>
      </c>
      <c r="H731" s="172" t="s">
        <v>17</v>
      </c>
      <c r="I731" s="175">
        <v>1</v>
      </c>
      <c r="J731" s="175" t="s">
        <v>18</v>
      </c>
      <c r="K731" s="175" t="s">
        <v>57</v>
      </c>
      <c r="L731" s="172" t="s">
        <v>56</v>
      </c>
    </row>
    <row r="732" spans="1:12" x14ac:dyDescent="0.2">
      <c r="A732" s="172" t="s">
        <v>12</v>
      </c>
      <c r="B732" s="172" t="s">
        <v>13</v>
      </c>
      <c r="C732" s="172" t="s">
        <v>14</v>
      </c>
      <c r="D732" s="172" t="s">
        <v>15</v>
      </c>
      <c r="E732" s="173">
        <v>41863</v>
      </c>
      <c r="F732" s="174">
        <v>36.700000000000003</v>
      </c>
      <c r="G732" s="175" t="s">
        <v>16</v>
      </c>
      <c r="H732" s="172" t="s">
        <v>20</v>
      </c>
      <c r="I732" s="175">
        <v>1</v>
      </c>
      <c r="J732" s="175" t="s">
        <v>18</v>
      </c>
      <c r="K732" s="175" t="s">
        <v>57</v>
      </c>
      <c r="L732" s="172" t="s">
        <v>56</v>
      </c>
    </row>
    <row r="733" spans="1:12" x14ac:dyDescent="0.2">
      <c r="A733" s="172" t="s">
        <v>12</v>
      </c>
      <c r="B733" s="172" t="s">
        <v>13</v>
      </c>
      <c r="C733" s="172" t="s">
        <v>14</v>
      </c>
      <c r="D733" s="172" t="s">
        <v>15</v>
      </c>
      <c r="E733" s="173">
        <v>41863</v>
      </c>
      <c r="F733" s="176">
        <v>6427.6379999999999</v>
      </c>
      <c r="G733" s="175" t="s">
        <v>19</v>
      </c>
      <c r="H733" s="172" t="s">
        <v>20</v>
      </c>
      <c r="I733" s="175">
        <v>1</v>
      </c>
      <c r="J733" s="175" t="s">
        <v>18</v>
      </c>
      <c r="K733" s="175" t="s">
        <v>57</v>
      </c>
      <c r="L733" s="172" t="s">
        <v>56</v>
      </c>
    </row>
    <row r="734" spans="1:12" x14ac:dyDescent="0.2">
      <c r="A734" s="172" t="s">
        <v>12</v>
      </c>
      <c r="B734" s="172" t="s">
        <v>13</v>
      </c>
      <c r="C734" s="172" t="s">
        <v>14</v>
      </c>
      <c r="D734" s="172" t="s">
        <v>15</v>
      </c>
      <c r="E734" s="173">
        <v>41856</v>
      </c>
      <c r="F734" s="174">
        <v>36.592920399999997</v>
      </c>
      <c r="G734" s="175" t="s">
        <v>16</v>
      </c>
      <c r="H734" s="172" t="s">
        <v>17</v>
      </c>
      <c r="I734" s="175">
        <v>1</v>
      </c>
      <c r="J734" s="175" t="s">
        <v>18</v>
      </c>
      <c r="K734" s="175" t="s">
        <v>57</v>
      </c>
      <c r="L734" s="172" t="s">
        <v>56</v>
      </c>
    </row>
    <row r="735" spans="1:12" x14ac:dyDescent="0.2">
      <c r="A735" s="172" t="s">
        <v>12</v>
      </c>
      <c r="B735" s="172" t="s">
        <v>13</v>
      </c>
      <c r="C735" s="172" t="s">
        <v>14</v>
      </c>
      <c r="D735" s="172" t="s">
        <v>15</v>
      </c>
      <c r="E735" s="173">
        <v>41856</v>
      </c>
      <c r="F735" s="176">
        <v>6897.18</v>
      </c>
      <c r="G735" s="175" t="s">
        <v>19</v>
      </c>
      <c r="H735" s="172" t="s">
        <v>17</v>
      </c>
      <c r="I735" s="175">
        <v>1</v>
      </c>
      <c r="J735" s="175" t="s">
        <v>18</v>
      </c>
      <c r="K735" s="175" t="s">
        <v>57</v>
      </c>
      <c r="L735" s="172" t="s">
        <v>56</v>
      </c>
    </row>
    <row r="736" spans="1:12" x14ac:dyDescent="0.2">
      <c r="A736" s="172" t="s">
        <v>12</v>
      </c>
      <c r="B736" s="172" t="s">
        <v>13</v>
      </c>
      <c r="C736" s="172" t="s">
        <v>14</v>
      </c>
      <c r="D736" s="172" t="s">
        <v>15</v>
      </c>
      <c r="E736" s="173">
        <v>41856</v>
      </c>
      <c r="F736" s="174">
        <v>30.7</v>
      </c>
      <c r="G736" s="175" t="s">
        <v>16</v>
      </c>
      <c r="H736" s="172" t="s">
        <v>20</v>
      </c>
      <c r="I736" s="175">
        <v>1</v>
      </c>
      <c r="J736" s="175" t="s">
        <v>18</v>
      </c>
      <c r="K736" s="175" t="s">
        <v>57</v>
      </c>
      <c r="L736" s="172" t="s">
        <v>56</v>
      </c>
    </row>
    <row r="737" spans="1:12" x14ac:dyDescent="0.2">
      <c r="A737" s="172" t="s">
        <v>12</v>
      </c>
      <c r="B737" s="172" t="s">
        <v>13</v>
      </c>
      <c r="C737" s="172" t="s">
        <v>14</v>
      </c>
      <c r="D737" s="172" t="s">
        <v>15</v>
      </c>
      <c r="E737" s="173">
        <v>41856</v>
      </c>
      <c r="F737" s="176">
        <v>5837.6664000000001</v>
      </c>
      <c r="G737" s="175" t="s">
        <v>19</v>
      </c>
      <c r="H737" s="172" t="s">
        <v>20</v>
      </c>
      <c r="I737" s="175">
        <v>1</v>
      </c>
      <c r="J737" s="175" t="s">
        <v>18</v>
      </c>
      <c r="K737" s="175" t="s">
        <v>57</v>
      </c>
      <c r="L737" s="172" t="s">
        <v>56</v>
      </c>
    </row>
    <row r="738" spans="1:12" x14ac:dyDescent="0.2">
      <c r="A738" s="172" t="s">
        <v>12</v>
      </c>
      <c r="B738" s="172" t="s">
        <v>13</v>
      </c>
      <c r="C738" s="172" t="s">
        <v>21</v>
      </c>
      <c r="D738" s="172" t="s">
        <v>15</v>
      </c>
      <c r="E738" s="173">
        <v>43216</v>
      </c>
      <c r="F738" s="174">
        <v>3.2291249999999998</v>
      </c>
      <c r="G738" s="175" t="s">
        <v>16</v>
      </c>
      <c r="H738" s="172" t="s">
        <v>17</v>
      </c>
      <c r="I738" s="175">
        <v>1</v>
      </c>
      <c r="J738" s="175" t="s">
        <v>18</v>
      </c>
      <c r="K738" s="175" t="s">
        <v>57</v>
      </c>
      <c r="L738" s="172" t="s">
        <v>56</v>
      </c>
    </row>
    <row r="739" spans="1:12" x14ac:dyDescent="0.2">
      <c r="A739" s="172" t="s">
        <v>12</v>
      </c>
      <c r="B739" s="172" t="s">
        <v>13</v>
      </c>
      <c r="C739" s="172" t="s">
        <v>21</v>
      </c>
      <c r="D739" s="172" t="s">
        <v>15</v>
      </c>
      <c r="E739" s="173">
        <v>43216</v>
      </c>
      <c r="F739" s="174">
        <v>646.34166000000005</v>
      </c>
      <c r="G739" s="175" t="s">
        <v>19</v>
      </c>
      <c r="H739" s="172" t="s">
        <v>17</v>
      </c>
      <c r="I739" s="175">
        <v>1</v>
      </c>
      <c r="J739" s="175" t="s">
        <v>18</v>
      </c>
      <c r="K739" s="175" t="s">
        <v>57</v>
      </c>
      <c r="L739" s="172" t="s">
        <v>56</v>
      </c>
    </row>
    <row r="740" spans="1:12" x14ac:dyDescent="0.2">
      <c r="A740" s="172" t="s">
        <v>12</v>
      </c>
      <c r="B740" s="172" t="s">
        <v>13</v>
      </c>
      <c r="C740" s="172" t="s">
        <v>21</v>
      </c>
      <c r="D740" s="172" t="s">
        <v>15</v>
      </c>
      <c r="E740" s="173">
        <v>43216</v>
      </c>
      <c r="F740" s="174">
        <v>2.04</v>
      </c>
      <c r="G740" s="175" t="s">
        <v>16</v>
      </c>
      <c r="H740" s="172" t="s">
        <v>20</v>
      </c>
      <c r="I740" s="175">
        <v>1</v>
      </c>
      <c r="J740" s="175" t="s">
        <v>18</v>
      </c>
      <c r="K740" s="175" t="s">
        <v>57</v>
      </c>
      <c r="L740" s="172" t="s">
        <v>56</v>
      </c>
    </row>
    <row r="741" spans="1:12" x14ac:dyDescent="0.2">
      <c r="A741" s="172" t="s">
        <v>12</v>
      </c>
      <c r="B741" s="172" t="s">
        <v>13</v>
      </c>
      <c r="C741" s="172" t="s">
        <v>21</v>
      </c>
      <c r="D741" s="172" t="s">
        <v>15</v>
      </c>
      <c r="E741" s="173">
        <v>43216</v>
      </c>
      <c r="F741" s="174">
        <v>467.87400000000002</v>
      </c>
      <c r="G741" s="175" t="s">
        <v>19</v>
      </c>
      <c r="H741" s="172" t="s">
        <v>20</v>
      </c>
      <c r="I741" s="175">
        <v>1</v>
      </c>
      <c r="J741" s="175" t="s">
        <v>18</v>
      </c>
      <c r="K741" s="175" t="s">
        <v>57</v>
      </c>
      <c r="L741" s="172" t="s">
        <v>56</v>
      </c>
    </row>
    <row r="742" spans="1:12" x14ac:dyDescent="0.2">
      <c r="A742" s="172" t="s">
        <v>12</v>
      </c>
      <c r="B742" s="172" t="s">
        <v>13</v>
      </c>
      <c r="C742" s="172" t="s">
        <v>21</v>
      </c>
      <c r="D742" s="172" t="s">
        <v>15</v>
      </c>
      <c r="E742" s="173">
        <v>43209</v>
      </c>
      <c r="F742" s="174">
        <v>3.4884251000000002</v>
      </c>
      <c r="G742" s="175" t="s">
        <v>16</v>
      </c>
      <c r="H742" s="172" t="s">
        <v>17</v>
      </c>
      <c r="I742" s="175">
        <v>1</v>
      </c>
      <c r="J742" s="175" t="s">
        <v>18</v>
      </c>
      <c r="K742" s="175" t="s">
        <v>57</v>
      </c>
      <c r="L742" s="172" t="s">
        <v>56</v>
      </c>
    </row>
    <row r="743" spans="1:12" x14ac:dyDescent="0.2">
      <c r="A743" s="172" t="s">
        <v>12</v>
      </c>
      <c r="B743" s="172" t="s">
        <v>13</v>
      </c>
      <c r="C743" s="172" t="s">
        <v>21</v>
      </c>
      <c r="D743" s="172" t="s">
        <v>15</v>
      </c>
      <c r="E743" s="173">
        <v>43209</v>
      </c>
      <c r="F743" s="174">
        <v>738.97403999999995</v>
      </c>
      <c r="G743" s="175" t="s">
        <v>19</v>
      </c>
      <c r="H743" s="172" t="s">
        <v>17</v>
      </c>
      <c r="I743" s="175">
        <v>1</v>
      </c>
      <c r="J743" s="175" t="s">
        <v>18</v>
      </c>
      <c r="K743" s="175" t="s">
        <v>57</v>
      </c>
      <c r="L743" s="172" t="s">
        <v>56</v>
      </c>
    </row>
    <row r="744" spans="1:12" x14ac:dyDescent="0.2">
      <c r="A744" s="172" t="s">
        <v>12</v>
      </c>
      <c r="B744" s="172" t="s">
        <v>13</v>
      </c>
      <c r="C744" s="172" t="s">
        <v>21</v>
      </c>
      <c r="D744" s="172" t="s">
        <v>15</v>
      </c>
      <c r="E744" s="173">
        <v>43209</v>
      </c>
      <c r="F744" s="174">
        <v>2.11</v>
      </c>
      <c r="G744" s="175" t="s">
        <v>16</v>
      </c>
      <c r="H744" s="172" t="s">
        <v>20</v>
      </c>
      <c r="I744" s="175">
        <v>1</v>
      </c>
      <c r="J744" s="175" t="s">
        <v>18</v>
      </c>
      <c r="K744" s="175" t="s">
        <v>57</v>
      </c>
      <c r="L744" s="172" t="s">
        <v>56</v>
      </c>
    </row>
    <row r="745" spans="1:12" x14ac:dyDescent="0.2">
      <c r="A745" s="172" t="s">
        <v>12</v>
      </c>
      <c r="B745" s="172" t="s">
        <v>13</v>
      </c>
      <c r="C745" s="172" t="s">
        <v>21</v>
      </c>
      <c r="D745" s="172" t="s">
        <v>15</v>
      </c>
      <c r="E745" s="173">
        <v>43209</v>
      </c>
      <c r="F745" s="174">
        <v>501.52589999999998</v>
      </c>
      <c r="G745" s="175" t="s">
        <v>19</v>
      </c>
      <c r="H745" s="172" t="s">
        <v>20</v>
      </c>
      <c r="I745" s="175">
        <v>1</v>
      </c>
      <c r="J745" s="175" t="s">
        <v>18</v>
      </c>
      <c r="K745" s="175" t="s">
        <v>57</v>
      </c>
      <c r="L745" s="172" t="s">
        <v>56</v>
      </c>
    </row>
    <row r="746" spans="1:12" x14ac:dyDescent="0.2">
      <c r="A746" s="172" t="s">
        <v>12</v>
      </c>
      <c r="B746" s="172" t="s">
        <v>13</v>
      </c>
      <c r="C746" s="172" t="s">
        <v>21</v>
      </c>
      <c r="D746" s="172" t="s">
        <v>15</v>
      </c>
      <c r="E746" s="173">
        <v>43198</v>
      </c>
      <c r="F746" s="174">
        <v>3.4971399000000001</v>
      </c>
      <c r="G746" s="175" t="s">
        <v>16</v>
      </c>
      <c r="H746" s="172" t="s">
        <v>17</v>
      </c>
      <c r="I746" s="175">
        <v>1</v>
      </c>
      <c r="J746" s="175" t="s">
        <v>18</v>
      </c>
      <c r="K746" s="175" t="s">
        <v>57</v>
      </c>
      <c r="L746" s="172" t="s">
        <v>56</v>
      </c>
    </row>
    <row r="747" spans="1:12" x14ac:dyDescent="0.2">
      <c r="A747" s="172" t="s">
        <v>12</v>
      </c>
      <c r="B747" s="172" t="s">
        <v>13</v>
      </c>
      <c r="C747" s="172" t="s">
        <v>21</v>
      </c>
      <c r="D747" s="172" t="s">
        <v>15</v>
      </c>
      <c r="E747" s="173">
        <v>43198</v>
      </c>
      <c r="F747" s="174">
        <v>718.94552999999996</v>
      </c>
      <c r="G747" s="175" t="s">
        <v>19</v>
      </c>
      <c r="H747" s="172" t="s">
        <v>17</v>
      </c>
      <c r="I747" s="175">
        <v>1</v>
      </c>
      <c r="J747" s="175" t="s">
        <v>18</v>
      </c>
      <c r="K747" s="175" t="s">
        <v>57</v>
      </c>
      <c r="L747" s="172" t="s">
        <v>56</v>
      </c>
    </row>
    <row r="748" spans="1:12" x14ac:dyDescent="0.2">
      <c r="A748" s="172" t="s">
        <v>12</v>
      </c>
      <c r="B748" s="172" t="s">
        <v>13</v>
      </c>
      <c r="C748" s="172" t="s">
        <v>21</v>
      </c>
      <c r="D748" s="172" t="s">
        <v>15</v>
      </c>
      <c r="E748" s="173">
        <v>43198</v>
      </c>
      <c r="F748" s="174">
        <v>0.223</v>
      </c>
      <c r="G748" s="175" t="s">
        <v>16</v>
      </c>
      <c r="H748" s="172" t="s">
        <v>20</v>
      </c>
      <c r="I748" s="175">
        <v>1</v>
      </c>
      <c r="J748" s="175" t="s">
        <v>18</v>
      </c>
      <c r="K748" s="175" t="s">
        <v>57</v>
      </c>
      <c r="L748" s="172" t="s">
        <v>56</v>
      </c>
    </row>
    <row r="749" spans="1:12" x14ac:dyDescent="0.2">
      <c r="A749" s="172" t="s">
        <v>12</v>
      </c>
      <c r="B749" s="172" t="s">
        <v>13</v>
      </c>
      <c r="C749" s="172" t="s">
        <v>21</v>
      </c>
      <c r="D749" s="172" t="s">
        <v>15</v>
      </c>
      <c r="E749" s="173">
        <v>43198</v>
      </c>
      <c r="F749" s="174">
        <v>52.446924000000003</v>
      </c>
      <c r="G749" s="175" t="s">
        <v>19</v>
      </c>
      <c r="H749" s="172" t="s">
        <v>20</v>
      </c>
      <c r="I749" s="175">
        <v>1</v>
      </c>
      <c r="J749" s="175" t="s">
        <v>18</v>
      </c>
      <c r="K749" s="175" t="s">
        <v>57</v>
      </c>
      <c r="L749" s="172" t="s">
        <v>56</v>
      </c>
    </row>
    <row r="750" spans="1:12" x14ac:dyDescent="0.2">
      <c r="A750" s="172" t="s">
        <v>12</v>
      </c>
      <c r="B750" s="172" t="s">
        <v>13</v>
      </c>
      <c r="C750" s="172" t="s">
        <v>21</v>
      </c>
      <c r="D750" s="172" t="s">
        <v>15</v>
      </c>
      <c r="E750" s="173">
        <v>43195</v>
      </c>
      <c r="F750" s="174">
        <v>2.9556273000000002</v>
      </c>
      <c r="G750" s="175" t="s">
        <v>16</v>
      </c>
      <c r="H750" s="172" t="s">
        <v>17</v>
      </c>
      <c r="I750" s="175">
        <v>1</v>
      </c>
      <c r="J750" s="175" t="s">
        <v>18</v>
      </c>
      <c r="K750" s="175" t="s">
        <v>57</v>
      </c>
      <c r="L750" s="172" t="s">
        <v>56</v>
      </c>
    </row>
    <row r="751" spans="1:12" x14ac:dyDescent="0.2">
      <c r="A751" s="172" t="s">
        <v>12</v>
      </c>
      <c r="B751" s="172" t="s">
        <v>13</v>
      </c>
      <c r="C751" s="172" t="s">
        <v>21</v>
      </c>
      <c r="D751" s="172" t="s">
        <v>15</v>
      </c>
      <c r="E751" s="173">
        <v>43195</v>
      </c>
      <c r="F751" s="174">
        <v>648.29322000000002</v>
      </c>
      <c r="G751" s="175" t="s">
        <v>19</v>
      </c>
      <c r="H751" s="172" t="s">
        <v>17</v>
      </c>
      <c r="I751" s="175">
        <v>1</v>
      </c>
      <c r="J751" s="175" t="s">
        <v>18</v>
      </c>
      <c r="K751" s="175" t="s">
        <v>57</v>
      </c>
      <c r="L751" s="172" t="s">
        <v>56</v>
      </c>
    </row>
    <row r="752" spans="1:12" x14ac:dyDescent="0.2">
      <c r="A752" s="172" t="s">
        <v>12</v>
      </c>
      <c r="B752" s="172" t="s">
        <v>13</v>
      </c>
      <c r="C752" s="172" t="s">
        <v>21</v>
      </c>
      <c r="D752" s="172" t="s">
        <v>15</v>
      </c>
      <c r="E752" s="173">
        <v>43195</v>
      </c>
      <c r="F752" s="174">
        <v>1.1399999999999999</v>
      </c>
      <c r="G752" s="175" t="s">
        <v>16</v>
      </c>
      <c r="H752" s="172" t="s">
        <v>20</v>
      </c>
      <c r="I752" s="175">
        <v>1</v>
      </c>
      <c r="J752" s="175" t="s">
        <v>18</v>
      </c>
      <c r="K752" s="175" t="s">
        <v>57</v>
      </c>
      <c r="L752" s="172" t="s">
        <v>56</v>
      </c>
    </row>
    <row r="753" spans="1:12" x14ac:dyDescent="0.2">
      <c r="A753" s="172" t="s">
        <v>12</v>
      </c>
      <c r="B753" s="172" t="s">
        <v>13</v>
      </c>
      <c r="C753" s="172" t="s">
        <v>21</v>
      </c>
      <c r="D753" s="172" t="s">
        <v>15</v>
      </c>
      <c r="E753" s="173">
        <v>43195</v>
      </c>
      <c r="F753" s="174">
        <v>284.27724000000001</v>
      </c>
      <c r="G753" s="175" t="s">
        <v>19</v>
      </c>
      <c r="H753" s="172" t="s">
        <v>20</v>
      </c>
      <c r="I753" s="175">
        <v>1</v>
      </c>
      <c r="J753" s="175" t="s">
        <v>18</v>
      </c>
      <c r="K753" s="175" t="s">
        <v>57</v>
      </c>
      <c r="L753" s="172" t="s">
        <v>56</v>
      </c>
    </row>
    <row r="754" spans="1:12" x14ac:dyDescent="0.2">
      <c r="A754" s="172" t="s">
        <v>12</v>
      </c>
      <c r="B754" s="172" t="s">
        <v>13</v>
      </c>
      <c r="C754" s="172" t="s">
        <v>21</v>
      </c>
      <c r="D754" s="172" t="s">
        <v>15</v>
      </c>
      <c r="E754" s="173">
        <v>43185</v>
      </c>
      <c r="F754" s="174">
        <v>4.2456690000000004</v>
      </c>
      <c r="G754" s="175" t="s">
        <v>16</v>
      </c>
      <c r="H754" s="172" t="s">
        <v>17</v>
      </c>
      <c r="I754" s="175">
        <v>1</v>
      </c>
      <c r="J754" s="175" t="s">
        <v>18</v>
      </c>
      <c r="K754" s="175" t="s">
        <v>57</v>
      </c>
      <c r="L754" s="172" t="s">
        <v>56</v>
      </c>
    </row>
    <row r="755" spans="1:12" x14ac:dyDescent="0.2">
      <c r="A755" s="172" t="s">
        <v>12</v>
      </c>
      <c r="B755" s="172" t="s">
        <v>13</v>
      </c>
      <c r="C755" s="172" t="s">
        <v>21</v>
      </c>
      <c r="D755" s="172" t="s">
        <v>15</v>
      </c>
      <c r="E755" s="173">
        <v>43185</v>
      </c>
      <c r="F755" s="174">
        <v>1005.61218</v>
      </c>
      <c r="G755" s="175" t="s">
        <v>19</v>
      </c>
      <c r="H755" s="172" t="s">
        <v>17</v>
      </c>
      <c r="I755" s="175">
        <v>1</v>
      </c>
      <c r="J755" s="175" t="s">
        <v>18</v>
      </c>
      <c r="K755" s="175" t="s">
        <v>57</v>
      </c>
      <c r="L755" s="172" t="s">
        <v>56</v>
      </c>
    </row>
    <row r="756" spans="1:12" x14ac:dyDescent="0.2">
      <c r="A756" s="172" t="s">
        <v>12</v>
      </c>
      <c r="B756" s="172" t="s">
        <v>13</v>
      </c>
      <c r="C756" s="172" t="s">
        <v>21</v>
      </c>
      <c r="D756" s="172" t="s">
        <v>15</v>
      </c>
      <c r="E756" s="173">
        <v>43185</v>
      </c>
      <c r="F756" s="174">
        <v>2.64</v>
      </c>
      <c r="G756" s="175" t="s">
        <v>16</v>
      </c>
      <c r="H756" s="172" t="s">
        <v>20</v>
      </c>
      <c r="I756" s="175">
        <v>1</v>
      </c>
      <c r="J756" s="175" t="s">
        <v>18</v>
      </c>
      <c r="K756" s="175" t="s">
        <v>57</v>
      </c>
      <c r="L756" s="172" t="s">
        <v>56</v>
      </c>
    </row>
    <row r="757" spans="1:12" x14ac:dyDescent="0.2">
      <c r="A757" s="172" t="s">
        <v>12</v>
      </c>
      <c r="B757" s="172" t="s">
        <v>13</v>
      </c>
      <c r="C757" s="172" t="s">
        <v>21</v>
      </c>
      <c r="D757" s="172" t="s">
        <v>15</v>
      </c>
      <c r="E757" s="173">
        <v>43185</v>
      </c>
      <c r="F757" s="174">
        <v>642.91391999999996</v>
      </c>
      <c r="G757" s="175" t="s">
        <v>19</v>
      </c>
      <c r="H757" s="172" t="s">
        <v>20</v>
      </c>
      <c r="I757" s="175">
        <v>1</v>
      </c>
      <c r="J757" s="175" t="s">
        <v>18</v>
      </c>
      <c r="K757" s="175" t="s">
        <v>57</v>
      </c>
      <c r="L757" s="172" t="s">
        <v>56</v>
      </c>
    </row>
    <row r="758" spans="1:12" x14ac:dyDescent="0.2">
      <c r="A758" s="172" t="s">
        <v>12</v>
      </c>
      <c r="B758" s="172" t="s">
        <v>13</v>
      </c>
      <c r="C758" s="172" t="s">
        <v>21</v>
      </c>
      <c r="D758" s="172" t="s">
        <v>15</v>
      </c>
      <c r="E758" s="173">
        <v>43181</v>
      </c>
      <c r="F758" s="174">
        <v>5.3111385999999996</v>
      </c>
      <c r="G758" s="175" t="s">
        <v>16</v>
      </c>
      <c r="H758" s="172" t="s">
        <v>17</v>
      </c>
      <c r="I758" s="175">
        <v>1</v>
      </c>
      <c r="J758" s="175" t="s">
        <v>18</v>
      </c>
      <c r="K758" s="175" t="s">
        <v>57</v>
      </c>
      <c r="L758" s="172" t="s">
        <v>56</v>
      </c>
    </row>
    <row r="759" spans="1:12" x14ac:dyDescent="0.2">
      <c r="A759" s="172" t="s">
        <v>12</v>
      </c>
      <c r="B759" s="172" t="s">
        <v>13</v>
      </c>
      <c r="C759" s="172" t="s">
        <v>21</v>
      </c>
      <c r="D759" s="172" t="s">
        <v>15</v>
      </c>
      <c r="E759" s="173">
        <v>43181</v>
      </c>
      <c r="F759" s="174">
        <v>894.75689999999997</v>
      </c>
      <c r="G759" s="175" t="s">
        <v>19</v>
      </c>
      <c r="H759" s="172" t="s">
        <v>17</v>
      </c>
      <c r="I759" s="175">
        <v>1</v>
      </c>
      <c r="J759" s="175" t="s">
        <v>18</v>
      </c>
      <c r="K759" s="175" t="s">
        <v>57</v>
      </c>
      <c r="L759" s="172" t="s">
        <v>56</v>
      </c>
    </row>
    <row r="760" spans="1:12" x14ac:dyDescent="0.2">
      <c r="A760" s="172" t="s">
        <v>12</v>
      </c>
      <c r="B760" s="172" t="s">
        <v>13</v>
      </c>
      <c r="C760" s="172" t="s">
        <v>21</v>
      </c>
      <c r="D760" s="172" t="s">
        <v>15</v>
      </c>
      <c r="E760" s="173">
        <v>43181</v>
      </c>
      <c r="F760" s="174">
        <v>1.22</v>
      </c>
      <c r="G760" s="175" t="s">
        <v>16</v>
      </c>
      <c r="H760" s="172" t="s">
        <v>20</v>
      </c>
      <c r="I760" s="175">
        <v>1</v>
      </c>
      <c r="J760" s="175" t="s">
        <v>18</v>
      </c>
      <c r="K760" s="175" t="s">
        <v>57</v>
      </c>
      <c r="L760" s="172" t="s">
        <v>56</v>
      </c>
    </row>
    <row r="761" spans="1:12" x14ac:dyDescent="0.2">
      <c r="A761" s="172" t="s">
        <v>12</v>
      </c>
      <c r="B761" s="172" t="s">
        <v>13</v>
      </c>
      <c r="C761" s="172" t="s">
        <v>21</v>
      </c>
      <c r="D761" s="172" t="s">
        <v>15</v>
      </c>
      <c r="E761" s="173">
        <v>43181</v>
      </c>
      <c r="F761" s="174">
        <v>237.07284000000001</v>
      </c>
      <c r="G761" s="175" t="s">
        <v>19</v>
      </c>
      <c r="H761" s="172" t="s">
        <v>20</v>
      </c>
      <c r="I761" s="175">
        <v>1</v>
      </c>
      <c r="J761" s="175" t="s">
        <v>18</v>
      </c>
      <c r="K761" s="175" t="s">
        <v>57</v>
      </c>
      <c r="L761" s="172" t="s">
        <v>56</v>
      </c>
    </row>
    <row r="762" spans="1:12" x14ac:dyDescent="0.2">
      <c r="A762" s="172" t="s">
        <v>12</v>
      </c>
      <c r="B762" s="172" t="s">
        <v>13</v>
      </c>
      <c r="C762" s="172" t="s">
        <v>21</v>
      </c>
      <c r="D762" s="172" t="s">
        <v>15</v>
      </c>
      <c r="E762" s="173">
        <v>43172</v>
      </c>
      <c r="F762" s="174">
        <v>5.9153190999999996</v>
      </c>
      <c r="G762" s="175" t="s">
        <v>16</v>
      </c>
      <c r="H762" s="172" t="s">
        <v>17</v>
      </c>
      <c r="I762" s="175">
        <v>1</v>
      </c>
      <c r="J762" s="175" t="s">
        <v>18</v>
      </c>
      <c r="K762" s="175" t="s">
        <v>57</v>
      </c>
      <c r="L762" s="172" t="s">
        <v>56</v>
      </c>
    </row>
    <row r="763" spans="1:12" x14ac:dyDescent="0.2">
      <c r="A763" s="172" t="s">
        <v>12</v>
      </c>
      <c r="B763" s="172" t="s">
        <v>13</v>
      </c>
      <c r="C763" s="172" t="s">
        <v>21</v>
      </c>
      <c r="D763" s="172" t="s">
        <v>15</v>
      </c>
      <c r="E763" s="173">
        <v>43172</v>
      </c>
      <c r="F763" s="174">
        <v>1159.3434</v>
      </c>
      <c r="G763" s="175" t="s">
        <v>19</v>
      </c>
      <c r="H763" s="172" t="s">
        <v>17</v>
      </c>
      <c r="I763" s="175">
        <v>1</v>
      </c>
      <c r="J763" s="175" t="s">
        <v>18</v>
      </c>
      <c r="K763" s="175" t="s">
        <v>57</v>
      </c>
      <c r="L763" s="172" t="s">
        <v>56</v>
      </c>
    </row>
    <row r="764" spans="1:12" x14ac:dyDescent="0.2">
      <c r="A764" s="172" t="s">
        <v>12</v>
      </c>
      <c r="B764" s="172" t="s">
        <v>13</v>
      </c>
      <c r="C764" s="172" t="s">
        <v>21</v>
      </c>
      <c r="D764" s="172" t="s">
        <v>15</v>
      </c>
      <c r="E764" s="173">
        <v>43172</v>
      </c>
      <c r="F764" s="174">
        <v>1.68</v>
      </c>
      <c r="G764" s="175" t="s">
        <v>16</v>
      </c>
      <c r="H764" s="172" t="s">
        <v>20</v>
      </c>
      <c r="I764" s="175">
        <v>1</v>
      </c>
      <c r="J764" s="175" t="s">
        <v>18</v>
      </c>
      <c r="K764" s="175" t="s">
        <v>57</v>
      </c>
      <c r="L764" s="172" t="s">
        <v>56</v>
      </c>
    </row>
    <row r="765" spans="1:12" x14ac:dyDescent="0.2">
      <c r="A765" s="172" t="s">
        <v>12</v>
      </c>
      <c r="B765" s="172" t="s">
        <v>13</v>
      </c>
      <c r="C765" s="172" t="s">
        <v>21</v>
      </c>
      <c r="D765" s="172" t="s">
        <v>15</v>
      </c>
      <c r="E765" s="173">
        <v>43172</v>
      </c>
      <c r="F765" s="174">
        <v>376.90127999999999</v>
      </c>
      <c r="G765" s="175" t="s">
        <v>19</v>
      </c>
      <c r="H765" s="172" t="s">
        <v>20</v>
      </c>
      <c r="I765" s="175">
        <v>1</v>
      </c>
      <c r="J765" s="175" t="s">
        <v>18</v>
      </c>
      <c r="K765" s="175" t="s">
        <v>57</v>
      </c>
      <c r="L765" s="172" t="s">
        <v>56</v>
      </c>
    </row>
    <row r="766" spans="1:12" x14ac:dyDescent="0.2">
      <c r="A766" s="172" t="s">
        <v>12</v>
      </c>
      <c r="B766" s="172" t="s">
        <v>13</v>
      </c>
      <c r="C766" s="172" t="s">
        <v>21</v>
      </c>
      <c r="D766" s="172" t="s">
        <v>15</v>
      </c>
      <c r="E766" s="173">
        <v>43164</v>
      </c>
      <c r="F766" s="174">
        <v>2.7522555999999998</v>
      </c>
      <c r="G766" s="175" t="s">
        <v>16</v>
      </c>
      <c r="H766" s="172" t="s">
        <v>17</v>
      </c>
      <c r="I766" s="175">
        <v>1</v>
      </c>
      <c r="J766" s="175" t="s">
        <v>18</v>
      </c>
      <c r="K766" s="175" t="s">
        <v>57</v>
      </c>
      <c r="L766" s="172" t="s">
        <v>56</v>
      </c>
    </row>
    <row r="767" spans="1:12" x14ac:dyDescent="0.2">
      <c r="A767" s="172" t="s">
        <v>12</v>
      </c>
      <c r="B767" s="172" t="s">
        <v>13</v>
      </c>
      <c r="C767" s="172" t="s">
        <v>21</v>
      </c>
      <c r="D767" s="172" t="s">
        <v>15</v>
      </c>
      <c r="E767" s="173">
        <v>43164</v>
      </c>
      <c r="F767" s="174">
        <v>915.85709999999995</v>
      </c>
      <c r="G767" s="175" t="s">
        <v>19</v>
      </c>
      <c r="H767" s="172" t="s">
        <v>17</v>
      </c>
      <c r="I767" s="175">
        <v>1</v>
      </c>
      <c r="J767" s="175" t="s">
        <v>18</v>
      </c>
      <c r="K767" s="175" t="s">
        <v>57</v>
      </c>
      <c r="L767" s="172" t="s">
        <v>56</v>
      </c>
    </row>
    <row r="768" spans="1:12" x14ac:dyDescent="0.2">
      <c r="A768" s="172" t="s">
        <v>12</v>
      </c>
      <c r="B768" s="172" t="s">
        <v>13</v>
      </c>
      <c r="C768" s="172" t="s">
        <v>21</v>
      </c>
      <c r="D768" s="172" t="s">
        <v>15</v>
      </c>
      <c r="E768" s="173">
        <v>43164</v>
      </c>
      <c r="F768" s="174">
        <v>0.57599999999999996</v>
      </c>
      <c r="G768" s="175" t="s">
        <v>16</v>
      </c>
      <c r="H768" s="172" t="s">
        <v>20</v>
      </c>
      <c r="I768" s="175">
        <v>1</v>
      </c>
      <c r="J768" s="175" t="s">
        <v>18</v>
      </c>
      <c r="K768" s="175" t="s">
        <v>57</v>
      </c>
      <c r="L768" s="172" t="s">
        <v>56</v>
      </c>
    </row>
    <row r="769" spans="1:12" x14ac:dyDescent="0.2">
      <c r="A769" s="172" t="s">
        <v>12</v>
      </c>
      <c r="B769" s="172" t="s">
        <v>13</v>
      </c>
      <c r="C769" s="172" t="s">
        <v>21</v>
      </c>
      <c r="D769" s="172" t="s">
        <v>15</v>
      </c>
      <c r="E769" s="173">
        <v>43164</v>
      </c>
      <c r="F769" s="174">
        <v>184.467456</v>
      </c>
      <c r="G769" s="175" t="s">
        <v>19</v>
      </c>
      <c r="H769" s="172" t="s">
        <v>20</v>
      </c>
      <c r="I769" s="175">
        <v>1</v>
      </c>
      <c r="J769" s="175" t="s">
        <v>18</v>
      </c>
      <c r="K769" s="175" t="s">
        <v>57</v>
      </c>
      <c r="L769" s="172" t="s">
        <v>56</v>
      </c>
    </row>
    <row r="770" spans="1:12" x14ac:dyDescent="0.2">
      <c r="A770" s="172" t="s">
        <v>12</v>
      </c>
      <c r="B770" s="172" t="s">
        <v>13</v>
      </c>
      <c r="C770" s="172" t="s">
        <v>21</v>
      </c>
      <c r="D770" s="172" t="s">
        <v>15</v>
      </c>
      <c r="E770" s="173">
        <v>43158</v>
      </c>
      <c r="F770" s="174">
        <v>3.7738109999999998</v>
      </c>
      <c r="G770" s="175" t="s">
        <v>16</v>
      </c>
      <c r="H770" s="172" t="s">
        <v>17</v>
      </c>
      <c r="I770" s="175">
        <v>1</v>
      </c>
      <c r="J770" s="175" t="s">
        <v>18</v>
      </c>
      <c r="K770" s="175" t="s">
        <v>57</v>
      </c>
      <c r="L770" s="172" t="s">
        <v>56</v>
      </c>
    </row>
    <row r="771" spans="1:12" x14ac:dyDescent="0.2">
      <c r="A771" s="172" t="s">
        <v>12</v>
      </c>
      <c r="B771" s="172" t="s">
        <v>13</v>
      </c>
      <c r="C771" s="172" t="s">
        <v>21</v>
      </c>
      <c r="D771" s="172" t="s">
        <v>15</v>
      </c>
      <c r="E771" s="173">
        <v>43158</v>
      </c>
      <c r="F771" s="174">
        <v>966.23904000000005</v>
      </c>
      <c r="G771" s="175" t="s">
        <v>19</v>
      </c>
      <c r="H771" s="172" t="s">
        <v>17</v>
      </c>
      <c r="I771" s="175">
        <v>1</v>
      </c>
      <c r="J771" s="175" t="s">
        <v>18</v>
      </c>
      <c r="K771" s="175" t="s">
        <v>57</v>
      </c>
      <c r="L771" s="172" t="s">
        <v>56</v>
      </c>
    </row>
    <row r="772" spans="1:12" x14ac:dyDescent="0.2">
      <c r="A772" s="172" t="s">
        <v>12</v>
      </c>
      <c r="B772" s="172" t="s">
        <v>13</v>
      </c>
      <c r="C772" s="172" t="s">
        <v>21</v>
      </c>
      <c r="D772" s="172" t="s">
        <v>15</v>
      </c>
      <c r="E772" s="173">
        <v>43158</v>
      </c>
      <c r="F772" s="174">
        <v>2.12</v>
      </c>
      <c r="G772" s="175" t="s">
        <v>16</v>
      </c>
      <c r="H772" s="172" t="s">
        <v>20</v>
      </c>
      <c r="I772" s="175">
        <v>1</v>
      </c>
      <c r="J772" s="175" t="s">
        <v>18</v>
      </c>
      <c r="K772" s="175" t="s">
        <v>57</v>
      </c>
      <c r="L772" s="172" t="s">
        <v>56</v>
      </c>
    </row>
    <row r="773" spans="1:12" x14ac:dyDescent="0.2">
      <c r="A773" s="172" t="s">
        <v>12</v>
      </c>
      <c r="B773" s="172" t="s">
        <v>13</v>
      </c>
      <c r="C773" s="172" t="s">
        <v>21</v>
      </c>
      <c r="D773" s="172" t="s">
        <v>15</v>
      </c>
      <c r="E773" s="173">
        <v>43158</v>
      </c>
      <c r="F773" s="174">
        <v>574.62599999999998</v>
      </c>
      <c r="G773" s="175" t="s">
        <v>19</v>
      </c>
      <c r="H773" s="172" t="s">
        <v>20</v>
      </c>
      <c r="I773" s="175">
        <v>1</v>
      </c>
      <c r="J773" s="175" t="s">
        <v>18</v>
      </c>
      <c r="K773" s="175" t="s">
        <v>57</v>
      </c>
      <c r="L773" s="172" t="s">
        <v>56</v>
      </c>
    </row>
    <row r="774" spans="1:12" x14ac:dyDescent="0.2">
      <c r="A774" s="172" t="s">
        <v>12</v>
      </c>
      <c r="B774" s="172" t="s">
        <v>13</v>
      </c>
      <c r="C774" s="172" t="s">
        <v>21</v>
      </c>
      <c r="D774" s="172" t="s">
        <v>15</v>
      </c>
      <c r="E774" s="173">
        <v>43151</v>
      </c>
      <c r="F774" s="174">
        <v>2.7131634</v>
      </c>
      <c r="G774" s="175" t="s">
        <v>16</v>
      </c>
      <c r="H774" s="172" t="s">
        <v>17</v>
      </c>
      <c r="I774" s="175">
        <v>1</v>
      </c>
      <c r="J774" s="175" t="s">
        <v>18</v>
      </c>
      <c r="K774" s="175" t="s">
        <v>57</v>
      </c>
      <c r="L774" s="172" t="s">
        <v>56</v>
      </c>
    </row>
    <row r="775" spans="1:12" x14ac:dyDescent="0.2">
      <c r="A775" s="172" t="s">
        <v>12</v>
      </c>
      <c r="B775" s="172" t="s">
        <v>13</v>
      </c>
      <c r="C775" s="172" t="s">
        <v>21</v>
      </c>
      <c r="D775" s="172" t="s">
        <v>15</v>
      </c>
      <c r="E775" s="173">
        <v>43151</v>
      </c>
      <c r="F775" s="174">
        <v>1065.7686000000001</v>
      </c>
      <c r="G775" s="175" t="s">
        <v>19</v>
      </c>
      <c r="H775" s="172" t="s">
        <v>17</v>
      </c>
      <c r="I775" s="175">
        <v>1</v>
      </c>
      <c r="J775" s="175" t="s">
        <v>18</v>
      </c>
      <c r="K775" s="175" t="s">
        <v>57</v>
      </c>
      <c r="L775" s="172" t="s">
        <v>56</v>
      </c>
    </row>
    <row r="776" spans="1:12" x14ac:dyDescent="0.2">
      <c r="A776" s="172" t="s">
        <v>12</v>
      </c>
      <c r="B776" s="172" t="s">
        <v>13</v>
      </c>
      <c r="C776" s="172" t="s">
        <v>21</v>
      </c>
      <c r="D776" s="172" t="s">
        <v>15</v>
      </c>
      <c r="E776" s="173">
        <v>43151</v>
      </c>
      <c r="F776" s="174">
        <v>0.55200000000000005</v>
      </c>
      <c r="G776" s="175" t="s">
        <v>16</v>
      </c>
      <c r="H776" s="172" t="s">
        <v>20</v>
      </c>
      <c r="I776" s="175">
        <v>1</v>
      </c>
      <c r="J776" s="175" t="s">
        <v>18</v>
      </c>
      <c r="K776" s="175" t="s">
        <v>57</v>
      </c>
      <c r="L776" s="172" t="s">
        <v>56</v>
      </c>
    </row>
    <row r="777" spans="1:12" x14ac:dyDescent="0.2">
      <c r="A777" s="172" t="s">
        <v>12</v>
      </c>
      <c r="B777" s="172" t="s">
        <v>13</v>
      </c>
      <c r="C777" s="172" t="s">
        <v>21</v>
      </c>
      <c r="D777" s="172" t="s">
        <v>15</v>
      </c>
      <c r="E777" s="173">
        <v>43151</v>
      </c>
      <c r="F777" s="174">
        <v>197.03750400000001</v>
      </c>
      <c r="G777" s="175" t="s">
        <v>19</v>
      </c>
      <c r="H777" s="172" t="s">
        <v>20</v>
      </c>
      <c r="I777" s="175">
        <v>1</v>
      </c>
      <c r="J777" s="175" t="s">
        <v>18</v>
      </c>
      <c r="K777" s="175" t="s">
        <v>57</v>
      </c>
      <c r="L777" s="172" t="s">
        <v>56</v>
      </c>
    </row>
    <row r="778" spans="1:12" x14ac:dyDescent="0.2">
      <c r="A778" s="172" t="s">
        <v>12</v>
      </c>
      <c r="B778" s="172" t="s">
        <v>13</v>
      </c>
      <c r="C778" s="172" t="s">
        <v>21</v>
      </c>
      <c r="D778" s="172" t="s">
        <v>15</v>
      </c>
      <c r="E778" s="173">
        <v>43145</v>
      </c>
      <c r="F778" s="174">
        <v>9.7058409000000001</v>
      </c>
      <c r="G778" s="175" t="s">
        <v>16</v>
      </c>
      <c r="H778" s="172" t="s">
        <v>17</v>
      </c>
      <c r="I778" s="175">
        <v>1</v>
      </c>
      <c r="J778" s="175" t="s">
        <v>18</v>
      </c>
      <c r="K778" s="175" t="s">
        <v>57</v>
      </c>
      <c r="L778" s="172" t="s">
        <v>56</v>
      </c>
    </row>
    <row r="779" spans="1:12" x14ac:dyDescent="0.2">
      <c r="A779" s="172" t="s">
        <v>12</v>
      </c>
      <c r="B779" s="172" t="s">
        <v>13</v>
      </c>
      <c r="C779" s="172" t="s">
        <v>21</v>
      </c>
      <c r="D779" s="172" t="s">
        <v>15</v>
      </c>
      <c r="E779" s="173">
        <v>43145</v>
      </c>
      <c r="F779" s="174">
        <v>1496.7047399999999</v>
      </c>
      <c r="G779" s="175" t="s">
        <v>19</v>
      </c>
      <c r="H779" s="172" t="s">
        <v>17</v>
      </c>
      <c r="I779" s="175">
        <v>1</v>
      </c>
      <c r="J779" s="175" t="s">
        <v>18</v>
      </c>
      <c r="K779" s="175" t="s">
        <v>57</v>
      </c>
      <c r="L779" s="172" t="s">
        <v>56</v>
      </c>
    </row>
    <row r="780" spans="1:12" x14ac:dyDescent="0.2">
      <c r="A780" s="172" t="s">
        <v>12</v>
      </c>
      <c r="B780" s="172" t="s">
        <v>13</v>
      </c>
      <c r="C780" s="172" t="s">
        <v>21</v>
      </c>
      <c r="D780" s="172" t="s">
        <v>15</v>
      </c>
      <c r="E780" s="173">
        <v>43145</v>
      </c>
      <c r="F780" s="174">
        <v>0.46200000000000002</v>
      </c>
      <c r="G780" s="175" t="s">
        <v>16</v>
      </c>
      <c r="H780" s="172" t="s">
        <v>20</v>
      </c>
      <c r="I780" s="175">
        <v>1</v>
      </c>
      <c r="J780" s="175" t="s">
        <v>18</v>
      </c>
      <c r="K780" s="175" t="s">
        <v>57</v>
      </c>
      <c r="L780" s="172" t="s">
        <v>56</v>
      </c>
    </row>
    <row r="781" spans="1:12" x14ac:dyDescent="0.2">
      <c r="A781" s="172" t="s">
        <v>12</v>
      </c>
      <c r="B781" s="172" t="s">
        <v>13</v>
      </c>
      <c r="C781" s="172" t="s">
        <v>21</v>
      </c>
      <c r="D781" s="172" t="s">
        <v>15</v>
      </c>
      <c r="E781" s="173">
        <v>43145</v>
      </c>
      <c r="F781" s="174">
        <v>79.797286799999995</v>
      </c>
      <c r="G781" s="175" t="s">
        <v>19</v>
      </c>
      <c r="H781" s="172" t="s">
        <v>20</v>
      </c>
      <c r="I781" s="175">
        <v>1</v>
      </c>
      <c r="J781" s="175" t="s">
        <v>18</v>
      </c>
      <c r="K781" s="175" t="s">
        <v>57</v>
      </c>
      <c r="L781" s="172" t="s">
        <v>56</v>
      </c>
    </row>
    <row r="782" spans="1:12" x14ac:dyDescent="0.2">
      <c r="A782" s="172" t="s">
        <v>12</v>
      </c>
      <c r="B782" s="172" t="s">
        <v>13</v>
      </c>
      <c r="C782" s="172" t="s">
        <v>21</v>
      </c>
      <c r="D782" s="172" t="s">
        <v>15</v>
      </c>
      <c r="E782" s="173">
        <v>43136</v>
      </c>
      <c r="F782" s="174">
        <v>7.8317918999999998</v>
      </c>
      <c r="G782" s="175" t="s">
        <v>16</v>
      </c>
      <c r="H782" s="172" t="s">
        <v>17</v>
      </c>
      <c r="I782" s="175">
        <v>1</v>
      </c>
      <c r="J782" s="175" t="s">
        <v>18</v>
      </c>
      <c r="K782" s="175" t="s">
        <v>57</v>
      </c>
      <c r="L782" s="172" t="s">
        <v>56</v>
      </c>
    </row>
    <row r="783" spans="1:12" x14ac:dyDescent="0.2">
      <c r="A783" s="172" t="s">
        <v>12</v>
      </c>
      <c r="B783" s="172" t="s">
        <v>13</v>
      </c>
      <c r="C783" s="172" t="s">
        <v>21</v>
      </c>
      <c r="D783" s="172" t="s">
        <v>15</v>
      </c>
      <c r="E783" s="173">
        <v>43136</v>
      </c>
      <c r="F783" s="174">
        <v>1129.9866</v>
      </c>
      <c r="G783" s="175" t="s">
        <v>19</v>
      </c>
      <c r="H783" s="172" t="s">
        <v>17</v>
      </c>
      <c r="I783" s="175">
        <v>1</v>
      </c>
      <c r="J783" s="175" t="s">
        <v>18</v>
      </c>
      <c r="K783" s="175" t="s">
        <v>57</v>
      </c>
      <c r="L783" s="172" t="s">
        <v>56</v>
      </c>
    </row>
    <row r="784" spans="1:12" x14ac:dyDescent="0.2">
      <c r="A784" s="172" t="s">
        <v>12</v>
      </c>
      <c r="B784" s="172" t="s">
        <v>13</v>
      </c>
      <c r="C784" s="172" t="s">
        <v>21</v>
      </c>
      <c r="D784" s="172" t="s">
        <v>15</v>
      </c>
      <c r="E784" s="173">
        <v>43136</v>
      </c>
      <c r="F784" s="174">
        <v>0.56000000000000005</v>
      </c>
      <c r="G784" s="175" t="s">
        <v>16</v>
      </c>
      <c r="H784" s="172" t="s">
        <v>20</v>
      </c>
      <c r="I784" s="175">
        <v>1</v>
      </c>
      <c r="J784" s="175" t="s">
        <v>18</v>
      </c>
      <c r="K784" s="175" t="s">
        <v>57</v>
      </c>
      <c r="L784" s="172" t="s">
        <v>56</v>
      </c>
    </row>
    <row r="785" spans="1:12" x14ac:dyDescent="0.2">
      <c r="A785" s="172" t="s">
        <v>12</v>
      </c>
      <c r="B785" s="172" t="s">
        <v>13</v>
      </c>
      <c r="C785" s="172" t="s">
        <v>21</v>
      </c>
      <c r="D785" s="172" t="s">
        <v>15</v>
      </c>
      <c r="E785" s="173">
        <v>43136</v>
      </c>
      <c r="F785" s="174">
        <v>95.276160000000004</v>
      </c>
      <c r="G785" s="175" t="s">
        <v>19</v>
      </c>
      <c r="H785" s="172" t="s">
        <v>20</v>
      </c>
      <c r="I785" s="175">
        <v>1</v>
      </c>
      <c r="J785" s="175" t="s">
        <v>18</v>
      </c>
      <c r="K785" s="175" t="s">
        <v>57</v>
      </c>
      <c r="L785" s="172" t="s">
        <v>56</v>
      </c>
    </row>
    <row r="786" spans="1:12" x14ac:dyDescent="0.2">
      <c r="A786" s="172" t="s">
        <v>12</v>
      </c>
      <c r="B786" s="172" t="s">
        <v>13</v>
      </c>
      <c r="C786" s="172" t="s">
        <v>21</v>
      </c>
      <c r="D786" s="172" t="s">
        <v>15</v>
      </c>
      <c r="E786" s="173">
        <v>43131</v>
      </c>
      <c r="F786" s="174">
        <v>9.2906077000000007</v>
      </c>
      <c r="G786" s="175" t="s">
        <v>16</v>
      </c>
      <c r="H786" s="172" t="s">
        <v>17</v>
      </c>
      <c r="I786" s="175">
        <v>1</v>
      </c>
      <c r="J786" s="175" t="s">
        <v>18</v>
      </c>
      <c r="K786" s="175" t="s">
        <v>57</v>
      </c>
      <c r="L786" s="172" t="s">
        <v>56</v>
      </c>
    </row>
    <row r="787" spans="1:12" x14ac:dyDescent="0.2">
      <c r="A787" s="172" t="s">
        <v>12</v>
      </c>
      <c r="B787" s="172" t="s">
        <v>13</v>
      </c>
      <c r="C787" s="172" t="s">
        <v>21</v>
      </c>
      <c r="D787" s="172" t="s">
        <v>15</v>
      </c>
      <c r="E787" s="173">
        <v>43131</v>
      </c>
      <c r="F787" s="174">
        <v>1402.4544000000001</v>
      </c>
      <c r="G787" s="175" t="s">
        <v>19</v>
      </c>
      <c r="H787" s="172" t="s">
        <v>17</v>
      </c>
      <c r="I787" s="175">
        <v>1</v>
      </c>
      <c r="J787" s="175" t="s">
        <v>18</v>
      </c>
      <c r="K787" s="175" t="s">
        <v>57</v>
      </c>
      <c r="L787" s="172" t="s">
        <v>56</v>
      </c>
    </row>
    <row r="788" spans="1:12" x14ac:dyDescent="0.2">
      <c r="A788" s="172" t="s">
        <v>12</v>
      </c>
      <c r="B788" s="172" t="s">
        <v>13</v>
      </c>
      <c r="C788" s="172" t="s">
        <v>21</v>
      </c>
      <c r="D788" s="172" t="s">
        <v>15</v>
      </c>
      <c r="E788" s="173">
        <v>43131</v>
      </c>
      <c r="F788" s="174">
        <v>0.46899999999999997</v>
      </c>
      <c r="G788" s="175" t="s">
        <v>16</v>
      </c>
      <c r="H788" s="172" t="s">
        <v>20</v>
      </c>
      <c r="I788" s="175">
        <v>1</v>
      </c>
      <c r="J788" s="175" t="s">
        <v>18</v>
      </c>
      <c r="K788" s="175" t="s">
        <v>57</v>
      </c>
      <c r="L788" s="172" t="s">
        <v>56</v>
      </c>
    </row>
    <row r="789" spans="1:12" x14ac:dyDescent="0.2">
      <c r="A789" s="172" t="s">
        <v>12</v>
      </c>
      <c r="B789" s="172" t="s">
        <v>13</v>
      </c>
      <c r="C789" s="172" t="s">
        <v>21</v>
      </c>
      <c r="D789" s="172" t="s">
        <v>15</v>
      </c>
      <c r="E789" s="173">
        <v>43131</v>
      </c>
      <c r="F789" s="174">
        <v>79.793784000000002</v>
      </c>
      <c r="G789" s="175" t="s">
        <v>19</v>
      </c>
      <c r="H789" s="172" t="s">
        <v>20</v>
      </c>
      <c r="I789" s="175">
        <v>1</v>
      </c>
      <c r="J789" s="175" t="s">
        <v>18</v>
      </c>
      <c r="K789" s="175" t="s">
        <v>57</v>
      </c>
      <c r="L789" s="172" t="s">
        <v>56</v>
      </c>
    </row>
    <row r="790" spans="1:12" x14ac:dyDescent="0.2">
      <c r="A790" s="172" t="s">
        <v>12</v>
      </c>
      <c r="B790" s="172" t="s">
        <v>13</v>
      </c>
      <c r="C790" s="172" t="s">
        <v>21</v>
      </c>
      <c r="D790" s="172" t="s">
        <v>15</v>
      </c>
      <c r="E790" s="173">
        <v>43123</v>
      </c>
      <c r="F790" s="174">
        <v>6.8016842000000004</v>
      </c>
      <c r="G790" s="175" t="s">
        <v>16</v>
      </c>
      <c r="H790" s="172" t="s">
        <v>17</v>
      </c>
      <c r="I790" s="175">
        <v>1</v>
      </c>
      <c r="J790" s="175" t="s">
        <v>18</v>
      </c>
      <c r="K790" s="175" t="s">
        <v>57</v>
      </c>
      <c r="L790" s="172" t="s">
        <v>56</v>
      </c>
    </row>
    <row r="791" spans="1:12" x14ac:dyDescent="0.2">
      <c r="A791" s="172" t="s">
        <v>12</v>
      </c>
      <c r="B791" s="172" t="s">
        <v>13</v>
      </c>
      <c r="C791" s="172" t="s">
        <v>21</v>
      </c>
      <c r="D791" s="172" t="s">
        <v>15</v>
      </c>
      <c r="E791" s="173">
        <v>43123</v>
      </c>
      <c r="F791" s="174">
        <v>1077.7948799999999</v>
      </c>
      <c r="G791" s="175" t="s">
        <v>19</v>
      </c>
      <c r="H791" s="172" t="s">
        <v>17</v>
      </c>
      <c r="I791" s="175">
        <v>1</v>
      </c>
      <c r="J791" s="175" t="s">
        <v>18</v>
      </c>
      <c r="K791" s="175" t="s">
        <v>57</v>
      </c>
      <c r="L791" s="172" t="s">
        <v>56</v>
      </c>
    </row>
    <row r="792" spans="1:12" x14ac:dyDescent="0.2">
      <c r="A792" s="172" t="s">
        <v>12</v>
      </c>
      <c r="B792" s="172" t="s">
        <v>13</v>
      </c>
      <c r="C792" s="172" t="s">
        <v>21</v>
      </c>
      <c r="D792" s="172" t="s">
        <v>15</v>
      </c>
      <c r="E792" s="173">
        <v>43123</v>
      </c>
      <c r="F792" s="174">
        <v>0.374</v>
      </c>
      <c r="G792" s="175" t="s">
        <v>16</v>
      </c>
      <c r="H792" s="172" t="s">
        <v>20</v>
      </c>
      <c r="I792" s="175">
        <v>1</v>
      </c>
      <c r="J792" s="175" t="s">
        <v>18</v>
      </c>
      <c r="K792" s="175" t="s">
        <v>57</v>
      </c>
      <c r="L792" s="172" t="s">
        <v>56</v>
      </c>
    </row>
    <row r="793" spans="1:12" x14ac:dyDescent="0.2">
      <c r="A793" s="172" t="s">
        <v>12</v>
      </c>
      <c r="B793" s="172" t="s">
        <v>13</v>
      </c>
      <c r="C793" s="172" t="s">
        <v>21</v>
      </c>
      <c r="D793" s="172" t="s">
        <v>15</v>
      </c>
      <c r="E793" s="173">
        <v>43123</v>
      </c>
      <c r="F793" s="174">
        <v>69.245351999999997</v>
      </c>
      <c r="G793" s="175" t="s">
        <v>19</v>
      </c>
      <c r="H793" s="172" t="s">
        <v>20</v>
      </c>
      <c r="I793" s="175">
        <v>1</v>
      </c>
      <c r="J793" s="175" t="s">
        <v>18</v>
      </c>
      <c r="K793" s="175" t="s">
        <v>57</v>
      </c>
      <c r="L793" s="172" t="s">
        <v>56</v>
      </c>
    </row>
    <row r="794" spans="1:12" x14ac:dyDescent="0.2">
      <c r="A794" s="172" t="s">
        <v>12</v>
      </c>
      <c r="B794" s="172" t="s">
        <v>13</v>
      </c>
      <c r="C794" s="172" t="s">
        <v>21</v>
      </c>
      <c r="D794" s="172" t="s">
        <v>15</v>
      </c>
      <c r="E794" s="173">
        <v>43115</v>
      </c>
      <c r="F794" s="174">
        <v>4.9664516000000001</v>
      </c>
      <c r="G794" s="175" t="s">
        <v>16</v>
      </c>
      <c r="H794" s="172" t="s">
        <v>17</v>
      </c>
      <c r="I794" s="175">
        <v>1</v>
      </c>
      <c r="J794" s="175" t="s">
        <v>18</v>
      </c>
      <c r="K794" s="175" t="s">
        <v>57</v>
      </c>
      <c r="L794" s="172" t="s">
        <v>56</v>
      </c>
    </row>
    <row r="795" spans="1:12" x14ac:dyDescent="0.2">
      <c r="A795" s="172" t="s">
        <v>12</v>
      </c>
      <c r="B795" s="172" t="s">
        <v>13</v>
      </c>
      <c r="C795" s="172" t="s">
        <v>21</v>
      </c>
      <c r="D795" s="172" t="s">
        <v>15</v>
      </c>
      <c r="E795" s="173">
        <v>43115</v>
      </c>
      <c r="F795" s="174">
        <v>770.41584</v>
      </c>
      <c r="G795" s="175" t="s">
        <v>19</v>
      </c>
      <c r="H795" s="172" t="s">
        <v>17</v>
      </c>
      <c r="I795" s="175">
        <v>1</v>
      </c>
      <c r="J795" s="175" t="s">
        <v>18</v>
      </c>
      <c r="K795" s="175" t="s">
        <v>57</v>
      </c>
      <c r="L795" s="172" t="s">
        <v>56</v>
      </c>
    </row>
    <row r="796" spans="1:12" x14ac:dyDescent="0.2">
      <c r="A796" s="172" t="s">
        <v>12</v>
      </c>
      <c r="B796" s="172" t="s">
        <v>13</v>
      </c>
      <c r="C796" s="172" t="s">
        <v>21</v>
      </c>
      <c r="D796" s="172" t="s">
        <v>15</v>
      </c>
      <c r="E796" s="173">
        <v>43115</v>
      </c>
      <c r="F796" s="174">
        <v>0.155</v>
      </c>
      <c r="G796" s="175" t="s">
        <v>16</v>
      </c>
      <c r="H796" s="172" t="s">
        <v>20</v>
      </c>
      <c r="I796" s="175">
        <v>1</v>
      </c>
      <c r="J796" s="175" t="s">
        <v>18</v>
      </c>
      <c r="K796" s="175" t="s">
        <v>57</v>
      </c>
      <c r="L796" s="172" t="s">
        <v>56</v>
      </c>
    </row>
    <row r="797" spans="1:12" x14ac:dyDescent="0.2">
      <c r="A797" s="172" t="s">
        <v>12</v>
      </c>
      <c r="B797" s="172" t="s">
        <v>13</v>
      </c>
      <c r="C797" s="172" t="s">
        <v>21</v>
      </c>
      <c r="D797" s="172" t="s">
        <v>15</v>
      </c>
      <c r="E797" s="173">
        <v>43115</v>
      </c>
      <c r="F797" s="174">
        <v>28.439399999999999</v>
      </c>
      <c r="G797" s="175" t="s">
        <v>19</v>
      </c>
      <c r="H797" s="172" t="s">
        <v>20</v>
      </c>
      <c r="I797" s="175">
        <v>1</v>
      </c>
      <c r="J797" s="175" t="s">
        <v>18</v>
      </c>
      <c r="K797" s="175" t="s">
        <v>57</v>
      </c>
      <c r="L797" s="172" t="s">
        <v>56</v>
      </c>
    </row>
    <row r="798" spans="1:12" x14ac:dyDescent="0.2">
      <c r="A798" s="172" t="s">
        <v>12</v>
      </c>
      <c r="B798" s="172" t="s">
        <v>13</v>
      </c>
      <c r="C798" s="172" t="s">
        <v>21</v>
      </c>
      <c r="D798" s="172" t="s">
        <v>15</v>
      </c>
      <c r="E798" s="173">
        <v>43109</v>
      </c>
      <c r="F798" s="174">
        <v>6.5957837000000001</v>
      </c>
      <c r="G798" s="175" t="s">
        <v>16</v>
      </c>
      <c r="H798" s="172" t="s">
        <v>17</v>
      </c>
      <c r="I798" s="175">
        <v>1</v>
      </c>
      <c r="J798" s="175" t="s">
        <v>18</v>
      </c>
      <c r="K798" s="175" t="s">
        <v>57</v>
      </c>
      <c r="L798" s="172" t="s">
        <v>56</v>
      </c>
    </row>
    <row r="799" spans="1:12" x14ac:dyDescent="0.2">
      <c r="A799" s="172" t="s">
        <v>12</v>
      </c>
      <c r="B799" s="172" t="s">
        <v>13</v>
      </c>
      <c r="C799" s="172" t="s">
        <v>21</v>
      </c>
      <c r="D799" s="172" t="s">
        <v>15</v>
      </c>
      <c r="E799" s="173">
        <v>43109</v>
      </c>
      <c r="F799" s="174">
        <v>1017.66348</v>
      </c>
      <c r="G799" s="175" t="s">
        <v>19</v>
      </c>
      <c r="H799" s="172" t="s">
        <v>17</v>
      </c>
      <c r="I799" s="175">
        <v>1</v>
      </c>
      <c r="J799" s="175" t="s">
        <v>18</v>
      </c>
      <c r="K799" s="175" t="s">
        <v>57</v>
      </c>
      <c r="L799" s="172" t="s">
        <v>56</v>
      </c>
    </row>
    <row r="800" spans="1:12" x14ac:dyDescent="0.2">
      <c r="A800" s="172" t="s">
        <v>12</v>
      </c>
      <c r="B800" s="172" t="s">
        <v>13</v>
      </c>
      <c r="C800" s="172" t="s">
        <v>21</v>
      </c>
      <c r="D800" s="172" t="s">
        <v>15</v>
      </c>
      <c r="E800" s="173">
        <v>43109</v>
      </c>
      <c r="F800" s="174">
        <v>0.40400000000000003</v>
      </c>
      <c r="G800" s="175" t="s">
        <v>16</v>
      </c>
      <c r="H800" s="172" t="s">
        <v>20</v>
      </c>
      <c r="I800" s="175">
        <v>1</v>
      </c>
      <c r="J800" s="175" t="s">
        <v>18</v>
      </c>
      <c r="K800" s="175" t="s">
        <v>57</v>
      </c>
      <c r="L800" s="172" t="s">
        <v>56</v>
      </c>
    </row>
    <row r="801" spans="1:13" x14ac:dyDescent="0.2">
      <c r="A801" s="172" t="s">
        <v>12</v>
      </c>
      <c r="B801" s="172" t="s">
        <v>13</v>
      </c>
      <c r="C801" s="172" t="s">
        <v>21</v>
      </c>
      <c r="D801" s="172" t="s">
        <v>15</v>
      </c>
      <c r="E801" s="173">
        <v>43109</v>
      </c>
      <c r="F801" s="174">
        <v>75.473663999999999</v>
      </c>
      <c r="G801" s="175" t="s">
        <v>19</v>
      </c>
      <c r="H801" s="172" t="s">
        <v>20</v>
      </c>
      <c r="I801" s="175">
        <v>1</v>
      </c>
      <c r="J801" s="175" t="s">
        <v>18</v>
      </c>
      <c r="K801" s="175" t="s">
        <v>57</v>
      </c>
      <c r="L801" s="172" t="s">
        <v>56</v>
      </c>
    </row>
    <row r="802" spans="1:13" x14ac:dyDescent="0.2">
      <c r="A802" s="172" t="s">
        <v>12</v>
      </c>
      <c r="B802" s="172" t="s">
        <v>13</v>
      </c>
      <c r="C802" s="172" t="s">
        <v>21</v>
      </c>
      <c r="D802" s="172" t="s">
        <v>15</v>
      </c>
      <c r="E802" s="173">
        <v>43103</v>
      </c>
      <c r="F802" s="174">
        <v>6.0937096000000004</v>
      </c>
      <c r="G802" s="175" t="s">
        <v>16</v>
      </c>
      <c r="H802" s="172" t="s">
        <v>17</v>
      </c>
      <c r="I802" s="175">
        <v>1</v>
      </c>
      <c r="J802" s="175" t="s">
        <v>18</v>
      </c>
      <c r="K802" s="175" t="s">
        <v>57</v>
      </c>
      <c r="L802" s="172" t="s">
        <v>56</v>
      </c>
    </row>
    <row r="803" spans="1:13" x14ac:dyDescent="0.2">
      <c r="A803" s="172" t="s">
        <v>12</v>
      </c>
      <c r="B803" s="172" t="s">
        <v>13</v>
      </c>
      <c r="C803" s="172" t="s">
        <v>21</v>
      </c>
      <c r="D803" s="172" t="s">
        <v>15</v>
      </c>
      <c r="E803" s="173">
        <v>43103</v>
      </c>
      <c r="F803" s="174">
        <v>945.28062</v>
      </c>
      <c r="G803" s="175" t="s">
        <v>19</v>
      </c>
      <c r="H803" s="172" t="s">
        <v>17</v>
      </c>
      <c r="I803" s="175">
        <v>1</v>
      </c>
      <c r="J803" s="175" t="s">
        <v>18</v>
      </c>
      <c r="K803" s="175" t="s">
        <v>57</v>
      </c>
      <c r="L803" s="172" t="s">
        <v>56</v>
      </c>
    </row>
    <row r="804" spans="1:13" x14ac:dyDescent="0.2">
      <c r="A804" s="172" t="s">
        <v>12</v>
      </c>
      <c r="B804" s="172" t="s">
        <v>13</v>
      </c>
      <c r="C804" s="172" t="s">
        <v>21</v>
      </c>
      <c r="D804" s="172" t="s">
        <v>15</v>
      </c>
      <c r="E804" s="173">
        <v>43103</v>
      </c>
      <c r="F804" s="174">
        <v>0.252</v>
      </c>
      <c r="G804" s="175" t="s">
        <v>16</v>
      </c>
      <c r="H804" s="172" t="s">
        <v>20</v>
      </c>
      <c r="I804" s="175">
        <v>1</v>
      </c>
      <c r="J804" s="175" t="s">
        <v>18</v>
      </c>
      <c r="K804" s="175" t="s">
        <v>57</v>
      </c>
      <c r="L804" s="172" t="s">
        <v>56</v>
      </c>
    </row>
    <row r="805" spans="1:13" x14ac:dyDescent="0.2">
      <c r="A805" s="172" t="s">
        <v>12</v>
      </c>
      <c r="B805" s="172" t="s">
        <v>13</v>
      </c>
      <c r="C805" s="172" t="s">
        <v>21</v>
      </c>
      <c r="D805" s="172" t="s">
        <v>15</v>
      </c>
      <c r="E805" s="173">
        <v>43103</v>
      </c>
      <c r="F805" s="174">
        <v>44.975951999999999</v>
      </c>
      <c r="G805" s="175" t="s">
        <v>19</v>
      </c>
      <c r="H805" s="172" t="s">
        <v>20</v>
      </c>
      <c r="I805" s="175">
        <v>1</v>
      </c>
      <c r="J805" s="175" t="s">
        <v>18</v>
      </c>
      <c r="K805" s="175" t="s">
        <v>57</v>
      </c>
      <c r="L805" s="172" t="s">
        <v>56</v>
      </c>
    </row>
    <row r="806" spans="1:13" x14ac:dyDescent="0.2">
      <c r="A806" s="172" t="s">
        <v>12</v>
      </c>
      <c r="B806" s="172" t="s">
        <v>13</v>
      </c>
      <c r="C806" s="172" t="s">
        <v>21</v>
      </c>
      <c r="D806" s="172" t="s">
        <v>15</v>
      </c>
      <c r="E806" s="173">
        <v>43095</v>
      </c>
      <c r="F806" s="174">
        <v>5.0192306999999996</v>
      </c>
      <c r="G806" s="175" t="s">
        <v>16</v>
      </c>
      <c r="H806" s="172" t="s">
        <v>17</v>
      </c>
      <c r="I806" s="175">
        <v>1</v>
      </c>
      <c r="J806" s="175" t="s">
        <v>18</v>
      </c>
      <c r="K806" s="175" t="s">
        <v>57</v>
      </c>
      <c r="L806" s="172" t="s">
        <v>56</v>
      </c>
      <c r="M806" s="172" t="s">
        <v>17</v>
      </c>
    </row>
    <row r="807" spans="1:13" x14ac:dyDescent="0.2">
      <c r="A807" s="172" t="s">
        <v>12</v>
      </c>
      <c r="B807" s="172" t="s">
        <v>13</v>
      </c>
      <c r="C807" s="172" t="s">
        <v>21</v>
      </c>
      <c r="D807" s="172" t="s">
        <v>15</v>
      </c>
      <c r="E807" s="173">
        <v>43095</v>
      </c>
      <c r="F807" s="174">
        <v>653.02200000000005</v>
      </c>
      <c r="G807" s="175" t="s">
        <v>19</v>
      </c>
      <c r="H807" s="172" t="s">
        <v>17</v>
      </c>
      <c r="I807" s="175">
        <v>1</v>
      </c>
      <c r="J807" s="175" t="s">
        <v>18</v>
      </c>
      <c r="K807" s="175" t="s">
        <v>57</v>
      </c>
      <c r="L807" s="172" t="s">
        <v>56</v>
      </c>
      <c r="M807" s="172" t="s">
        <v>17</v>
      </c>
    </row>
    <row r="808" spans="1:13" x14ac:dyDescent="0.2">
      <c r="A808" s="172" t="s">
        <v>12</v>
      </c>
      <c r="B808" s="172" t="s">
        <v>13</v>
      </c>
      <c r="C808" s="172" t="s">
        <v>21</v>
      </c>
      <c r="D808" s="172" t="s">
        <v>15</v>
      </c>
      <c r="E808" s="173">
        <v>43095</v>
      </c>
      <c r="F808" s="174">
        <v>0.16600000000000001</v>
      </c>
      <c r="G808" s="175" t="s">
        <v>16</v>
      </c>
      <c r="H808" s="172" t="s">
        <v>20</v>
      </c>
      <c r="I808" s="175">
        <v>1</v>
      </c>
      <c r="J808" s="175" t="s">
        <v>18</v>
      </c>
      <c r="K808" s="175" t="s">
        <v>57</v>
      </c>
      <c r="L808" s="172" t="s">
        <v>56</v>
      </c>
      <c r="M808" s="172" t="s">
        <v>20</v>
      </c>
    </row>
    <row r="809" spans="1:13" x14ac:dyDescent="0.2">
      <c r="A809" s="172" t="s">
        <v>12</v>
      </c>
      <c r="B809" s="172" t="s">
        <v>13</v>
      </c>
      <c r="C809" s="172" t="s">
        <v>21</v>
      </c>
      <c r="D809" s="172" t="s">
        <v>15</v>
      </c>
      <c r="E809" s="173">
        <v>43095</v>
      </c>
      <c r="F809" s="174">
        <v>26.304359999999999</v>
      </c>
      <c r="G809" s="175" t="s">
        <v>19</v>
      </c>
      <c r="H809" s="172" t="s">
        <v>20</v>
      </c>
      <c r="I809" s="175">
        <v>1</v>
      </c>
      <c r="J809" s="175" t="s">
        <v>18</v>
      </c>
      <c r="K809" s="175" t="s">
        <v>57</v>
      </c>
      <c r="L809" s="172" t="s">
        <v>56</v>
      </c>
      <c r="M809" s="172" t="s">
        <v>20</v>
      </c>
    </row>
    <row r="810" spans="1:13" x14ac:dyDescent="0.2">
      <c r="A810" s="172" t="s">
        <v>12</v>
      </c>
      <c r="B810" s="172" t="s">
        <v>13</v>
      </c>
      <c r="C810" s="172" t="s">
        <v>21</v>
      </c>
      <c r="D810" s="172" t="s">
        <v>15</v>
      </c>
      <c r="E810" s="173">
        <v>43086</v>
      </c>
      <c r="F810" s="174">
        <v>4.8120111000000003</v>
      </c>
      <c r="G810" s="175" t="s">
        <v>16</v>
      </c>
      <c r="H810" s="172" t="s">
        <v>17</v>
      </c>
      <c r="I810" s="175">
        <v>1</v>
      </c>
      <c r="J810" s="175" t="s">
        <v>18</v>
      </c>
      <c r="K810" s="175" t="s">
        <v>57</v>
      </c>
      <c r="L810" s="172" t="s">
        <v>56</v>
      </c>
      <c r="M810" s="172" t="s">
        <v>17</v>
      </c>
    </row>
    <row r="811" spans="1:13" x14ac:dyDescent="0.2">
      <c r="A811" s="172" t="s">
        <v>12</v>
      </c>
      <c r="B811" s="172" t="s">
        <v>13</v>
      </c>
      <c r="C811" s="172" t="s">
        <v>21</v>
      </c>
      <c r="D811" s="172" t="s">
        <v>15</v>
      </c>
      <c r="E811" s="173">
        <v>43086</v>
      </c>
      <c r="F811" s="174">
        <v>718.36590000000001</v>
      </c>
      <c r="G811" s="175" t="s">
        <v>19</v>
      </c>
      <c r="H811" s="172" t="s">
        <v>17</v>
      </c>
      <c r="I811" s="175">
        <v>1</v>
      </c>
      <c r="J811" s="175" t="s">
        <v>18</v>
      </c>
      <c r="K811" s="175" t="s">
        <v>57</v>
      </c>
      <c r="L811" s="172" t="s">
        <v>56</v>
      </c>
      <c r="M811" s="172" t="s">
        <v>17</v>
      </c>
    </row>
    <row r="812" spans="1:13" x14ac:dyDescent="0.2">
      <c r="A812" s="172" t="s">
        <v>12</v>
      </c>
      <c r="B812" s="172" t="s">
        <v>13</v>
      </c>
      <c r="C812" s="172" t="s">
        <v>21</v>
      </c>
      <c r="D812" s="172" t="s">
        <v>15</v>
      </c>
      <c r="E812" s="173">
        <v>43086</v>
      </c>
      <c r="F812" s="174">
        <v>0.29899999999999999</v>
      </c>
      <c r="G812" s="175" t="s">
        <v>16</v>
      </c>
      <c r="H812" s="172" t="s">
        <v>20</v>
      </c>
      <c r="I812" s="175">
        <v>1</v>
      </c>
      <c r="J812" s="175" t="s">
        <v>18</v>
      </c>
      <c r="K812" s="175" t="s">
        <v>57</v>
      </c>
      <c r="L812" s="172" t="s">
        <v>56</v>
      </c>
      <c r="M812" s="172" t="s">
        <v>20</v>
      </c>
    </row>
    <row r="813" spans="1:13" x14ac:dyDescent="0.2">
      <c r="A813" s="172" t="s">
        <v>12</v>
      </c>
      <c r="B813" s="172" t="s">
        <v>13</v>
      </c>
      <c r="C813" s="172" t="s">
        <v>21</v>
      </c>
      <c r="D813" s="172" t="s">
        <v>15</v>
      </c>
      <c r="E813" s="173">
        <v>43086</v>
      </c>
      <c r="F813" s="174">
        <v>50.122565999999999</v>
      </c>
      <c r="G813" s="175" t="s">
        <v>19</v>
      </c>
      <c r="H813" s="172" t="s">
        <v>20</v>
      </c>
      <c r="I813" s="175">
        <v>1</v>
      </c>
      <c r="J813" s="175" t="s">
        <v>18</v>
      </c>
      <c r="K813" s="175" t="s">
        <v>57</v>
      </c>
      <c r="L813" s="172" t="s">
        <v>56</v>
      </c>
      <c r="M813" s="172" t="s">
        <v>20</v>
      </c>
    </row>
    <row r="814" spans="1:13" x14ac:dyDescent="0.2">
      <c r="A814" s="172" t="s">
        <v>12</v>
      </c>
      <c r="B814" s="172" t="s">
        <v>13</v>
      </c>
      <c r="C814" s="172" t="s">
        <v>21</v>
      </c>
      <c r="D814" s="172" t="s">
        <v>15</v>
      </c>
      <c r="E814" s="173">
        <v>43080</v>
      </c>
      <c r="F814" s="174">
        <v>7.5615383999999999</v>
      </c>
      <c r="G814" s="175" t="s">
        <v>16</v>
      </c>
      <c r="H814" s="172" t="s">
        <v>17</v>
      </c>
      <c r="I814" s="175">
        <v>1</v>
      </c>
      <c r="J814" s="175" t="s">
        <v>18</v>
      </c>
      <c r="K814" s="175" t="s">
        <v>57</v>
      </c>
      <c r="L814" s="172" t="s">
        <v>56</v>
      </c>
      <c r="M814" s="172" t="s">
        <v>17</v>
      </c>
    </row>
    <row r="815" spans="1:13" x14ac:dyDescent="0.2">
      <c r="A815" s="172" t="s">
        <v>12</v>
      </c>
      <c r="B815" s="172" t="s">
        <v>13</v>
      </c>
      <c r="C815" s="172" t="s">
        <v>21</v>
      </c>
      <c r="D815" s="172" t="s">
        <v>15</v>
      </c>
      <c r="E815" s="173">
        <v>43080</v>
      </c>
      <c r="F815" s="174">
        <v>1147.7508</v>
      </c>
      <c r="G815" s="175" t="s">
        <v>19</v>
      </c>
      <c r="H815" s="172" t="s">
        <v>17</v>
      </c>
      <c r="I815" s="175">
        <v>1</v>
      </c>
      <c r="J815" s="175" t="s">
        <v>18</v>
      </c>
      <c r="K815" s="175" t="s">
        <v>57</v>
      </c>
      <c r="L815" s="172" t="s">
        <v>56</v>
      </c>
      <c r="M815" s="172" t="s">
        <v>17</v>
      </c>
    </row>
    <row r="816" spans="1:13" x14ac:dyDescent="0.2">
      <c r="A816" s="172" t="s">
        <v>12</v>
      </c>
      <c r="B816" s="172" t="s">
        <v>13</v>
      </c>
      <c r="C816" s="172" t="s">
        <v>21</v>
      </c>
      <c r="D816" s="172" t="s">
        <v>15</v>
      </c>
      <c r="E816" s="173">
        <v>43080</v>
      </c>
      <c r="F816" s="174">
        <v>0.69599999999999995</v>
      </c>
      <c r="G816" s="175" t="s">
        <v>16</v>
      </c>
      <c r="H816" s="172" t="s">
        <v>20</v>
      </c>
      <c r="I816" s="175">
        <v>1</v>
      </c>
      <c r="J816" s="175" t="s">
        <v>18</v>
      </c>
      <c r="K816" s="175" t="s">
        <v>57</v>
      </c>
      <c r="L816" s="172" t="s">
        <v>56</v>
      </c>
      <c r="M816" s="172" t="s">
        <v>20</v>
      </c>
    </row>
    <row r="817" spans="1:13" x14ac:dyDescent="0.2">
      <c r="A817" s="172" t="s">
        <v>12</v>
      </c>
      <c r="B817" s="172" t="s">
        <v>13</v>
      </c>
      <c r="C817" s="172" t="s">
        <v>21</v>
      </c>
      <c r="D817" s="172" t="s">
        <v>15</v>
      </c>
      <c r="E817" s="173">
        <v>43080</v>
      </c>
      <c r="F817" s="174">
        <v>120.736512</v>
      </c>
      <c r="G817" s="175" t="s">
        <v>19</v>
      </c>
      <c r="H817" s="172" t="s">
        <v>20</v>
      </c>
      <c r="I817" s="175">
        <v>1</v>
      </c>
      <c r="J817" s="175" t="s">
        <v>18</v>
      </c>
      <c r="K817" s="175" t="s">
        <v>57</v>
      </c>
      <c r="L817" s="172" t="s">
        <v>56</v>
      </c>
      <c r="M817" s="172" t="s">
        <v>20</v>
      </c>
    </row>
    <row r="818" spans="1:13" x14ac:dyDescent="0.2">
      <c r="A818" s="172" t="s">
        <v>12</v>
      </c>
      <c r="B818" s="172" t="s">
        <v>13</v>
      </c>
      <c r="C818" s="172" t="s">
        <v>21</v>
      </c>
      <c r="D818" s="172" t="s">
        <v>15</v>
      </c>
      <c r="E818" s="173">
        <v>43073</v>
      </c>
      <c r="F818" s="174">
        <v>7.8397905000000003</v>
      </c>
      <c r="G818" s="175" t="s">
        <v>16</v>
      </c>
      <c r="H818" s="172" t="s">
        <v>17</v>
      </c>
      <c r="I818" s="175">
        <v>1</v>
      </c>
      <c r="J818" s="175" t="s">
        <v>18</v>
      </c>
      <c r="K818" s="175" t="s">
        <v>57</v>
      </c>
      <c r="L818" s="172" t="s">
        <v>56</v>
      </c>
      <c r="M818" s="172" t="s">
        <v>17</v>
      </c>
    </row>
    <row r="819" spans="1:13" x14ac:dyDescent="0.2">
      <c r="A819" s="172" t="s">
        <v>12</v>
      </c>
      <c r="B819" s="172" t="s">
        <v>13</v>
      </c>
      <c r="C819" s="172" t="s">
        <v>21</v>
      </c>
      <c r="D819" s="172" t="s">
        <v>15</v>
      </c>
      <c r="E819" s="173">
        <v>43073</v>
      </c>
      <c r="F819" s="174">
        <v>1248.8316</v>
      </c>
      <c r="G819" s="175" t="s">
        <v>19</v>
      </c>
      <c r="H819" s="172" t="s">
        <v>17</v>
      </c>
      <c r="I819" s="175">
        <v>1</v>
      </c>
      <c r="J819" s="175" t="s">
        <v>18</v>
      </c>
      <c r="K819" s="175" t="s">
        <v>57</v>
      </c>
      <c r="L819" s="172" t="s">
        <v>56</v>
      </c>
      <c r="M819" s="172" t="s">
        <v>17</v>
      </c>
    </row>
    <row r="820" spans="1:13" x14ac:dyDescent="0.2">
      <c r="A820" s="172" t="s">
        <v>12</v>
      </c>
      <c r="B820" s="172" t="s">
        <v>13</v>
      </c>
      <c r="C820" s="172" t="s">
        <v>21</v>
      </c>
      <c r="D820" s="172" t="s">
        <v>15</v>
      </c>
      <c r="E820" s="173">
        <v>43073</v>
      </c>
      <c r="F820" s="174">
        <v>1.22</v>
      </c>
      <c r="G820" s="175" t="s">
        <v>16</v>
      </c>
      <c r="H820" s="172" t="s">
        <v>20</v>
      </c>
      <c r="I820" s="175">
        <v>1</v>
      </c>
      <c r="J820" s="175" t="s">
        <v>18</v>
      </c>
      <c r="K820" s="175" t="s">
        <v>57</v>
      </c>
      <c r="L820" s="172" t="s">
        <v>56</v>
      </c>
      <c r="M820" s="172" t="s">
        <v>20</v>
      </c>
    </row>
    <row r="821" spans="1:13" x14ac:dyDescent="0.2">
      <c r="A821" s="172" t="s">
        <v>12</v>
      </c>
      <c r="B821" s="172" t="s">
        <v>13</v>
      </c>
      <c r="C821" s="172" t="s">
        <v>21</v>
      </c>
      <c r="D821" s="172" t="s">
        <v>15</v>
      </c>
      <c r="E821" s="173">
        <v>43073</v>
      </c>
      <c r="F821" s="174">
        <v>217.74072000000001</v>
      </c>
      <c r="G821" s="175" t="s">
        <v>19</v>
      </c>
      <c r="H821" s="172" t="s">
        <v>20</v>
      </c>
      <c r="I821" s="175">
        <v>1</v>
      </c>
      <c r="J821" s="175" t="s">
        <v>18</v>
      </c>
      <c r="K821" s="175" t="s">
        <v>57</v>
      </c>
      <c r="L821" s="172" t="s">
        <v>56</v>
      </c>
      <c r="M821" s="172" t="s">
        <v>20</v>
      </c>
    </row>
    <row r="822" spans="1:13" x14ac:dyDescent="0.2">
      <c r="A822" s="172" t="s">
        <v>12</v>
      </c>
      <c r="B822" s="172" t="s">
        <v>13</v>
      </c>
      <c r="C822" s="172" t="s">
        <v>21</v>
      </c>
      <c r="D822" s="172" t="s">
        <v>15</v>
      </c>
      <c r="E822" s="173">
        <v>43065</v>
      </c>
      <c r="F822" s="174">
        <v>6.8010994</v>
      </c>
      <c r="G822" s="175" t="s">
        <v>16</v>
      </c>
      <c r="H822" s="172" t="s">
        <v>17</v>
      </c>
      <c r="I822" s="175">
        <v>1</v>
      </c>
      <c r="J822" s="175" t="s">
        <v>18</v>
      </c>
      <c r="K822" s="175" t="s">
        <v>57</v>
      </c>
      <c r="L822" s="172" t="s">
        <v>56</v>
      </c>
      <c r="M822" s="172" t="s">
        <v>17</v>
      </c>
    </row>
    <row r="823" spans="1:13" x14ac:dyDescent="0.2">
      <c r="A823" s="172" t="s">
        <v>12</v>
      </c>
      <c r="B823" s="172" t="s">
        <v>13</v>
      </c>
      <c r="C823" s="172" t="s">
        <v>21</v>
      </c>
      <c r="D823" s="172" t="s">
        <v>15</v>
      </c>
      <c r="E823" s="173">
        <v>43065</v>
      </c>
      <c r="F823" s="174">
        <v>1083.3743400000001</v>
      </c>
      <c r="G823" s="175" t="s">
        <v>19</v>
      </c>
      <c r="H823" s="172" t="s">
        <v>17</v>
      </c>
      <c r="I823" s="175">
        <v>1</v>
      </c>
      <c r="J823" s="175" t="s">
        <v>18</v>
      </c>
      <c r="K823" s="175" t="s">
        <v>57</v>
      </c>
      <c r="L823" s="172" t="s">
        <v>56</v>
      </c>
      <c r="M823" s="172" t="s">
        <v>17</v>
      </c>
    </row>
    <row r="824" spans="1:13" x14ac:dyDescent="0.2">
      <c r="A824" s="172" t="s">
        <v>12</v>
      </c>
      <c r="B824" s="172" t="s">
        <v>13</v>
      </c>
      <c r="C824" s="172" t="s">
        <v>21</v>
      </c>
      <c r="D824" s="172" t="s">
        <v>15</v>
      </c>
      <c r="E824" s="173">
        <v>43065</v>
      </c>
      <c r="F824" s="174">
        <v>0.56799999999999995</v>
      </c>
      <c r="G824" s="175" t="s">
        <v>16</v>
      </c>
      <c r="H824" s="172" t="s">
        <v>20</v>
      </c>
      <c r="I824" s="175">
        <v>1</v>
      </c>
      <c r="J824" s="175" t="s">
        <v>18</v>
      </c>
      <c r="K824" s="175" t="s">
        <v>57</v>
      </c>
      <c r="L824" s="172" t="s">
        <v>56</v>
      </c>
      <c r="M824" s="172" t="s">
        <v>20</v>
      </c>
    </row>
    <row r="825" spans="1:13" x14ac:dyDescent="0.2">
      <c r="A825" s="172" t="s">
        <v>12</v>
      </c>
      <c r="B825" s="172" t="s">
        <v>13</v>
      </c>
      <c r="C825" s="172" t="s">
        <v>21</v>
      </c>
      <c r="D825" s="172" t="s">
        <v>15</v>
      </c>
      <c r="E825" s="173">
        <v>43065</v>
      </c>
      <c r="F825" s="174">
        <v>100.900656</v>
      </c>
      <c r="G825" s="175" t="s">
        <v>19</v>
      </c>
      <c r="H825" s="172" t="s">
        <v>20</v>
      </c>
      <c r="I825" s="175">
        <v>1</v>
      </c>
      <c r="J825" s="175" t="s">
        <v>18</v>
      </c>
      <c r="K825" s="175" t="s">
        <v>57</v>
      </c>
      <c r="L825" s="172" t="s">
        <v>56</v>
      </c>
      <c r="M825" s="172" t="s">
        <v>20</v>
      </c>
    </row>
    <row r="826" spans="1:13" x14ac:dyDescent="0.2">
      <c r="A826" s="172" t="s">
        <v>12</v>
      </c>
      <c r="B826" s="172" t="s">
        <v>13</v>
      </c>
      <c r="C826" s="172" t="s">
        <v>21</v>
      </c>
      <c r="D826" s="172" t="s">
        <v>15</v>
      </c>
      <c r="E826" s="173">
        <v>43059</v>
      </c>
      <c r="F826" s="174">
        <v>5.7025806000000001</v>
      </c>
      <c r="G826" s="175" t="s">
        <v>16</v>
      </c>
      <c r="H826" s="172" t="s">
        <v>17</v>
      </c>
      <c r="I826" s="175">
        <v>1</v>
      </c>
      <c r="J826" s="175" t="s">
        <v>18</v>
      </c>
      <c r="K826" s="175" t="s">
        <v>57</v>
      </c>
      <c r="L826" s="172" t="s">
        <v>56</v>
      </c>
      <c r="M826" s="172" t="s">
        <v>17</v>
      </c>
    </row>
    <row r="827" spans="1:13" x14ac:dyDescent="0.2">
      <c r="A827" s="172" t="s">
        <v>12</v>
      </c>
      <c r="B827" s="172" t="s">
        <v>13</v>
      </c>
      <c r="C827" s="172" t="s">
        <v>21</v>
      </c>
      <c r="D827" s="172" t="s">
        <v>15</v>
      </c>
      <c r="E827" s="173">
        <v>43059</v>
      </c>
      <c r="F827" s="174">
        <v>1032.0416399999999</v>
      </c>
      <c r="G827" s="175" t="s">
        <v>19</v>
      </c>
      <c r="H827" s="172" t="s">
        <v>17</v>
      </c>
      <c r="I827" s="175">
        <v>1</v>
      </c>
      <c r="J827" s="175" t="s">
        <v>18</v>
      </c>
      <c r="K827" s="175" t="s">
        <v>57</v>
      </c>
      <c r="L827" s="172" t="s">
        <v>56</v>
      </c>
      <c r="M827" s="172" t="s">
        <v>17</v>
      </c>
    </row>
    <row r="828" spans="1:13" x14ac:dyDescent="0.2">
      <c r="A828" s="172" t="s">
        <v>12</v>
      </c>
      <c r="B828" s="172" t="s">
        <v>13</v>
      </c>
      <c r="C828" s="172" t="s">
        <v>21</v>
      </c>
      <c r="D828" s="172" t="s">
        <v>15</v>
      </c>
      <c r="E828" s="173">
        <v>43059</v>
      </c>
      <c r="F828" s="174">
        <v>0.70799999999999996</v>
      </c>
      <c r="G828" s="175" t="s">
        <v>16</v>
      </c>
      <c r="H828" s="172" t="s">
        <v>20</v>
      </c>
      <c r="I828" s="175">
        <v>1</v>
      </c>
      <c r="J828" s="175" t="s">
        <v>18</v>
      </c>
      <c r="K828" s="175" t="s">
        <v>57</v>
      </c>
      <c r="L828" s="172" t="s">
        <v>56</v>
      </c>
      <c r="M828" s="172" t="s">
        <v>20</v>
      </c>
    </row>
    <row r="829" spans="1:13" x14ac:dyDescent="0.2">
      <c r="A829" s="172" t="s">
        <v>12</v>
      </c>
      <c r="B829" s="172" t="s">
        <v>13</v>
      </c>
      <c r="C829" s="172" t="s">
        <v>21</v>
      </c>
      <c r="D829" s="172" t="s">
        <v>15</v>
      </c>
      <c r="E829" s="173">
        <v>43059</v>
      </c>
      <c r="F829" s="174">
        <v>137.57997599999999</v>
      </c>
      <c r="G829" s="175" t="s">
        <v>19</v>
      </c>
      <c r="H829" s="172" t="s">
        <v>20</v>
      </c>
      <c r="I829" s="175">
        <v>1</v>
      </c>
      <c r="J829" s="175" t="s">
        <v>18</v>
      </c>
      <c r="K829" s="175" t="s">
        <v>57</v>
      </c>
      <c r="L829" s="172" t="s">
        <v>56</v>
      </c>
      <c r="M829" s="172" t="s">
        <v>20</v>
      </c>
    </row>
    <row r="830" spans="1:13" x14ac:dyDescent="0.2">
      <c r="A830" s="172" t="s">
        <v>12</v>
      </c>
      <c r="B830" s="172" t="s">
        <v>13</v>
      </c>
      <c r="C830" s="172" t="s">
        <v>21</v>
      </c>
      <c r="D830" s="172" t="s">
        <v>15</v>
      </c>
      <c r="E830" s="173">
        <v>43052</v>
      </c>
      <c r="F830" s="174">
        <v>5.2867306999999997</v>
      </c>
      <c r="G830" s="175" t="s">
        <v>16</v>
      </c>
      <c r="H830" s="172" t="s">
        <v>17</v>
      </c>
      <c r="I830" s="175">
        <v>1</v>
      </c>
      <c r="J830" s="175" t="s">
        <v>18</v>
      </c>
      <c r="K830" s="175" t="s">
        <v>57</v>
      </c>
      <c r="L830" s="172" t="s">
        <v>56</v>
      </c>
      <c r="M830" s="172" t="s">
        <v>17</v>
      </c>
    </row>
    <row r="831" spans="1:13" x14ac:dyDescent="0.2">
      <c r="A831" s="172" t="s">
        <v>12</v>
      </c>
      <c r="B831" s="172" t="s">
        <v>13</v>
      </c>
      <c r="C831" s="172" t="s">
        <v>21</v>
      </c>
      <c r="D831" s="172" t="s">
        <v>15</v>
      </c>
      <c r="E831" s="173">
        <v>43052</v>
      </c>
      <c r="F831" s="174">
        <v>917.09975999999995</v>
      </c>
      <c r="G831" s="175" t="s">
        <v>19</v>
      </c>
      <c r="H831" s="172" t="s">
        <v>17</v>
      </c>
      <c r="I831" s="175">
        <v>1</v>
      </c>
      <c r="J831" s="175" t="s">
        <v>18</v>
      </c>
      <c r="K831" s="175" t="s">
        <v>57</v>
      </c>
      <c r="L831" s="172" t="s">
        <v>56</v>
      </c>
      <c r="M831" s="172" t="s">
        <v>17</v>
      </c>
    </row>
    <row r="832" spans="1:13" x14ac:dyDescent="0.2">
      <c r="A832" s="172" t="s">
        <v>12</v>
      </c>
      <c r="B832" s="172" t="s">
        <v>13</v>
      </c>
      <c r="C832" s="172" t="s">
        <v>21</v>
      </c>
      <c r="D832" s="172" t="s">
        <v>15</v>
      </c>
      <c r="E832" s="173">
        <v>43052</v>
      </c>
      <c r="F832" s="174">
        <v>0.52300000000000002</v>
      </c>
      <c r="G832" s="175" t="s">
        <v>16</v>
      </c>
      <c r="H832" s="172" t="s">
        <v>20</v>
      </c>
      <c r="I832" s="175">
        <v>1</v>
      </c>
      <c r="J832" s="175" t="s">
        <v>18</v>
      </c>
      <c r="K832" s="175" t="s">
        <v>57</v>
      </c>
      <c r="L832" s="172" t="s">
        <v>56</v>
      </c>
      <c r="M832" s="172" t="s">
        <v>20</v>
      </c>
    </row>
    <row r="833" spans="1:13" x14ac:dyDescent="0.2">
      <c r="A833" s="172" t="s">
        <v>12</v>
      </c>
      <c r="B833" s="172" t="s">
        <v>13</v>
      </c>
      <c r="C833" s="172" t="s">
        <v>21</v>
      </c>
      <c r="D833" s="172" t="s">
        <v>15</v>
      </c>
      <c r="E833" s="173">
        <v>43052</v>
      </c>
      <c r="F833" s="174">
        <v>98.577132000000006</v>
      </c>
      <c r="G833" s="175" t="s">
        <v>19</v>
      </c>
      <c r="H833" s="172" t="s">
        <v>20</v>
      </c>
      <c r="I833" s="175">
        <v>1</v>
      </c>
      <c r="J833" s="175" t="s">
        <v>18</v>
      </c>
      <c r="K833" s="175" t="s">
        <v>57</v>
      </c>
      <c r="L833" s="172" t="s">
        <v>56</v>
      </c>
      <c r="M833" s="172" t="s">
        <v>20</v>
      </c>
    </row>
    <row r="834" spans="1:13" x14ac:dyDescent="0.2">
      <c r="A834" s="172" t="s">
        <v>12</v>
      </c>
      <c r="B834" s="172" t="s">
        <v>13</v>
      </c>
      <c r="C834" s="172" t="s">
        <v>21</v>
      </c>
      <c r="D834" s="172" t="s">
        <v>15</v>
      </c>
      <c r="E834" s="173">
        <v>43045</v>
      </c>
      <c r="F834" s="174">
        <v>6.0339207000000004</v>
      </c>
      <c r="G834" s="175" t="s">
        <v>16</v>
      </c>
      <c r="H834" s="172" t="s">
        <v>17</v>
      </c>
      <c r="I834" s="175">
        <v>1</v>
      </c>
      <c r="J834" s="175" t="s">
        <v>18</v>
      </c>
      <c r="K834" s="175" t="s">
        <v>57</v>
      </c>
      <c r="L834" s="172" t="s">
        <v>56</v>
      </c>
      <c r="M834" s="172" t="s">
        <v>17</v>
      </c>
    </row>
    <row r="835" spans="1:13" x14ac:dyDescent="0.2">
      <c r="A835" s="172" t="s">
        <v>12</v>
      </c>
      <c r="B835" s="172" t="s">
        <v>13</v>
      </c>
      <c r="C835" s="172" t="s">
        <v>21</v>
      </c>
      <c r="D835" s="172" t="s">
        <v>15</v>
      </c>
      <c r="E835" s="173">
        <v>43045</v>
      </c>
      <c r="F835" s="174">
        <v>1142.3298</v>
      </c>
      <c r="G835" s="175" t="s">
        <v>19</v>
      </c>
      <c r="H835" s="172" t="s">
        <v>17</v>
      </c>
      <c r="I835" s="175">
        <v>1</v>
      </c>
      <c r="J835" s="175" t="s">
        <v>18</v>
      </c>
      <c r="K835" s="175" t="s">
        <v>57</v>
      </c>
      <c r="L835" s="172" t="s">
        <v>56</v>
      </c>
      <c r="M835" s="172" t="s">
        <v>17</v>
      </c>
    </row>
    <row r="836" spans="1:13" x14ac:dyDescent="0.2">
      <c r="A836" s="172" t="s">
        <v>12</v>
      </c>
      <c r="B836" s="172" t="s">
        <v>13</v>
      </c>
      <c r="C836" s="172" t="s">
        <v>21</v>
      </c>
      <c r="D836" s="172" t="s">
        <v>15</v>
      </c>
      <c r="E836" s="173">
        <v>43045</v>
      </c>
      <c r="F836" s="174">
        <v>0.7</v>
      </c>
      <c r="G836" s="175" t="s">
        <v>16</v>
      </c>
      <c r="H836" s="172" t="s">
        <v>20</v>
      </c>
      <c r="I836" s="175">
        <v>1</v>
      </c>
      <c r="J836" s="175" t="s">
        <v>18</v>
      </c>
      <c r="K836" s="175" t="s">
        <v>57</v>
      </c>
      <c r="L836" s="172" t="s">
        <v>56</v>
      </c>
      <c r="M836" s="172" t="s">
        <v>20</v>
      </c>
    </row>
    <row r="837" spans="1:13" x14ac:dyDescent="0.2">
      <c r="A837" s="172" t="s">
        <v>12</v>
      </c>
      <c r="B837" s="172" t="s">
        <v>13</v>
      </c>
      <c r="C837" s="172" t="s">
        <v>21</v>
      </c>
      <c r="D837" s="172" t="s">
        <v>15</v>
      </c>
      <c r="E837" s="173">
        <v>43045</v>
      </c>
      <c r="F837" s="174">
        <v>137.77680000000001</v>
      </c>
      <c r="G837" s="175" t="s">
        <v>19</v>
      </c>
      <c r="H837" s="172" t="s">
        <v>20</v>
      </c>
      <c r="I837" s="175">
        <v>1</v>
      </c>
      <c r="J837" s="175" t="s">
        <v>18</v>
      </c>
      <c r="K837" s="175" t="s">
        <v>57</v>
      </c>
      <c r="L837" s="172" t="s">
        <v>56</v>
      </c>
      <c r="M837" s="172" t="s">
        <v>20</v>
      </c>
    </row>
    <row r="838" spans="1:13" x14ac:dyDescent="0.2">
      <c r="A838" s="172" t="s">
        <v>12</v>
      </c>
      <c r="B838" s="172" t="s">
        <v>13</v>
      </c>
      <c r="C838" s="172" t="s">
        <v>21</v>
      </c>
      <c r="D838" s="172" t="s">
        <v>15</v>
      </c>
      <c r="E838" s="173">
        <v>43038</v>
      </c>
      <c r="F838" s="174">
        <v>5.6928032999999996</v>
      </c>
      <c r="G838" s="175" t="s">
        <v>16</v>
      </c>
      <c r="H838" s="172" t="s">
        <v>17</v>
      </c>
      <c r="I838" s="175">
        <v>1</v>
      </c>
      <c r="J838" s="175" t="s">
        <v>18</v>
      </c>
      <c r="K838" s="175" t="s">
        <v>57</v>
      </c>
      <c r="L838" s="172" t="s">
        <v>56</v>
      </c>
      <c r="M838" s="172" t="s">
        <v>17</v>
      </c>
    </row>
    <row r="839" spans="1:13" x14ac:dyDescent="0.2">
      <c r="A839" s="172" t="s">
        <v>12</v>
      </c>
      <c r="B839" s="172" t="s">
        <v>13</v>
      </c>
      <c r="C839" s="172" t="s">
        <v>21</v>
      </c>
      <c r="D839" s="172" t="s">
        <v>15</v>
      </c>
      <c r="E839" s="173">
        <v>43038</v>
      </c>
      <c r="F839" s="174">
        <v>1134.72372</v>
      </c>
      <c r="G839" s="175" t="s">
        <v>19</v>
      </c>
      <c r="H839" s="172" t="s">
        <v>17</v>
      </c>
      <c r="I839" s="175">
        <v>1</v>
      </c>
      <c r="J839" s="175" t="s">
        <v>18</v>
      </c>
      <c r="K839" s="175" t="s">
        <v>57</v>
      </c>
      <c r="L839" s="172" t="s">
        <v>56</v>
      </c>
      <c r="M839" s="172" t="s">
        <v>17</v>
      </c>
    </row>
    <row r="840" spans="1:13" x14ac:dyDescent="0.2">
      <c r="A840" s="172" t="s">
        <v>12</v>
      </c>
      <c r="B840" s="172" t="s">
        <v>13</v>
      </c>
      <c r="C840" s="172" t="s">
        <v>21</v>
      </c>
      <c r="D840" s="172" t="s">
        <v>15</v>
      </c>
      <c r="E840" s="173">
        <v>43038</v>
      </c>
      <c r="F840" s="174">
        <v>0.63800000000000001</v>
      </c>
      <c r="G840" s="175" t="s">
        <v>16</v>
      </c>
      <c r="H840" s="172" t="s">
        <v>20</v>
      </c>
      <c r="I840" s="175">
        <v>1</v>
      </c>
      <c r="J840" s="175" t="s">
        <v>18</v>
      </c>
      <c r="K840" s="175" t="s">
        <v>57</v>
      </c>
      <c r="L840" s="172" t="s">
        <v>56</v>
      </c>
      <c r="M840" s="172" t="s">
        <v>20</v>
      </c>
    </row>
    <row r="841" spans="1:13" x14ac:dyDescent="0.2">
      <c r="A841" s="172" t="s">
        <v>12</v>
      </c>
      <c r="B841" s="172" t="s">
        <v>13</v>
      </c>
      <c r="C841" s="172" t="s">
        <v>21</v>
      </c>
      <c r="D841" s="172" t="s">
        <v>15</v>
      </c>
      <c r="E841" s="173">
        <v>43038</v>
      </c>
      <c r="F841" s="174">
        <v>131.42672400000001</v>
      </c>
      <c r="G841" s="175" t="s">
        <v>19</v>
      </c>
      <c r="H841" s="172" t="s">
        <v>20</v>
      </c>
      <c r="I841" s="175">
        <v>1</v>
      </c>
      <c r="J841" s="175" t="s">
        <v>18</v>
      </c>
      <c r="K841" s="175" t="s">
        <v>57</v>
      </c>
      <c r="L841" s="172" t="s">
        <v>56</v>
      </c>
      <c r="M841" s="172" t="s">
        <v>20</v>
      </c>
    </row>
    <row r="842" spans="1:13" x14ac:dyDescent="0.2">
      <c r="A842" s="172" t="s">
        <v>12</v>
      </c>
      <c r="B842" s="172" t="s">
        <v>13</v>
      </c>
      <c r="C842" s="172" t="s">
        <v>21</v>
      </c>
      <c r="D842" s="172" t="s">
        <v>15</v>
      </c>
      <c r="E842" s="173">
        <v>43031</v>
      </c>
      <c r="F842" s="174">
        <v>3.5935250999999999</v>
      </c>
      <c r="G842" s="175" t="s">
        <v>16</v>
      </c>
      <c r="H842" s="172" t="s">
        <v>17</v>
      </c>
      <c r="I842" s="175">
        <v>1</v>
      </c>
      <c r="J842" s="175" t="s">
        <v>18</v>
      </c>
      <c r="K842" s="175" t="s">
        <v>57</v>
      </c>
      <c r="L842" s="172" t="s">
        <v>56</v>
      </c>
      <c r="M842" s="172" t="s">
        <v>17</v>
      </c>
    </row>
    <row r="843" spans="1:13" x14ac:dyDescent="0.2">
      <c r="A843" s="172" t="s">
        <v>12</v>
      </c>
      <c r="B843" s="172" t="s">
        <v>13</v>
      </c>
      <c r="C843" s="172" t="s">
        <v>21</v>
      </c>
      <c r="D843" s="172" t="s">
        <v>15</v>
      </c>
      <c r="E843" s="173">
        <v>43031</v>
      </c>
      <c r="F843" s="174">
        <v>833.16600000000005</v>
      </c>
      <c r="G843" s="175" t="s">
        <v>19</v>
      </c>
      <c r="H843" s="172" t="s">
        <v>17</v>
      </c>
      <c r="I843" s="175">
        <v>1</v>
      </c>
      <c r="J843" s="175" t="s">
        <v>18</v>
      </c>
      <c r="K843" s="175" t="s">
        <v>57</v>
      </c>
      <c r="L843" s="172" t="s">
        <v>56</v>
      </c>
      <c r="M843" s="172" t="s">
        <v>17</v>
      </c>
    </row>
    <row r="844" spans="1:13" x14ac:dyDescent="0.2">
      <c r="A844" s="172" t="s">
        <v>12</v>
      </c>
      <c r="B844" s="172" t="s">
        <v>13</v>
      </c>
      <c r="C844" s="172" t="s">
        <v>21</v>
      </c>
      <c r="D844" s="172" t="s">
        <v>15</v>
      </c>
      <c r="E844" s="173">
        <v>43031</v>
      </c>
      <c r="F844" s="174">
        <v>0.70099999999999996</v>
      </c>
      <c r="G844" s="175" t="s">
        <v>16</v>
      </c>
      <c r="H844" s="172" t="s">
        <v>20</v>
      </c>
      <c r="I844" s="175">
        <v>1</v>
      </c>
      <c r="J844" s="175" t="s">
        <v>18</v>
      </c>
      <c r="K844" s="175" t="s">
        <v>57</v>
      </c>
      <c r="L844" s="172" t="s">
        <v>56</v>
      </c>
      <c r="M844" s="172" t="s">
        <v>20</v>
      </c>
    </row>
    <row r="845" spans="1:13" x14ac:dyDescent="0.2">
      <c r="A845" s="172" t="s">
        <v>12</v>
      </c>
      <c r="B845" s="172" t="s">
        <v>13</v>
      </c>
      <c r="C845" s="172" t="s">
        <v>21</v>
      </c>
      <c r="D845" s="172" t="s">
        <v>15</v>
      </c>
      <c r="E845" s="173">
        <v>43031</v>
      </c>
      <c r="F845" s="174">
        <v>165.45142200000001</v>
      </c>
      <c r="G845" s="175" t="s">
        <v>19</v>
      </c>
      <c r="H845" s="172" t="s">
        <v>20</v>
      </c>
      <c r="I845" s="175">
        <v>1</v>
      </c>
      <c r="J845" s="175" t="s">
        <v>18</v>
      </c>
      <c r="K845" s="175" t="s">
        <v>57</v>
      </c>
      <c r="L845" s="172" t="s">
        <v>56</v>
      </c>
      <c r="M845" s="172" t="s">
        <v>20</v>
      </c>
    </row>
    <row r="846" spans="1:13" x14ac:dyDescent="0.2">
      <c r="A846" s="172" t="s">
        <v>12</v>
      </c>
      <c r="B846" s="172" t="s">
        <v>13</v>
      </c>
      <c r="C846" s="172" t="s">
        <v>21</v>
      </c>
      <c r="D846" s="172" t="s">
        <v>15</v>
      </c>
      <c r="E846" s="173">
        <v>43025</v>
      </c>
      <c r="F846" s="174">
        <v>3.7556655999999999</v>
      </c>
      <c r="G846" s="175" t="s">
        <v>16</v>
      </c>
      <c r="H846" s="172" t="s">
        <v>17</v>
      </c>
      <c r="I846" s="175">
        <v>1</v>
      </c>
      <c r="J846" s="175" t="s">
        <v>18</v>
      </c>
      <c r="K846" s="175" t="s">
        <v>57</v>
      </c>
      <c r="L846" s="172" t="s">
        <v>56</v>
      </c>
      <c r="M846" s="172" t="s">
        <v>17</v>
      </c>
    </row>
    <row r="847" spans="1:13" x14ac:dyDescent="0.2">
      <c r="A847" s="172" t="s">
        <v>12</v>
      </c>
      <c r="B847" s="172" t="s">
        <v>13</v>
      </c>
      <c r="C847" s="172" t="s">
        <v>21</v>
      </c>
      <c r="D847" s="172" t="s">
        <v>15</v>
      </c>
      <c r="E847" s="173">
        <v>43025</v>
      </c>
      <c r="F847" s="174">
        <v>1011.70872</v>
      </c>
      <c r="G847" s="175" t="s">
        <v>19</v>
      </c>
      <c r="H847" s="172" t="s">
        <v>17</v>
      </c>
      <c r="I847" s="175">
        <v>1</v>
      </c>
      <c r="J847" s="175" t="s">
        <v>18</v>
      </c>
      <c r="K847" s="175" t="s">
        <v>57</v>
      </c>
      <c r="L847" s="172" t="s">
        <v>56</v>
      </c>
      <c r="M847" s="172" t="s">
        <v>17</v>
      </c>
    </row>
    <row r="848" spans="1:13" x14ac:dyDescent="0.2">
      <c r="A848" s="172" t="s">
        <v>12</v>
      </c>
      <c r="B848" s="172" t="s">
        <v>13</v>
      </c>
      <c r="C848" s="172" t="s">
        <v>21</v>
      </c>
      <c r="D848" s="172" t="s">
        <v>15</v>
      </c>
      <c r="E848" s="173">
        <v>43025</v>
      </c>
      <c r="F848" s="174">
        <v>2.15</v>
      </c>
      <c r="G848" s="175" t="s">
        <v>16</v>
      </c>
      <c r="H848" s="172" t="s">
        <v>20</v>
      </c>
      <c r="I848" s="175">
        <v>1</v>
      </c>
      <c r="J848" s="175" t="s">
        <v>18</v>
      </c>
      <c r="K848" s="175" t="s">
        <v>57</v>
      </c>
      <c r="L848" s="172" t="s">
        <v>56</v>
      </c>
      <c r="M848" s="172" t="s">
        <v>20</v>
      </c>
    </row>
    <row r="849" spans="1:13" x14ac:dyDescent="0.2">
      <c r="A849" s="172" t="s">
        <v>12</v>
      </c>
      <c r="B849" s="172" t="s">
        <v>13</v>
      </c>
      <c r="C849" s="172" t="s">
        <v>21</v>
      </c>
      <c r="D849" s="172" t="s">
        <v>15</v>
      </c>
      <c r="E849" s="173">
        <v>43025</v>
      </c>
      <c r="F849" s="174">
        <v>588.13679999999999</v>
      </c>
      <c r="G849" s="175" t="s">
        <v>19</v>
      </c>
      <c r="H849" s="172" t="s">
        <v>20</v>
      </c>
      <c r="I849" s="175">
        <v>1</v>
      </c>
      <c r="J849" s="175" t="s">
        <v>18</v>
      </c>
      <c r="K849" s="175" t="s">
        <v>57</v>
      </c>
      <c r="L849" s="172" t="s">
        <v>56</v>
      </c>
      <c r="M849" s="172" t="s">
        <v>20</v>
      </c>
    </row>
    <row r="850" spans="1:13" x14ac:dyDescent="0.2">
      <c r="A850" s="172" t="s">
        <v>12</v>
      </c>
      <c r="B850" s="172" t="s">
        <v>13</v>
      </c>
      <c r="C850" s="172" t="s">
        <v>21</v>
      </c>
      <c r="D850" s="172" t="s">
        <v>15</v>
      </c>
      <c r="E850" s="173">
        <v>43017</v>
      </c>
      <c r="F850" s="174">
        <v>8.4068626999999996</v>
      </c>
      <c r="G850" s="175" t="s">
        <v>16</v>
      </c>
      <c r="H850" s="172" t="s">
        <v>17</v>
      </c>
      <c r="I850" s="175">
        <v>1</v>
      </c>
      <c r="J850" s="175" t="s">
        <v>18</v>
      </c>
      <c r="K850" s="175" t="s">
        <v>57</v>
      </c>
      <c r="L850" s="172" t="s">
        <v>56</v>
      </c>
      <c r="M850" s="172" t="s">
        <v>17</v>
      </c>
    </row>
    <row r="851" spans="1:13" x14ac:dyDescent="0.2">
      <c r="A851" s="172" t="s">
        <v>12</v>
      </c>
      <c r="B851" s="172" t="s">
        <v>13</v>
      </c>
      <c r="C851" s="172" t="s">
        <v>21</v>
      </c>
      <c r="D851" s="172" t="s">
        <v>15</v>
      </c>
      <c r="E851" s="173">
        <v>43017</v>
      </c>
      <c r="F851" s="174">
        <v>1430.31</v>
      </c>
      <c r="G851" s="175" t="s">
        <v>19</v>
      </c>
      <c r="H851" s="172" t="s">
        <v>17</v>
      </c>
      <c r="I851" s="175">
        <v>1</v>
      </c>
      <c r="J851" s="175" t="s">
        <v>18</v>
      </c>
      <c r="K851" s="175" t="s">
        <v>57</v>
      </c>
      <c r="L851" s="172" t="s">
        <v>56</v>
      </c>
      <c r="M851" s="172" t="s">
        <v>17</v>
      </c>
    </row>
    <row r="852" spans="1:13" x14ac:dyDescent="0.2">
      <c r="A852" s="172" t="s">
        <v>12</v>
      </c>
      <c r="B852" s="172" t="s">
        <v>13</v>
      </c>
      <c r="C852" s="172" t="s">
        <v>21</v>
      </c>
      <c r="D852" s="172" t="s">
        <v>15</v>
      </c>
      <c r="E852" s="173">
        <v>43017</v>
      </c>
      <c r="F852" s="174">
        <v>0.57399999999999995</v>
      </c>
      <c r="G852" s="175" t="s">
        <v>16</v>
      </c>
      <c r="H852" s="172" t="s">
        <v>20</v>
      </c>
      <c r="I852" s="175">
        <v>1</v>
      </c>
      <c r="J852" s="175" t="s">
        <v>18</v>
      </c>
      <c r="K852" s="175" t="s">
        <v>57</v>
      </c>
      <c r="L852" s="172" t="s">
        <v>56</v>
      </c>
      <c r="M852" s="172" t="s">
        <v>20</v>
      </c>
    </row>
    <row r="853" spans="1:13" x14ac:dyDescent="0.2">
      <c r="A853" s="172" t="s">
        <v>12</v>
      </c>
      <c r="B853" s="172" t="s">
        <v>13</v>
      </c>
      <c r="C853" s="172" t="s">
        <v>21</v>
      </c>
      <c r="D853" s="172" t="s">
        <v>15</v>
      </c>
      <c r="E853" s="173">
        <v>43017</v>
      </c>
      <c r="F853" s="174">
        <v>106.274952</v>
      </c>
      <c r="G853" s="175" t="s">
        <v>19</v>
      </c>
      <c r="H853" s="172" t="s">
        <v>20</v>
      </c>
      <c r="I853" s="175">
        <v>1</v>
      </c>
      <c r="J853" s="175" t="s">
        <v>18</v>
      </c>
      <c r="K853" s="175" t="s">
        <v>57</v>
      </c>
      <c r="L853" s="172" t="s">
        <v>56</v>
      </c>
      <c r="M853" s="172" t="s">
        <v>20</v>
      </c>
    </row>
    <row r="854" spans="1:13" x14ac:dyDescent="0.2">
      <c r="A854" s="172" t="s">
        <v>12</v>
      </c>
      <c r="B854" s="172" t="s">
        <v>13</v>
      </c>
      <c r="C854" s="172" t="s">
        <v>21</v>
      </c>
      <c r="D854" s="172" t="s">
        <v>15</v>
      </c>
      <c r="E854" s="173">
        <v>43010</v>
      </c>
      <c r="F854" s="174">
        <v>5.8</v>
      </c>
      <c r="G854" s="175" t="s">
        <v>16</v>
      </c>
      <c r="H854" s="172" t="s">
        <v>17</v>
      </c>
      <c r="I854" s="175">
        <v>1</v>
      </c>
      <c r="J854" s="175" t="s">
        <v>18</v>
      </c>
      <c r="K854" s="175" t="s">
        <v>57</v>
      </c>
      <c r="L854" s="172" t="s">
        <v>56</v>
      </c>
      <c r="M854" s="172" t="s">
        <v>17</v>
      </c>
    </row>
    <row r="855" spans="1:13" x14ac:dyDescent="0.2">
      <c r="A855" s="172" t="s">
        <v>12</v>
      </c>
      <c r="B855" s="172" t="s">
        <v>13</v>
      </c>
      <c r="C855" s="172" t="s">
        <v>21</v>
      </c>
      <c r="D855" s="172" t="s">
        <v>15</v>
      </c>
      <c r="E855" s="173">
        <v>43010</v>
      </c>
      <c r="F855" s="174">
        <v>1020.6492</v>
      </c>
      <c r="G855" s="175" t="s">
        <v>19</v>
      </c>
      <c r="H855" s="172" t="s">
        <v>17</v>
      </c>
      <c r="I855" s="175">
        <v>1</v>
      </c>
      <c r="J855" s="175" t="s">
        <v>18</v>
      </c>
      <c r="K855" s="175" t="s">
        <v>57</v>
      </c>
      <c r="L855" s="172" t="s">
        <v>56</v>
      </c>
      <c r="M855" s="172" t="s">
        <v>17</v>
      </c>
    </row>
    <row r="856" spans="1:13" x14ac:dyDescent="0.2">
      <c r="A856" s="172" t="s">
        <v>12</v>
      </c>
      <c r="B856" s="172" t="s">
        <v>13</v>
      </c>
      <c r="C856" s="172" t="s">
        <v>21</v>
      </c>
      <c r="D856" s="172" t="s">
        <v>15</v>
      </c>
      <c r="E856" s="173">
        <v>43010</v>
      </c>
      <c r="F856" s="174">
        <v>2.23</v>
      </c>
      <c r="G856" s="175" t="s">
        <v>16</v>
      </c>
      <c r="H856" s="172" t="s">
        <v>20</v>
      </c>
      <c r="I856" s="175">
        <v>1</v>
      </c>
      <c r="J856" s="175" t="s">
        <v>18</v>
      </c>
      <c r="K856" s="175" t="s">
        <v>57</v>
      </c>
      <c r="L856" s="172" t="s">
        <v>56</v>
      </c>
      <c r="M856" s="172" t="s">
        <v>20</v>
      </c>
    </row>
    <row r="857" spans="1:13" x14ac:dyDescent="0.2">
      <c r="A857" s="172" t="s">
        <v>12</v>
      </c>
      <c r="B857" s="172" t="s">
        <v>13</v>
      </c>
      <c r="C857" s="172" t="s">
        <v>21</v>
      </c>
      <c r="D857" s="172" t="s">
        <v>15</v>
      </c>
      <c r="E857" s="173">
        <v>43010</v>
      </c>
      <c r="F857" s="174">
        <v>446.35680000000002</v>
      </c>
      <c r="G857" s="175" t="s">
        <v>19</v>
      </c>
      <c r="H857" s="172" t="s">
        <v>20</v>
      </c>
      <c r="I857" s="175">
        <v>1</v>
      </c>
      <c r="J857" s="175" t="s">
        <v>18</v>
      </c>
      <c r="K857" s="175" t="s">
        <v>57</v>
      </c>
      <c r="L857" s="172" t="s">
        <v>56</v>
      </c>
      <c r="M857" s="172" t="s">
        <v>20</v>
      </c>
    </row>
    <row r="858" spans="1:13" x14ac:dyDescent="0.2">
      <c r="A858" s="172" t="s">
        <v>12</v>
      </c>
      <c r="B858" s="172" t="s">
        <v>13</v>
      </c>
      <c r="C858" s="172" t="s">
        <v>21</v>
      </c>
      <c r="D858" s="172" t="s">
        <v>15</v>
      </c>
      <c r="E858" s="173">
        <v>42997</v>
      </c>
      <c r="F858" s="174">
        <v>6.1485713999999998</v>
      </c>
      <c r="G858" s="175" t="s">
        <v>16</v>
      </c>
      <c r="H858" s="172" t="s">
        <v>17</v>
      </c>
      <c r="I858" s="175">
        <v>1</v>
      </c>
      <c r="J858" s="175" t="s">
        <v>18</v>
      </c>
      <c r="K858" s="175" t="s">
        <v>57</v>
      </c>
      <c r="L858" s="172" t="s">
        <v>56</v>
      </c>
      <c r="M858" s="172" t="s">
        <v>17</v>
      </c>
    </row>
    <row r="859" spans="1:13" x14ac:dyDescent="0.2">
      <c r="A859" s="172" t="s">
        <v>12</v>
      </c>
      <c r="B859" s="172" t="s">
        <v>13</v>
      </c>
      <c r="C859" s="172" t="s">
        <v>21</v>
      </c>
      <c r="D859" s="172" t="s">
        <v>15</v>
      </c>
      <c r="E859" s="173">
        <v>42997</v>
      </c>
      <c r="F859" s="174">
        <v>897.38400000000001</v>
      </c>
      <c r="G859" s="175" t="s">
        <v>19</v>
      </c>
      <c r="H859" s="172" t="s">
        <v>17</v>
      </c>
      <c r="I859" s="175">
        <v>1</v>
      </c>
      <c r="J859" s="175" t="s">
        <v>18</v>
      </c>
      <c r="K859" s="175" t="s">
        <v>57</v>
      </c>
      <c r="L859" s="172" t="s">
        <v>56</v>
      </c>
      <c r="M859" s="172" t="s">
        <v>17</v>
      </c>
    </row>
    <row r="860" spans="1:13" x14ac:dyDescent="0.2">
      <c r="A860" s="172" t="s">
        <v>12</v>
      </c>
      <c r="B860" s="172" t="s">
        <v>13</v>
      </c>
      <c r="C860" s="172" t="s">
        <v>21</v>
      </c>
      <c r="D860" s="172" t="s">
        <v>15</v>
      </c>
      <c r="E860" s="173">
        <v>42997</v>
      </c>
      <c r="F860" s="174">
        <v>1.23</v>
      </c>
      <c r="G860" s="175" t="s">
        <v>16</v>
      </c>
      <c r="H860" s="172" t="s">
        <v>20</v>
      </c>
      <c r="I860" s="175">
        <v>1</v>
      </c>
      <c r="J860" s="175" t="s">
        <v>18</v>
      </c>
      <c r="K860" s="175" t="s">
        <v>57</v>
      </c>
      <c r="L860" s="172" t="s">
        <v>56</v>
      </c>
      <c r="M860" s="172" t="s">
        <v>20</v>
      </c>
    </row>
    <row r="861" spans="1:13" x14ac:dyDescent="0.2">
      <c r="A861" s="172" t="s">
        <v>12</v>
      </c>
      <c r="B861" s="172" t="s">
        <v>13</v>
      </c>
      <c r="C861" s="172" t="s">
        <v>21</v>
      </c>
      <c r="D861" s="172" t="s">
        <v>15</v>
      </c>
      <c r="E861" s="173">
        <v>42997</v>
      </c>
      <c r="F861" s="174">
        <v>214.39637999999999</v>
      </c>
      <c r="G861" s="175" t="s">
        <v>19</v>
      </c>
      <c r="H861" s="172" t="s">
        <v>20</v>
      </c>
      <c r="I861" s="175">
        <v>1</v>
      </c>
      <c r="J861" s="175" t="s">
        <v>18</v>
      </c>
      <c r="K861" s="175" t="s">
        <v>57</v>
      </c>
      <c r="L861" s="172" t="s">
        <v>56</v>
      </c>
      <c r="M861" s="172" t="s">
        <v>20</v>
      </c>
    </row>
    <row r="862" spans="1:13" x14ac:dyDescent="0.2">
      <c r="A862" s="172" t="s">
        <v>12</v>
      </c>
      <c r="B862" s="172" t="s">
        <v>13</v>
      </c>
      <c r="C862" s="172" t="s">
        <v>21</v>
      </c>
      <c r="D862" s="172" t="s">
        <v>15</v>
      </c>
      <c r="E862" s="173">
        <v>42991</v>
      </c>
      <c r="F862" s="174">
        <v>16.139036099999998</v>
      </c>
      <c r="G862" s="175" t="s">
        <v>16</v>
      </c>
      <c r="H862" s="172" t="s">
        <v>17</v>
      </c>
      <c r="I862" s="175">
        <v>1</v>
      </c>
      <c r="J862" s="175" t="s">
        <v>18</v>
      </c>
      <c r="K862" s="175" t="s">
        <v>57</v>
      </c>
      <c r="L862" s="172" t="s">
        <v>56</v>
      </c>
      <c r="M862" s="172" t="s">
        <v>17</v>
      </c>
    </row>
    <row r="863" spans="1:13" x14ac:dyDescent="0.2">
      <c r="A863" s="172" t="s">
        <v>12</v>
      </c>
      <c r="B863" s="172" t="s">
        <v>13</v>
      </c>
      <c r="C863" s="172" t="s">
        <v>21</v>
      </c>
      <c r="D863" s="172" t="s">
        <v>15</v>
      </c>
      <c r="E863" s="173">
        <v>42991</v>
      </c>
      <c r="F863" s="174">
        <v>2234.3527199999999</v>
      </c>
      <c r="G863" s="175" t="s">
        <v>19</v>
      </c>
      <c r="H863" s="172" t="s">
        <v>17</v>
      </c>
      <c r="I863" s="175">
        <v>1</v>
      </c>
      <c r="J863" s="175" t="s">
        <v>18</v>
      </c>
      <c r="K863" s="175" t="s">
        <v>57</v>
      </c>
      <c r="L863" s="172" t="s">
        <v>56</v>
      </c>
      <c r="M863" s="172" t="s">
        <v>17</v>
      </c>
    </row>
    <row r="864" spans="1:13" x14ac:dyDescent="0.2">
      <c r="A864" s="172" t="s">
        <v>12</v>
      </c>
      <c r="B864" s="172" t="s">
        <v>13</v>
      </c>
      <c r="C864" s="172" t="s">
        <v>21</v>
      </c>
      <c r="D864" s="172" t="s">
        <v>15</v>
      </c>
      <c r="E864" s="173">
        <v>42991</v>
      </c>
      <c r="F864" s="174">
        <v>0.78700000000000003</v>
      </c>
      <c r="G864" s="175" t="s">
        <v>16</v>
      </c>
      <c r="H864" s="172" t="s">
        <v>20</v>
      </c>
      <c r="I864" s="175">
        <v>1</v>
      </c>
      <c r="J864" s="175" t="s">
        <v>18</v>
      </c>
      <c r="K864" s="175" t="s">
        <v>57</v>
      </c>
      <c r="L864" s="172" t="s">
        <v>56</v>
      </c>
      <c r="M864" s="172" t="s">
        <v>20</v>
      </c>
    </row>
    <row r="865" spans="1:13" x14ac:dyDescent="0.2">
      <c r="A865" s="172" t="s">
        <v>12</v>
      </c>
      <c r="B865" s="172" t="s">
        <v>13</v>
      </c>
      <c r="C865" s="172" t="s">
        <v>21</v>
      </c>
      <c r="D865" s="172" t="s">
        <v>15</v>
      </c>
      <c r="E865" s="173">
        <v>42991</v>
      </c>
      <c r="F865" s="174">
        <v>135.866106</v>
      </c>
      <c r="G865" s="175" t="s">
        <v>19</v>
      </c>
      <c r="H865" s="172" t="s">
        <v>20</v>
      </c>
      <c r="I865" s="175">
        <v>1</v>
      </c>
      <c r="J865" s="175" t="s">
        <v>18</v>
      </c>
      <c r="K865" s="175" t="s">
        <v>57</v>
      </c>
      <c r="L865" s="172" t="s">
        <v>56</v>
      </c>
      <c r="M865" s="172" t="s">
        <v>20</v>
      </c>
    </row>
    <row r="866" spans="1:13" x14ac:dyDescent="0.2">
      <c r="A866" s="172" t="s">
        <v>12</v>
      </c>
      <c r="B866" s="172" t="s">
        <v>13</v>
      </c>
      <c r="C866" s="172" t="s">
        <v>21</v>
      </c>
      <c r="D866" s="172" t="s">
        <v>15</v>
      </c>
      <c r="E866" s="173">
        <v>42984</v>
      </c>
      <c r="F866" s="174">
        <v>6.0828069999999999</v>
      </c>
      <c r="G866" s="175" t="s">
        <v>16</v>
      </c>
      <c r="H866" s="172" t="s">
        <v>17</v>
      </c>
      <c r="I866" s="175">
        <v>1</v>
      </c>
      <c r="J866" s="175" t="s">
        <v>18</v>
      </c>
      <c r="K866" s="175" t="s">
        <v>57</v>
      </c>
      <c r="L866" s="172" t="s">
        <v>56</v>
      </c>
      <c r="M866" s="172" t="s">
        <v>17</v>
      </c>
    </row>
    <row r="867" spans="1:13" x14ac:dyDescent="0.2">
      <c r="A867" s="172" t="s">
        <v>12</v>
      </c>
      <c r="B867" s="172" t="s">
        <v>13</v>
      </c>
      <c r="C867" s="172" t="s">
        <v>21</v>
      </c>
      <c r="D867" s="172" t="s">
        <v>15</v>
      </c>
      <c r="E867" s="173">
        <v>42984</v>
      </c>
      <c r="F867" s="174">
        <v>867.49343999999996</v>
      </c>
      <c r="G867" s="175" t="s">
        <v>19</v>
      </c>
      <c r="H867" s="172" t="s">
        <v>17</v>
      </c>
      <c r="I867" s="175">
        <v>1</v>
      </c>
      <c r="J867" s="175" t="s">
        <v>18</v>
      </c>
      <c r="K867" s="175" t="s">
        <v>57</v>
      </c>
      <c r="L867" s="172" t="s">
        <v>56</v>
      </c>
      <c r="M867" s="172" t="s">
        <v>17</v>
      </c>
    </row>
    <row r="868" spans="1:13" x14ac:dyDescent="0.2">
      <c r="A868" s="172" t="s">
        <v>12</v>
      </c>
      <c r="B868" s="172" t="s">
        <v>13</v>
      </c>
      <c r="C868" s="172" t="s">
        <v>21</v>
      </c>
      <c r="D868" s="172" t="s">
        <v>15</v>
      </c>
      <c r="E868" s="173">
        <v>42984</v>
      </c>
      <c r="F868" s="174">
        <v>0.48399999999999999</v>
      </c>
      <c r="G868" s="175" t="s">
        <v>16</v>
      </c>
      <c r="H868" s="172" t="s">
        <v>20</v>
      </c>
      <c r="I868" s="175">
        <v>1</v>
      </c>
      <c r="J868" s="175" t="s">
        <v>18</v>
      </c>
      <c r="K868" s="175" t="s">
        <v>57</v>
      </c>
      <c r="L868" s="172" t="s">
        <v>56</v>
      </c>
      <c r="M868" s="172" t="s">
        <v>20</v>
      </c>
    </row>
    <row r="869" spans="1:13" x14ac:dyDescent="0.2">
      <c r="A869" s="172" t="s">
        <v>12</v>
      </c>
      <c r="B869" s="172" t="s">
        <v>13</v>
      </c>
      <c r="C869" s="172" t="s">
        <v>21</v>
      </c>
      <c r="D869" s="172" t="s">
        <v>15</v>
      </c>
      <c r="E869" s="173">
        <v>42984</v>
      </c>
      <c r="F869" s="174">
        <v>81.134855999999999</v>
      </c>
      <c r="G869" s="175" t="s">
        <v>19</v>
      </c>
      <c r="H869" s="172" t="s">
        <v>20</v>
      </c>
      <c r="I869" s="175">
        <v>1</v>
      </c>
      <c r="J869" s="175" t="s">
        <v>18</v>
      </c>
      <c r="K869" s="175" t="s">
        <v>57</v>
      </c>
      <c r="L869" s="172" t="s">
        <v>56</v>
      </c>
      <c r="M869" s="172" t="s">
        <v>20</v>
      </c>
    </row>
    <row r="870" spans="1:13" x14ac:dyDescent="0.2">
      <c r="A870" s="172" t="s">
        <v>12</v>
      </c>
      <c r="B870" s="172" t="s">
        <v>13</v>
      </c>
      <c r="C870" s="172" t="s">
        <v>21</v>
      </c>
      <c r="D870" s="172" t="s">
        <v>15</v>
      </c>
      <c r="E870" s="173">
        <v>42977</v>
      </c>
      <c r="F870" s="174">
        <v>5.2067009999999998</v>
      </c>
      <c r="G870" s="175" t="s">
        <v>16</v>
      </c>
      <c r="H870" s="172" t="s">
        <v>17</v>
      </c>
      <c r="I870" s="175">
        <v>1</v>
      </c>
      <c r="J870" s="175" t="s">
        <v>18</v>
      </c>
      <c r="K870" s="175" t="s">
        <v>57</v>
      </c>
      <c r="L870" s="172" t="s">
        <v>56</v>
      </c>
      <c r="M870" s="172" t="s">
        <v>17</v>
      </c>
    </row>
    <row r="871" spans="1:13" x14ac:dyDescent="0.2">
      <c r="A871" s="172" t="s">
        <v>12</v>
      </c>
      <c r="B871" s="172" t="s">
        <v>13</v>
      </c>
      <c r="C871" s="172" t="s">
        <v>21</v>
      </c>
      <c r="D871" s="172" t="s">
        <v>15</v>
      </c>
      <c r="E871" s="173">
        <v>42977</v>
      </c>
      <c r="F871" s="174">
        <v>842.42340000000002</v>
      </c>
      <c r="G871" s="175" t="s">
        <v>19</v>
      </c>
      <c r="H871" s="172" t="s">
        <v>17</v>
      </c>
      <c r="I871" s="175">
        <v>1</v>
      </c>
      <c r="J871" s="175" t="s">
        <v>18</v>
      </c>
      <c r="K871" s="175" t="s">
        <v>57</v>
      </c>
      <c r="L871" s="172" t="s">
        <v>56</v>
      </c>
      <c r="M871" s="172" t="s">
        <v>17</v>
      </c>
    </row>
    <row r="872" spans="1:13" x14ac:dyDescent="0.2">
      <c r="A872" s="172" t="s">
        <v>12</v>
      </c>
      <c r="B872" s="172" t="s">
        <v>13</v>
      </c>
      <c r="C872" s="172" t="s">
        <v>21</v>
      </c>
      <c r="D872" s="172" t="s">
        <v>15</v>
      </c>
      <c r="E872" s="173">
        <v>42977</v>
      </c>
      <c r="F872" s="174">
        <v>0.96</v>
      </c>
      <c r="G872" s="175" t="s">
        <v>16</v>
      </c>
      <c r="H872" s="172" t="s">
        <v>20</v>
      </c>
      <c r="I872" s="175">
        <v>1</v>
      </c>
      <c r="J872" s="175" t="s">
        <v>18</v>
      </c>
      <c r="K872" s="175" t="s">
        <v>57</v>
      </c>
      <c r="L872" s="172" t="s">
        <v>56</v>
      </c>
      <c r="M872" s="172" t="s">
        <v>20</v>
      </c>
    </row>
    <row r="873" spans="1:13" x14ac:dyDescent="0.2">
      <c r="A873" s="172" t="s">
        <v>12</v>
      </c>
      <c r="B873" s="172" t="s">
        <v>13</v>
      </c>
      <c r="C873" s="172" t="s">
        <v>21</v>
      </c>
      <c r="D873" s="172" t="s">
        <v>15</v>
      </c>
      <c r="E873" s="173">
        <v>42977</v>
      </c>
      <c r="F873" s="174">
        <v>174.53952000000001</v>
      </c>
      <c r="G873" s="175" t="s">
        <v>19</v>
      </c>
      <c r="H873" s="172" t="s">
        <v>20</v>
      </c>
      <c r="I873" s="175">
        <v>1</v>
      </c>
      <c r="J873" s="175" t="s">
        <v>18</v>
      </c>
      <c r="K873" s="175" t="s">
        <v>57</v>
      </c>
      <c r="L873" s="172" t="s">
        <v>56</v>
      </c>
      <c r="M873" s="172" t="s">
        <v>20</v>
      </c>
    </row>
    <row r="874" spans="1:13" x14ac:dyDescent="0.2">
      <c r="A874" s="172" t="s">
        <v>12</v>
      </c>
      <c r="B874" s="172" t="s">
        <v>13</v>
      </c>
      <c r="C874" s="172" t="s">
        <v>21</v>
      </c>
      <c r="D874" s="172" t="s">
        <v>15</v>
      </c>
      <c r="E874" s="173">
        <v>42970</v>
      </c>
      <c r="F874" s="174">
        <v>5.8660540000000001</v>
      </c>
      <c r="G874" s="175" t="s">
        <v>16</v>
      </c>
      <c r="H874" s="172" t="s">
        <v>17</v>
      </c>
      <c r="I874" s="175">
        <v>1</v>
      </c>
      <c r="J874" s="175" t="s">
        <v>18</v>
      </c>
      <c r="K874" s="175" t="s">
        <v>57</v>
      </c>
      <c r="L874" s="172" t="s">
        <v>56</v>
      </c>
      <c r="M874" s="172" t="s">
        <v>17</v>
      </c>
    </row>
    <row r="875" spans="1:13" x14ac:dyDescent="0.2">
      <c r="A875" s="172" t="s">
        <v>12</v>
      </c>
      <c r="B875" s="172" t="s">
        <v>13</v>
      </c>
      <c r="C875" s="172" t="s">
        <v>21</v>
      </c>
      <c r="D875" s="172" t="s">
        <v>15</v>
      </c>
      <c r="E875" s="173">
        <v>42970</v>
      </c>
      <c r="F875" s="174">
        <v>905.07348000000002</v>
      </c>
      <c r="G875" s="175" t="s">
        <v>19</v>
      </c>
      <c r="H875" s="172" t="s">
        <v>17</v>
      </c>
      <c r="I875" s="175">
        <v>1</v>
      </c>
      <c r="J875" s="175" t="s">
        <v>18</v>
      </c>
      <c r="K875" s="175" t="s">
        <v>57</v>
      </c>
      <c r="L875" s="172" t="s">
        <v>56</v>
      </c>
      <c r="M875" s="172" t="s">
        <v>17</v>
      </c>
    </row>
    <row r="876" spans="1:13" x14ac:dyDescent="0.2">
      <c r="A876" s="172" t="s">
        <v>12</v>
      </c>
      <c r="B876" s="172" t="s">
        <v>13</v>
      </c>
      <c r="C876" s="172" t="s">
        <v>21</v>
      </c>
      <c r="D876" s="172" t="s">
        <v>15</v>
      </c>
      <c r="E876" s="173">
        <v>42970</v>
      </c>
      <c r="F876" s="174">
        <v>4.4800000000000004</v>
      </c>
      <c r="G876" s="175" t="s">
        <v>16</v>
      </c>
      <c r="H876" s="172" t="s">
        <v>20</v>
      </c>
      <c r="I876" s="175">
        <v>1</v>
      </c>
      <c r="J876" s="175" t="s">
        <v>18</v>
      </c>
      <c r="K876" s="175" t="s">
        <v>57</v>
      </c>
      <c r="L876" s="172" t="s">
        <v>56</v>
      </c>
      <c r="M876" s="172" t="s">
        <v>20</v>
      </c>
    </row>
    <row r="877" spans="1:13" x14ac:dyDescent="0.2">
      <c r="A877" s="172" t="s">
        <v>12</v>
      </c>
      <c r="B877" s="172" t="s">
        <v>13</v>
      </c>
      <c r="C877" s="172" t="s">
        <v>21</v>
      </c>
      <c r="D877" s="172" t="s">
        <v>15</v>
      </c>
      <c r="E877" s="173">
        <v>42970</v>
      </c>
      <c r="F877" s="174">
        <v>788.36351999999999</v>
      </c>
      <c r="G877" s="175" t="s">
        <v>19</v>
      </c>
      <c r="H877" s="172" t="s">
        <v>20</v>
      </c>
      <c r="I877" s="175">
        <v>1</v>
      </c>
      <c r="J877" s="175" t="s">
        <v>18</v>
      </c>
      <c r="K877" s="175" t="s">
        <v>57</v>
      </c>
      <c r="L877" s="172" t="s">
        <v>56</v>
      </c>
      <c r="M877" s="172" t="s">
        <v>20</v>
      </c>
    </row>
    <row r="878" spans="1:13" x14ac:dyDescent="0.2">
      <c r="A878" s="172" t="s">
        <v>12</v>
      </c>
      <c r="B878" s="172" t="s">
        <v>13</v>
      </c>
      <c r="C878" s="172" t="s">
        <v>21</v>
      </c>
      <c r="D878" s="172" t="s">
        <v>15</v>
      </c>
      <c r="E878" s="173">
        <v>42963</v>
      </c>
      <c r="F878" s="174">
        <v>6.5675246999999999</v>
      </c>
      <c r="G878" s="175" t="s">
        <v>16</v>
      </c>
      <c r="H878" s="172" t="s">
        <v>17</v>
      </c>
      <c r="I878" s="175">
        <v>1</v>
      </c>
      <c r="J878" s="175" t="s">
        <v>18</v>
      </c>
      <c r="K878" s="175" t="s">
        <v>57</v>
      </c>
      <c r="L878" s="172" t="s">
        <v>56</v>
      </c>
      <c r="M878" s="172" t="s">
        <v>17</v>
      </c>
    </row>
    <row r="879" spans="1:13" x14ac:dyDescent="0.2">
      <c r="A879" s="172" t="s">
        <v>12</v>
      </c>
      <c r="B879" s="172" t="s">
        <v>13</v>
      </c>
      <c r="C879" s="172" t="s">
        <v>21</v>
      </c>
      <c r="D879" s="172" t="s">
        <v>15</v>
      </c>
      <c r="E879" s="173">
        <v>42963</v>
      </c>
      <c r="F879" s="174">
        <v>1106.41776</v>
      </c>
      <c r="G879" s="175" t="s">
        <v>19</v>
      </c>
      <c r="H879" s="172" t="s">
        <v>17</v>
      </c>
      <c r="I879" s="175">
        <v>1</v>
      </c>
      <c r="J879" s="175" t="s">
        <v>18</v>
      </c>
      <c r="K879" s="175" t="s">
        <v>57</v>
      </c>
      <c r="L879" s="172" t="s">
        <v>56</v>
      </c>
      <c r="M879" s="172" t="s">
        <v>17</v>
      </c>
    </row>
    <row r="880" spans="1:13" x14ac:dyDescent="0.2">
      <c r="A880" s="172" t="s">
        <v>12</v>
      </c>
      <c r="B880" s="172" t="s">
        <v>13</v>
      </c>
      <c r="C880" s="172" t="s">
        <v>21</v>
      </c>
      <c r="D880" s="172" t="s">
        <v>15</v>
      </c>
      <c r="E880" s="173">
        <v>42963</v>
      </c>
      <c r="F880" s="174">
        <v>0.38</v>
      </c>
      <c r="G880" s="175" t="s">
        <v>16</v>
      </c>
      <c r="H880" s="172" t="s">
        <v>20</v>
      </c>
      <c r="I880" s="175">
        <v>1</v>
      </c>
      <c r="J880" s="175" t="s">
        <v>18</v>
      </c>
      <c r="K880" s="175" t="s">
        <v>57</v>
      </c>
      <c r="L880" s="172" t="s">
        <v>56</v>
      </c>
      <c r="M880" s="172" t="s">
        <v>20</v>
      </c>
    </row>
    <row r="881" spans="1:13" x14ac:dyDescent="0.2">
      <c r="A881" s="172" t="s">
        <v>12</v>
      </c>
      <c r="B881" s="172" t="s">
        <v>13</v>
      </c>
      <c r="C881" s="172" t="s">
        <v>21</v>
      </c>
      <c r="D881" s="172" t="s">
        <v>15</v>
      </c>
      <c r="E881" s="173">
        <v>42963</v>
      </c>
      <c r="F881" s="174">
        <v>71.307000000000002</v>
      </c>
      <c r="G881" s="175" t="s">
        <v>19</v>
      </c>
      <c r="H881" s="172" t="s">
        <v>20</v>
      </c>
      <c r="I881" s="175">
        <v>1</v>
      </c>
      <c r="J881" s="175" t="s">
        <v>18</v>
      </c>
      <c r="K881" s="175" t="s">
        <v>57</v>
      </c>
      <c r="L881" s="172" t="s">
        <v>56</v>
      </c>
      <c r="M881" s="172" t="s">
        <v>20</v>
      </c>
    </row>
    <row r="882" spans="1:13" x14ac:dyDescent="0.2">
      <c r="A882" s="172" t="s">
        <v>12</v>
      </c>
      <c r="B882" s="172" t="s">
        <v>13</v>
      </c>
      <c r="C882" s="172" t="s">
        <v>21</v>
      </c>
      <c r="D882" s="172" t="s">
        <v>15</v>
      </c>
      <c r="E882" s="173">
        <v>42957</v>
      </c>
      <c r="F882" s="174">
        <v>5.9789814000000003</v>
      </c>
      <c r="G882" s="175" t="s">
        <v>16</v>
      </c>
      <c r="H882" s="172" t="s">
        <v>17</v>
      </c>
      <c r="I882" s="175">
        <v>1</v>
      </c>
      <c r="J882" s="175" t="s">
        <v>18</v>
      </c>
      <c r="K882" s="175" t="s">
        <v>57</v>
      </c>
      <c r="L882" s="172" t="s">
        <v>56</v>
      </c>
      <c r="M882" s="172" t="s">
        <v>17</v>
      </c>
    </row>
    <row r="883" spans="1:13" x14ac:dyDescent="0.2">
      <c r="A883" s="172" t="s">
        <v>12</v>
      </c>
      <c r="B883" s="172" t="s">
        <v>13</v>
      </c>
      <c r="C883" s="172" t="s">
        <v>21</v>
      </c>
      <c r="D883" s="172" t="s">
        <v>15</v>
      </c>
      <c r="E883" s="173">
        <v>42957</v>
      </c>
      <c r="F883" s="174">
        <v>1077.07764</v>
      </c>
      <c r="G883" s="175" t="s">
        <v>19</v>
      </c>
      <c r="H883" s="172" t="s">
        <v>17</v>
      </c>
      <c r="I883" s="175">
        <v>1</v>
      </c>
      <c r="J883" s="175" t="s">
        <v>18</v>
      </c>
      <c r="K883" s="175" t="s">
        <v>57</v>
      </c>
      <c r="L883" s="172" t="s">
        <v>56</v>
      </c>
      <c r="M883" s="172" t="s">
        <v>17</v>
      </c>
    </row>
    <row r="884" spans="1:13" x14ac:dyDescent="0.2">
      <c r="A884" s="172" t="s">
        <v>12</v>
      </c>
      <c r="B884" s="172" t="s">
        <v>13</v>
      </c>
      <c r="C884" s="172" t="s">
        <v>21</v>
      </c>
      <c r="D884" s="172" t="s">
        <v>15</v>
      </c>
      <c r="E884" s="173">
        <v>42957</v>
      </c>
      <c r="F884" s="174">
        <v>0.05</v>
      </c>
      <c r="G884" s="175" t="s">
        <v>16</v>
      </c>
      <c r="H884" s="172" t="s">
        <v>20</v>
      </c>
      <c r="I884" s="175">
        <v>1</v>
      </c>
      <c r="J884" s="175" t="s">
        <v>18</v>
      </c>
      <c r="K884" s="175" t="s">
        <v>57</v>
      </c>
      <c r="L884" s="172" t="s">
        <v>56</v>
      </c>
      <c r="M884" s="172" t="s">
        <v>20</v>
      </c>
    </row>
    <row r="885" spans="1:13" x14ac:dyDescent="0.2">
      <c r="A885" s="172" t="s">
        <v>12</v>
      </c>
      <c r="B885" s="172" t="s">
        <v>13</v>
      </c>
      <c r="C885" s="172" t="s">
        <v>21</v>
      </c>
      <c r="D885" s="172" t="s">
        <v>15</v>
      </c>
      <c r="E885" s="173">
        <v>42957</v>
      </c>
      <c r="F885" s="174">
        <v>10.2582</v>
      </c>
      <c r="G885" s="175" t="s">
        <v>19</v>
      </c>
      <c r="H885" s="172" t="s">
        <v>20</v>
      </c>
      <c r="I885" s="175">
        <v>1</v>
      </c>
      <c r="J885" s="175" t="s">
        <v>18</v>
      </c>
      <c r="K885" s="175" t="s">
        <v>57</v>
      </c>
      <c r="L885" s="172" t="s">
        <v>56</v>
      </c>
      <c r="M885" s="172" t="s">
        <v>20</v>
      </c>
    </row>
    <row r="886" spans="1:13" x14ac:dyDescent="0.2">
      <c r="A886" s="172" t="s">
        <v>12</v>
      </c>
      <c r="B886" s="172" t="s">
        <v>13</v>
      </c>
      <c r="C886" s="172" t="s">
        <v>21</v>
      </c>
      <c r="D886" s="172" t="s">
        <v>15</v>
      </c>
      <c r="E886" s="173">
        <v>42949</v>
      </c>
      <c r="F886" s="174">
        <v>3.1518248</v>
      </c>
      <c r="G886" s="175" t="s">
        <v>16</v>
      </c>
      <c r="H886" s="172" t="s">
        <v>17</v>
      </c>
      <c r="I886" s="175">
        <v>1</v>
      </c>
      <c r="J886" s="175" t="s">
        <v>18</v>
      </c>
      <c r="K886" s="175" t="s">
        <v>57</v>
      </c>
      <c r="L886" s="172" t="s">
        <v>56</v>
      </c>
      <c r="M886" s="172" t="s">
        <v>17</v>
      </c>
    </row>
    <row r="887" spans="1:13" x14ac:dyDescent="0.2">
      <c r="A887" s="172" t="s">
        <v>12</v>
      </c>
      <c r="B887" s="172" t="s">
        <v>13</v>
      </c>
      <c r="C887" s="172" t="s">
        <v>21</v>
      </c>
      <c r="D887" s="172" t="s">
        <v>15</v>
      </c>
      <c r="E887" s="173">
        <v>42949</v>
      </c>
      <c r="F887" s="174">
        <v>720.24239999999998</v>
      </c>
      <c r="G887" s="175" t="s">
        <v>19</v>
      </c>
      <c r="H887" s="172" t="s">
        <v>17</v>
      </c>
      <c r="I887" s="175">
        <v>1</v>
      </c>
      <c r="J887" s="175" t="s">
        <v>18</v>
      </c>
      <c r="K887" s="175" t="s">
        <v>57</v>
      </c>
      <c r="L887" s="172" t="s">
        <v>56</v>
      </c>
      <c r="M887" s="172" t="s">
        <v>17</v>
      </c>
    </row>
    <row r="888" spans="1:13" x14ac:dyDescent="0.2">
      <c r="A888" s="172" t="s">
        <v>12</v>
      </c>
      <c r="B888" s="172" t="s">
        <v>13</v>
      </c>
      <c r="C888" s="172" t="s">
        <v>21</v>
      </c>
      <c r="D888" s="172" t="s">
        <v>15</v>
      </c>
      <c r="E888" s="173">
        <v>42949</v>
      </c>
      <c r="F888" s="174">
        <v>0.46500000000000002</v>
      </c>
      <c r="G888" s="175" t="s">
        <v>16</v>
      </c>
      <c r="H888" s="172" t="s">
        <v>20</v>
      </c>
      <c r="I888" s="175">
        <v>1</v>
      </c>
      <c r="J888" s="175" t="s">
        <v>18</v>
      </c>
      <c r="K888" s="175" t="s">
        <v>57</v>
      </c>
      <c r="L888" s="172" t="s">
        <v>56</v>
      </c>
      <c r="M888" s="172" t="s">
        <v>20</v>
      </c>
    </row>
    <row r="889" spans="1:13" x14ac:dyDescent="0.2">
      <c r="A889" s="172" t="s">
        <v>12</v>
      </c>
      <c r="B889" s="172" t="s">
        <v>13</v>
      </c>
      <c r="C889" s="172" t="s">
        <v>21</v>
      </c>
      <c r="D889" s="172" t="s">
        <v>15</v>
      </c>
      <c r="E889" s="173">
        <v>42949</v>
      </c>
      <c r="F889" s="174">
        <v>120.99672</v>
      </c>
      <c r="G889" s="175" t="s">
        <v>19</v>
      </c>
      <c r="H889" s="172" t="s">
        <v>20</v>
      </c>
      <c r="I889" s="175">
        <v>1</v>
      </c>
      <c r="J889" s="175" t="s">
        <v>18</v>
      </c>
      <c r="K889" s="175" t="s">
        <v>57</v>
      </c>
      <c r="L889" s="172" t="s">
        <v>56</v>
      </c>
      <c r="M889" s="172" t="s">
        <v>20</v>
      </c>
    </row>
    <row r="890" spans="1:13" x14ac:dyDescent="0.2">
      <c r="A890" s="172" t="s">
        <v>12</v>
      </c>
      <c r="B890" s="172" t="s">
        <v>13</v>
      </c>
      <c r="C890" s="172" t="s">
        <v>21</v>
      </c>
      <c r="D890" s="172" t="s">
        <v>15</v>
      </c>
      <c r="E890" s="173">
        <v>42914</v>
      </c>
      <c r="F890" s="174">
        <v>8.5860252999999993</v>
      </c>
      <c r="G890" s="175" t="s">
        <v>16</v>
      </c>
      <c r="H890" s="172" t="s">
        <v>17</v>
      </c>
      <c r="I890" s="175">
        <v>1</v>
      </c>
      <c r="J890" s="175" t="s">
        <v>18</v>
      </c>
      <c r="K890" s="175" t="s">
        <v>57</v>
      </c>
      <c r="L890" s="172" t="s">
        <v>56</v>
      </c>
      <c r="M890" s="172" t="s">
        <v>17</v>
      </c>
    </row>
    <row r="891" spans="1:13" x14ac:dyDescent="0.2">
      <c r="A891" s="172" t="s">
        <v>12</v>
      </c>
      <c r="B891" s="172" t="s">
        <v>13</v>
      </c>
      <c r="C891" s="172" t="s">
        <v>21</v>
      </c>
      <c r="D891" s="172" t="s">
        <v>15</v>
      </c>
      <c r="E891" s="173">
        <v>42914</v>
      </c>
      <c r="F891" s="174">
        <v>2828.4943199999998</v>
      </c>
      <c r="G891" s="175" t="s">
        <v>19</v>
      </c>
      <c r="H891" s="172" t="s">
        <v>17</v>
      </c>
      <c r="I891" s="175">
        <v>1</v>
      </c>
      <c r="J891" s="175" t="s">
        <v>18</v>
      </c>
      <c r="K891" s="175" t="s">
        <v>57</v>
      </c>
      <c r="L891" s="172" t="s">
        <v>56</v>
      </c>
      <c r="M891" s="172" t="s">
        <v>17</v>
      </c>
    </row>
    <row r="892" spans="1:13" x14ac:dyDescent="0.2">
      <c r="A892" s="172" t="s">
        <v>12</v>
      </c>
      <c r="B892" s="172" t="s">
        <v>13</v>
      </c>
      <c r="C892" s="172" t="s">
        <v>21</v>
      </c>
      <c r="D892" s="172" t="s">
        <v>15</v>
      </c>
      <c r="E892" s="173">
        <v>42914</v>
      </c>
      <c r="F892" s="174">
        <v>0.30399999999999999</v>
      </c>
      <c r="G892" s="175" t="s">
        <v>16</v>
      </c>
      <c r="H892" s="172" t="s">
        <v>20</v>
      </c>
      <c r="I892" s="175">
        <v>1</v>
      </c>
      <c r="J892" s="175" t="s">
        <v>18</v>
      </c>
      <c r="K892" s="175" t="s">
        <v>57</v>
      </c>
      <c r="L892" s="172" t="s">
        <v>56</v>
      </c>
      <c r="M892" s="172" t="s">
        <v>20</v>
      </c>
    </row>
    <row r="893" spans="1:13" x14ac:dyDescent="0.2">
      <c r="A893" s="172" t="s">
        <v>12</v>
      </c>
      <c r="B893" s="172" t="s">
        <v>13</v>
      </c>
      <c r="C893" s="172" t="s">
        <v>21</v>
      </c>
      <c r="D893" s="172" t="s">
        <v>15</v>
      </c>
      <c r="E893" s="173">
        <v>42914</v>
      </c>
      <c r="F893" s="174">
        <v>98.118431999999999</v>
      </c>
      <c r="G893" s="175" t="s">
        <v>19</v>
      </c>
      <c r="H893" s="172" t="s">
        <v>20</v>
      </c>
      <c r="I893" s="175">
        <v>1</v>
      </c>
      <c r="J893" s="175" t="s">
        <v>18</v>
      </c>
      <c r="K893" s="175" t="s">
        <v>57</v>
      </c>
      <c r="L893" s="172" t="s">
        <v>56</v>
      </c>
      <c r="M893" s="172" t="s">
        <v>20</v>
      </c>
    </row>
    <row r="894" spans="1:13" x14ac:dyDescent="0.2">
      <c r="A894" s="172" t="s">
        <v>12</v>
      </c>
      <c r="B894" s="172" t="s">
        <v>13</v>
      </c>
      <c r="C894" s="172" t="s">
        <v>21</v>
      </c>
      <c r="D894" s="172" t="s">
        <v>15</v>
      </c>
      <c r="E894" s="173">
        <v>42906</v>
      </c>
      <c r="F894" s="174">
        <v>0.80733330000000003</v>
      </c>
      <c r="G894" s="175" t="s">
        <v>16</v>
      </c>
      <c r="H894" s="172" t="s">
        <v>17</v>
      </c>
      <c r="I894" s="175">
        <v>1</v>
      </c>
      <c r="J894" s="175" t="s">
        <v>18</v>
      </c>
      <c r="K894" s="175" t="s">
        <v>57</v>
      </c>
      <c r="L894" s="172" t="s">
        <v>56</v>
      </c>
      <c r="M894" s="172" t="s">
        <v>17</v>
      </c>
    </row>
    <row r="895" spans="1:13" x14ac:dyDescent="0.2">
      <c r="A895" s="172" t="s">
        <v>12</v>
      </c>
      <c r="B895" s="172" t="s">
        <v>13</v>
      </c>
      <c r="C895" s="172" t="s">
        <v>21</v>
      </c>
      <c r="D895" s="172" t="s">
        <v>15</v>
      </c>
      <c r="E895" s="173">
        <v>42906</v>
      </c>
      <c r="F895" s="174">
        <v>181.79532</v>
      </c>
      <c r="G895" s="175" t="s">
        <v>19</v>
      </c>
      <c r="H895" s="172" t="s">
        <v>17</v>
      </c>
      <c r="I895" s="175">
        <v>1</v>
      </c>
      <c r="J895" s="175" t="s">
        <v>18</v>
      </c>
      <c r="K895" s="175" t="s">
        <v>57</v>
      </c>
      <c r="L895" s="172" t="s">
        <v>56</v>
      </c>
      <c r="M895" s="172" t="s">
        <v>17</v>
      </c>
    </row>
    <row r="896" spans="1:13" x14ac:dyDescent="0.2">
      <c r="A896" s="172" t="s">
        <v>12</v>
      </c>
      <c r="B896" s="172" t="s">
        <v>13</v>
      </c>
      <c r="C896" s="172" t="s">
        <v>21</v>
      </c>
      <c r="D896" s="172" t="s">
        <v>15</v>
      </c>
      <c r="E896" s="173">
        <v>42906</v>
      </c>
      <c r="F896" s="174">
        <v>0.185</v>
      </c>
      <c r="G896" s="175" t="s">
        <v>16</v>
      </c>
      <c r="H896" s="172" t="s">
        <v>20</v>
      </c>
      <c r="I896" s="175">
        <v>1</v>
      </c>
      <c r="J896" s="175" t="s">
        <v>18</v>
      </c>
      <c r="K896" s="175" t="s">
        <v>57</v>
      </c>
      <c r="L896" s="172" t="s">
        <v>56</v>
      </c>
      <c r="M896" s="172" t="s">
        <v>20</v>
      </c>
    </row>
    <row r="897" spans="1:13" x14ac:dyDescent="0.2">
      <c r="A897" s="172" t="s">
        <v>12</v>
      </c>
      <c r="B897" s="172" t="s">
        <v>13</v>
      </c>
      <c r="C897" s="172" t="s">
        <v>21</v>
      </c>
      <c r="D897" s="172" t="s">
        <v>15</v>
      </c>
      <c r="E897" s="173">
        <v>42906</v>
      </c>
      <c r="F897" s="174">
        <v>43.355490000000003</v>
      </c>
      <c r="G897" s="175" t="s">
        <v>19</v>
      </c>
      <c r="H897" s="172" t="s">
        <v>20</v>
      </c>
      <c r="I897" s="175">
        <v>1</v>
      </c>
      <c r="J897" s="175" t="s">
        <v>18</v>
      </c>
      <c r="K897" s="175" t="s">
        <v>57</v>
      </c>
      <c r="L897" s="172" t="s">
        <v>56</v>
      </c>
      <c r="M897" s="172" t="s">
        <v>20</v>
      </c>
    </row>
    <row r="898" spans="1:13" x14ac:dyDescent="0.2">
      <c r="A898" s="172" t="s">
        <v>12</v>
      </c>
      <c r="B898" s="172" t="s">
        <v>13</v>
      </c>
      <c r="C898" s="172" t="s">
        <v>21</v>
      </c>
      <c r="D898" s="172" t="s">
        <v>15</v>
      </c>
      <c r="E898" s="173">
        <v>42898</v>
      </c>
      <c r="F898" s="174">
        <v>3.2994675999999998</v>
      </c>
      <c r="G898" s="175" t="s">
        <v>16</v>
      </c>
      <c r="H898" s="172" t="s">
        <v>17</v>
      </c>
      <c r="I898" s="175">
        <v>1</v>
      </c>
      <c r="J898" s="175" t="s">
        <v>18</v>
      </c>
      <c r="K898" s="175" t="s">
        <v>57</v>
      </c>
      <c r="L898" s="172" t="s">
        <v>56</v>
      </c>
      <c r="M898" s="172" t="s">
        <v>17</v>
      </c>
    </row>
    <row r="899" spans="1:13" x14ac:dyDescent="0.2">
      <c r="A899" s="172" t="s">
        <v>12</v>
      </c>
      <c r="B899" s="172" t="s">
        <v>13</v>
      </c>
      <c r="C899" s="172" t="s">
        <v>21</v>
      </c>
      <c r="D899" s="172" t="s">
        <v>15</v>
      </c>
      <c r="E899" s="173">
        <v>42898</v>
      </c>
      <c r="F899" s="174">
        <v>723.71184000000005</v>
      </c>
      <c r="G899" s="175" t="s">
        <v>19</v>
      </c>
      <c r="H899" s="172" t="s">
        <v>17</v>
      </c>
      <c r="I899" s="175">
        <v>1</v>
      </c>
      <c r="J899" s="175" t="s">
        <v>18</v>
      </c>
      <c r="K899" s="175" t="s">
        <v>57</v>
      </c>
      <c r="L899" s="172" t="s">
        <v>56</v>
      </c>
      <c r="M899" s="172" t="s">
        <v>17</v>
      </c>
    </row>
    <row r="900" spans="1:13" x14ac:dyDescent="0.2">
      <c r="A900" s="172" t="s">
        <v>12</v>
      </c>
      <c r="B900" s="172" t="s">
        <v>13</v>
      </c>
      <c r="C900" s="172" t="s">
        <v>21</v>
      </c>
      <c r="D900" s="172" t="s">
        <v>15</v>
      </c>
      <c r="E900" s="173">
        <v>42898</v>
      </c>
      <c r="F900" s="174">
        <v>0.26100000000000001</v>
      </c>
      <c r="G900" s="175" t="s">
        <v>16</v>
      </c>
      <c r="H900" s="172" t="s">
        <v>20</v>
      </c>
      <c r="I900" s="175">
        <v>1</v>
      </c>
      <c r="J900" s="175" t="s">
        <v>18</v>
      </c>
      <c r="K900" s="175" t="s">
        <v>57</v>
      </c>
      <c r="L900" s="172" t="s">
        <v>56</v>
      </c>
      <c r="M900" s="172" t="s">
        <v>20</v>
      </c>
    </row>
    <row r="901" spans="1:13" x14ac:dyDescent="0.2">
      <c r="A901" s="172" t="s">
        <v>12</v>
      </c>
      <c r="B901" s="172" t="s">
        <v>13</v>
      </c>
      <c r="C901" s="172" t="s">
        <v>21</v>
      </c>
      <c r="D901" s="172" t="s">
        <v>15</v>
      </c>
      <c r="E901" s="173">
        <v>42898</v>
      </c>
      <c r="F901" s="174">
        <v>60.295698000000002</v>
      </c>
      <c r="G901" s="175" t="s">
        <v>19</v>
      </c>
      <c r="H901" s="172" t="s">
        <v>20</v>
      </c>
      <c r="I901" s="175">
        <v>1</v>
      </c>
      <c r="J901" s="175" t="s">
        <v>18</v>
      </c>
      <c r="K901" s="175" t="s">
        <v>57</v>
      </c>
      <c r="L901" s="172" t="s">
        <v>56</v>
      </c>
      <c r="M901" s="172" t="s">
        <v>20</v>
      </c>
    </row>
    <row r="902" spans="1:13" x14ac:dyDescent="0.2">
      <c r="A902" s="172" t="s">
        <v>12</v>
      </c>
      <c r="B902" s="172" t="s">
        <v>13</v>
      </c>
      <c r="C902" s="172" t="s">
        <v>21</v>
      </c>
      <c r="D902" s="172" t="s">
        <v>15</v>
      </c>
      <c r="E902" s="173">
        <v>42892</v>
      </c>
      <c r="F902" s="174">
        <v>2.3289472999999998</v>
      </c>
      <c r="G902" s="175" t="s">
        <v>16</v>
      </c>
      <c r="H902" s="172" t="s">
        <v>17</v>
      </c>
      <c r="I902" s="175">
        <v>1</v>
      </c>
      <c r="J902" s="175" t="s">
        <v>18</v>
      </c>
      <c r="K902" s="175" t="s">
        <v>57</v>
      </c>
      <c r="L902" s="172" t="s">
        <v>56</v>
      </c>
      <c r="M902" s="172" t="s">
        <v>17</v>
      </c>
    </row>
    <row r="903" spans="1:13" x14ac:dyDescent="0.2">
      <c r="A903" s="172" t="s">
        <v>12</v>
      </c>
      <c r="B903" s="172" t="s">
        <v>13</v>
      </c>
      <c r="C903" s="172" t="s">
        <v>21</v>
      </c>
      <c r="D903" s="172" t="s">
        <v>15</v>
      </c>
      <c r="E903" s="173">
        <v>42892</v>
      </c>
      <c r="F903" s="174">
        <v>627.37649999999996</v>
      </c>
      <c r="G903" s="175" t="s">
        <v>19</v>
      </c>
      <c r="H903" s="172" t="s">
        <v>17</v>
      </c>
      <c r="I903" s="175">
        <v>1</v>
      </c>
      <c r="J903" s="175" t="s">
        <v>18</v>
      </c>
      <c r="K903" s="175" t="s">
        <v>57</v>
      </c>
      <c r="L903" s="172" t="s">
        <v>56</v>
      </c>
      <c r="M903" s="172" t="s">
        <v>17</v>
      </c>
    </row>
    <row r="904" spans="1:13" x14ac:dyDescent="0.2">
      <c r="A904" s="172" t="s">
        <v>12</v>
      </c>
      <c r="B904" s="172" t="s">
        <v>13</v>
      </c>
      <c r="C904" s="172" t="s">
        <v>21</v>
      </c>
      <c r="D904" s="172" t="s">
        <v>15</v>
      </c>
      <c r="E904" s="173">
        <v>42892</v>
      </c>
      <c r="F904" s="174">
        <v>0.19800000000000001</v>
      </c>
      <c r="G904" s="175" t="s">
        <v>16</v>
      </c>
      <c r="H904" s="172" t="s">
        <v>20</v>
      </c>
      <c r="I904" s="175">
        <v>1</v>
      </c>
      <c r="J904" s="175" t="s">
        <v>18</v>
      </c>
      <c r="K904" s="175" t="s">
        <v>57</v>
      </c>
      <c r="L904" s="172" t="s">
        <v>56</v>
      </c>
      <c r="M904" s="172" t="s">
        <v>20</v>
      </c>
    </row>
    <row r="905" spans="1:13" x14ac:dyDescent="0.2">
      <c r="A905" s="172" t="s">
        <v>12</v>
      </c>
      <c r="B905" s="172" t="s">
        <v>13</v>
      </c>
      <c r="C905" s="172" t="s">
        <v>21</v>
      </c>
      <c r="D905" s="172" t="s">
        <v>15</v>
      </c>
      <c r="E905" s="173">
        <v>42892</v>
      </c>
      <c r="F905" s="174">
        <v>55.814616000000001</v>
      </c>
      <c r="G905" s="175" t="s">
        <v>19</v>
      </c>
      <c r="H905" s="172" t="s">
        <v>20</v>
      </c>
      <c r="I905" s="175">
        <v>1</v>
      </c>
      <c r="J905" s="175" t="s">
        <v>18</v>
      </c>
      <c r="K905" s="175" t="s">
        <v>57</v>
      </c>
      <c r="L905" s="172" t="s">
        <v>56</v>
      </c>
      <c r="M905" s="172" t="s">
        <v>20</v>
      </c>
    </row>
    <row r="906" spans="1:13" x14ac:dyDescent="0.2">
      <c r="A906" s="172" t="s">
        <v>12</v>
      </c>
      <c r="B906" s="172" t="s">
        <v>13</v>
      </c>
      <c r="C906" s="172" t="s">
        <v>21</v>
      </c>
      <c r="D906" s="172" t="s">
        <v>15</v>
      </c>
      <c r="E906" s="173">
        <v>42887</v>
      </c>
      <c r="F906" s="174">
        <v>1.9728642999999999</v>
      </c>
      <c r="G906" s="175" t="s">
        <v>16</v>
      </c>
      <c r="H906" s="172" t="s">
        <v>17</v>
      </c>
      <c r="I906" s="175">
        <v>1</v>
      </c>
      <c r="J906" s="175" t="s">
        <v>18</v>
      </c>
      <c r="K906" s="175" t="s">
        <v>57</v>
      </c>
      <c r="L906" s="172" t="s">
        <v>56</v>
      </c>
      <c r="M906" s="172" t="s">
        <v>17</v>
      </c>
    </row>
    <row r="907" spans="1:13" x14ac:dyDescent="0.2">
      <c r="A907" s="172" t="s">
        <v>12</v>
      </c>
      <c r="B907" s="172" t="s">
        <v>13</v>
      </c>
      <c r="C907" s="172" t="s">
        <v>21</v>
      </c>
      <c r="D907" s="172" t="s">
        <v>15</v>
      </c>
      <c r="E907" s="173">
        <v>42887</v>
      </c>
      <c r="F907" s="174">
        <v>654.85680000000002</v>
      </c>
      <c r="G907" s="175" t="s">
        <v>19</v>
      </c>
      <c r="H907" s="172" t="s">
        <v>17</v>
      </c>
      <c r="I907" s="175">
        <v>1</v>
      </c>
      <c r="J907" s="175" t="s">
        <v>18</v>
      </c>
      <c r="K907" s="175" t="s">
        <v>57</v>
      </c>
      <c r="L907" s="172" t="s">
        <v>56</v>
      </c>
      <c r="M907" s="172" t="s">
        <v>17</v>
      </c>
    </row>
    <row r="908" spans="1:13" x14ac:dyDescent="0.2">
      <c r="A908" s="172" t="s">
        <v>12</v>
      </c>
      <c r="B908" s="172" t="s">
        <v>13</v>
      </c>
      <c r="C908" s="172" t="s">
        <v>21</v>
      </c>
      <c r="D908" s="172" t="s">
        <v>15</v>
      </c>
      <c r="E908" s="173">
        <v>42887</v>
      </c>
      <c r="F908" s="174">
        <v>0.31</v>
      </c>
      <c r="G908" s="175" t="s">
        <v>16</v>
      </c>
      <c r="H908" s="172" t="s">
        <v>20</v>
      </c>
      <c r="I908" s="175">
        <v>1</v>
      </c>
      <c r="J908" s="175" t="s">
        <v>18</v>
      </c>
      <c r="K908" s="175" t="s">
        <v>57</v>
      </c>
      <c r="L908" s="172" t="s">
        <v>56</v>
      </c>
      <c r="M908" s="172" t="s">
        <v>20</v>
      </c>
    </row>
    <row r="909" spans="1:13" x14ac:dyDescent="0.2">
      <c r="A909" s="172" t="s">
        <v>12</v>
      </c>
      <c r="B909" s="172" t="s">
        <v>13</v>
      </c>
      <c r="C909" s="172" t="s">
        <v>21</v>
      </c>
      <c r="D909" s="172" t="s">
        <v>15</v>
      </c>
      <c r="E909" s="173">
        <v>42887</v>
      </c>
      <c r="F909" s="174">
        <v>108.5868</v>
      </c>
      <c r="G909" s="175" t="s">
        <v>19</v>
      </c>
      <c r="H909" s="172" t="s">
        <v>20</v>
      </c>
      <c r="I909" s="175">
        <v>1</v>
      </c>
      <c r="J909" s="175" t="s">
        <v>18</v>
      </c>
      <c r="K909" s="175" t="s">
        <v>57</v>
      </c>
      <c r="L909" s="172" t="s">
        <v>56</v>
      </c>
      <c r="M909" s="172" t="s">
        <v>20</v>
      </c>
    </row>
    <row r="910" spans="1:13" x14ac:dyDescent="0.2">
      <c r="A910" s="172" t="s">
        <v>12</v>
      </c>
      <c r="B910" s="172" t="s">
        <v>13</v>
      </c>
      <c r="C910" s="172" t="s">
        <v>21</v>
      </c>
      <c r="D910" s="172" t="s">
        <v>15</v>
      </c>
      <c r="E910" s="173">
        <v>42877</v>
      </c>
      <c r="F910" s="174">
        <v>1.8952407</v>
      </c>
      <c r="G910" s="175" t="s">
        <v>16</v>
      </c>
      <c r="H910" s="172" t="s">
        <v>17</v>
      </c>
      <c r="I910" s="175">
        <v>1</v>
      </c>
      <c r="J910" s="175" t="s">
        <v>18</v>
      </c>
      <c r="K910" s="175" t="s">
        <v>57</v>
      </c>
      <c r="L910" s="172" t="s">
        <v>56</v>
      </c>
      <c r="M910" s="172" t="s">
        <v>17</v>
      </c>
    </row>
    <row r="911" spans="1:13" x14ac:dyDescent="0.2">
      <c r="A911" s="172" t="s">
        <v>12</v>
      </c>
      <c r="B911" s="172" t="s">
        <v>13</v>
      </c>
      <c r="C911" s="172" t="s">
        <v>21</v>
      </c>
      <c r="D911" s="172" t="s">
        <v>15</v>
      </c>
      <c r="E911" s="173">
        <v>42877</v>
      </c>
      <c r="F911" s="174">
        <v>557.96267999999998</v>
      </c>
      <c r="G911" s="175" t="s">
        <v>19</v>
      </c>
      <c r="H911" s="172" t="s">
        <v>17</v>
      </c>
      <c r="I911" s="175">
        <v>1</v>
      </c>
      <c r="J911" s="175" t="s">
        <v>18</v>
      </c>
      <c r="K911" s="175" t="s">
        <v>57</v>
      </c>
      <c r="L911" s="172" t="s">
        <v>56</v>
      </c>
      <c r="M911" s="172" t="s">
        <v>17</v>
      </c>
    </row>
    <row r="912" spans="1:13" x14ac:dyDescent="0.2">
      <c r="A912" s="172" t="s">
        <v>12</v>
      </c>
      <c r="B912" s="172" t="s">
        <v>13</v>
      </c>
      <c r="C912" s="172" t="s">
        <v>21</v>
      </c>
      <c r="D912" s="172" t="s">
        <v>15</v>
      </c>
      <c r="E912" s="173">
        <v>42877</v>
      </c>
      <c r="F912" s="174">
        <v>0.255</v>
      </c>
      <c r="G912" s="175" t="s">
        <v>16</v>
      </c>
      <c r="H912" s="172" t="s">
        <v>20</v>
      </c>
      <c r="I912" s="175">
        <v>1</v>
      </c>
      <c r="J912" s="175" t="s">
        <v>18</v>
      </c>
      <c r="K912" s="175" t="s">
        <v>57</v>
      </c>
      <c r="L912" s="172" t="s">
        <v>56</v>
      </c>
      <c r="M912" s="172" t="s">
        <v>20</v>
      </c>
    </row>
    <row r="913" spans="1:13" x14ac:dyDescent="0.2">
      <c r="A913" s="172" t="s">
        <v>12</v>
      </c>
      <c r="B913" s="172" t="s">
        <v>13</v>
      </c>
      <c r="C913" s="172" t="s">
        <v>21</v>
      </c>
      <c r="D913" s="172" t="s">
        <v>15</v>
      </c>
      <c r="E913" s="173">
        <v>42877</v>
      </c>
      <c r="F913" s="174">
        <v>80.389259999999993</v>
      </c>
      <c r="G913" s="175" t="s">
        <v>19</v>
      </c>
      <c r="H913" s="172" t="s">
        <v>20</v>
      </c>
      <c r="I913" s="175">
        <v>1</v>
      </c>
      <c r="J913" s="175" t="s">
        <v>18</v>
      </c>
      <c r="K913" s="175" t="s">
        <v>57</v>
      </c>
      <c r="L913" s="172" t="s">
        <v>56</v>
      </c>
      <c r="M913" s="172" t="s">
        <v>20</v>
      </c>
    </row>
    <row r="914" spans="1:13" x14ac:dyDescent="0.2">
      <c r="A914" s="172" t="s">
        <v>12</v>
      </c>
      <c r="B914" s="172" t="s">
        <v>13</v>
      </c>
      <c r="C914" s="172" t="s">
        <v>21</v>
      </c>
      <c r="D914" s="172" t="s">
        <v>15</v>
      </c>
      <c r="E914" s="173">
        <v>42870</v>
      </c>
      <c r="F914" s="174">
        <v>2.8805038999999999</v>
      </c>
      <c r="G914" s="175" t="s">
        <v>16</v>
      </c>
      <c r="H914" s="172" t="s">
        <v>17</v>
      </c>
      <c r="I914" s="175">
        <v>1</v>
      </c>
      <c r="J914" s="175" t="s">
        <v>18</v>
      </c>
      <c r="K914" s="175" t="s">
        <v>57</v>
      </c>
      <c r="L914" s="172" t="s">
        <v>56</v>
      </c>
      <c r="M914" s="172" t="s">
        <v>17</v>
      </c>
    </row>
    <row r="915" spans="1:13" x14ac:dyDescent="0.2">
      <c r="A915" s="172" t="s">
        <v>12</v>
      </c>
      <c r="B915" s="172" t="s">
        <v>13</v>
      </c>
      <c r="C915" s="172" t="s">
        <v>21</v>
      </c>
      <c r="D915" s="172" t="s">
        <v>15</v>
      </c>
      <c r="E915" s="173">
        <v>42870</v>
      </c>
      <c r="F915" s="174">
        <v>905.68230000000005</v>
      </c>
      <c r="G915" s="175" t="s">
        <v>19</v>
      </c>
      <c r="H915" s="172" t="s">
        <v>17</v>
      </c>
      <c r="I915" s="175">
        <v>1</v>
      </c>
      <c r="J915" s="175" t="s">
        <v>18</v>
      </c>
      <c r="K915" s="175" t="s">
        <v>57</v>
      </c>
      <c r="L915" s="172" t="s">
        <v>56</v>
      </c>
      <c r="M915" s="172" t="s">
        <v>17</v>
      </c>
    </row>
    <row r="916" spans="1:13" x14ac:dyDescent="0.2">
      <c r="A916" s="172" t="s">
        <v>12</v>
      </c>
      <c r="B916" s="172" t="s">
        <v>13</v>
      </c>
      <c r="C916" s="172" t="s">
        <v>21</v>
      </c>
      <c r="D916" s="172" t="s">
        <v>15</v>
      </c>
      <c r="E916" s="173">
        <v>42870</v>
      </c>
      <c r="F916" s="174">
        <v>0.4</v>
      </c>
      <c r="G916" s="175" t="s">
        <v>16</v>
      </c>
      <c r="H916" s="172" t="s">
        <v>20</v>
      </c>
      <c r="I916" s="175">
        <v>1</v>
      </c>
      <c r="J916" s="175" t="s">
        <v>18</v>
      </c>
      <c r="K916" s="175" t="s">
        <v>57</v>
      </c>
      <c r="L916" s="172" t="s">
        <v>56</v>
      </c>
      <c r="M916" s="172" t="s">
        <v>20</v>
      </c>
    </row>
    <row r="917" spans="1:13" x14ac:dyDescent="0.2">
      <c r="A917" s="172" t="s">
        <v>12</v>
      </c>
      <c r="B917" s="172" t="s">
        <v>13</v>
      </c>
      <c r="C917" s="172" t="s">
        <v>21</v>
      </c>
      <c r="D917" s="172" t="s">
        <v>15</v>
      </c>
      <c r="E917" s="173">
        <v>42870</v>
      </c>
      <c r="F917" s="174">
        <v>134.10720000000001</v>
      </c>
      <c r="G917" s="175" t="s">
        <v>19</v>
      </c>
      <c r="H917" s="172" t="s">
        <v>20</v>
      </c>
      <c r="I917" s="175">
        <v>1</v>
      </c>
      <c r="J917" s="175" t="s">
        <v>18</v>
      </c>
      <c r="K917" s="175" t="s">
        <v>57</v>
      </c>
      <c r="L917" s="172" t="s">
        <v>56</v>
      </c>
      <c r="M917" s="172" t="s">
        <v>20</v>
      </c>
    </row>
    <row r="918" spans="1:13" x14ac:dyDescent="0.2">
      <c r="A918" s="172" t="s">
        <v>12</v>
      </c>
      <c r="B918" s="172" t="s">
        <v>13</v>
      </c>
      <c r="C918" s="172" t="s">
        <v>21</v>
      </c>
      <c r="D918" s="172" t="s">
        <v>15</v>
      </c>
      <c r="E918" s="173">
        <v>42862</v>
      </c>
      <c r="F918" s="174">
        <v>1.6004244000000001</v>
      </c>
      <c r="G918" s="175" t="s">
        <v>16</v>
      </c>
      <c r="H918" s="172" t="s">
        <v>17</v>
      </c>
      <c r="I918" s="175">
        <v>1</v>
      </c>
      <c r="J918" s="175" t="s">
        <v>18</v>
      </c>
      <c r="K918" s="175" t="s">
        <v>57</v>
      </c>
      <c r="L918" s="172" t="s">
        <v>56</v>
      </c>
      <c r="M918" s="172" t="s">
        <v>17</v>
      </c>
    </row>
    <row r="919" spans="1:13" x14ac:dyDescent="0.2">
      <c r="A919" s="172" t="s">
        <v>12</v>
      </c>
      <c r="B919" s="172" t="s">
        <v>13</v>
      </c>
      <c r="C919" s="172" t="s">
        <v>21</v>
      </c>
      <c r="D919" s="172" t="s">
        <v>15</v>
      </c>
      <c r="E919" s="173">
        <v>42862</v>
      </c>
      <c r="F919" s="174">
        <v>503.20224000000002</v>
      </c>
      <c r="G919" s="175" t="s">
        <v>19</v>
      </c>
      <c r="H919" s="172" t="s">
        <v>17</v>
      </c>
      <c r="I919" s="175">
        <v>1</v>
      </c>
      <c r="J919" s="175" t="s">
        <v>18</v>
      </c>
      <c r="K919" s="175" t="s">
        <v>57</v>
      </c>
      <c r="L919" s="172" t="s">
        <v>56</v>
      </c>
      <c r="M919" s="172" t="s">
        <v>17</v>
      </c>
    </row>
    <row r="920" spans="1:13" x14ac:dyDescent="0.2">
      <c r="A920" s="172" t="s">
        <v>12</v>
      </c>
      <c r="B920" s="172" t="s">
        <v>13</v>
      </c>
      <c r="C920" s="172" t="s">
        <v>21</v>
      </c>
      <c r="D920" s="172" t="s">
        <v>15</v>
      </c>
      <c r="E920" s="173">
        <v>42862</v>
      </c>
      <c r="F920" s="174">
        <v>0.20699999999999999</v>
      </c>
      <c r="G920" s="175" t="s">
        <v>16</v>
      </c>
      <c r="H920" s="172" t="s">
        <v>20</v>
      </c>
      <c r="I920" s="175">
        <v>1</v>
      </c>
      <c r="J920" s="175" t="s">
        <v>18</v>
      </c>
      <c r="K920" s="175" t="s">
        <v>57</v>
      </c>
      <c r="L920" s="172" t="s">
        <v>56</v>
      </c>
      <c r="M920" s="172" t="s">
        <v>20</v>
      </c>
    </row>
    <row r="921" spans="1:13" x14ac:dyDescent="0.2">
      <c r="A921" s="172" t="s">
        <v>12</v>
      </c>
      <c r="B921" s="172" t="s">
        <v>13</v>
      </c>
      <c r="C921" s="172" t="s">
        <v>21</v>
      </c>
      <c r="D921" s="172" t="s">
        <v>15</v>
      </c>
      <c r="E921" s="173">
        <v>42862</v>
      </c>
      <c r="F921" s="174">
        <v>68.364648000000003</v>
      </c>
      <c r="G921" s="175" t="s">
        <v>19</v>
      </c>
      <c r="H921" s="172" t="s">
        <v>20</v>
      </c>
      <c r="I921" s="175">
        <v>1</v>
      </c>
      <c r="J921" s="175" t="s">
        <v>18</v>
      </c>
      <c r="K921" s="175" t="s">
        <v>57</v>
      </c>
      <c r="L921" s="172" t="s">
        <v>56</v>
      </c>
      <c r="M921" s="172" t="s">
        <v>20</v>
      </c>
    </row>
    <row r="922" spans="1:13" x14ac:dyDescent="0.2">
      <c r="A922" s="172">
        <v>8222003</v>
      </c>
      <c r="B922" s="172" t="s">
        <v>13</v>
      </c>
      <c r="C922" s="172" t="s">
        <v>21</v>
      </c>
      <c r="D922" s="172" t="s">
        <v>15</v>
      </c>
      <c r="E922" s="173">
        <v>42856</v>
      </c>
      <c r="F922" s="174">
        <v>1.0494532999999999</v>
      </c>
      <c r="G922" s="175" t="s">
        <v>16</v>
      </c>
      <c r="H922" s="172" t="s">
        <v>17</v>
      </c>
      <c r="I922" s="175">
        <v>1</v>
      </c>
      <c r="J922" s="175" t="s">
        <v>18</v>
      </c>
      <c r="K922" s="175" t="s">
        <v>57</v>
      </c>
      <c r="L922" s="172" t="s">
        <v>56</v>
      </c>
      <c r="M922" s="172" t="s">
        <v>17</v>
      </c>
    </row>
    <row r="923" spans="1:13" x14ac:dyDescent="0.2">
      <c r="A923" s="172" t="s">
        <v>12</v>
      </c>
      <c r="B923" s="172" t="s">
        <v>13</v>
      </c>
      <c r="C923" s="172" t="s">
        <v>21</v>
      </c>
      <c r="D923" s="172" t="s">
        <v>15</v>
      </c>
      <c r="E923" s="173">
        <v>42856</v>
      </c>
      <c r="F923" s="174">
        <v>544.40183999999999</v>
      </c>
      <c r="G923" s="175" t="s">
        <v>19</v>
      </c>
      <c r="H923" s="172" t="s">
        <v>17</v>
      </c>
      <c r="I923" s="175">
        <v>1</v>
      </c>
      <c r="J923" s="175" t="s">
        <v>18</v>
      </c>
      <c r="K923" s="175" t="s">
        <v>57</v>
      </c>
      <c r="L923" s="172" t="s">
        <v>56</v>
      </c>
      <c r="M923" s="172" t="s">
        <v>17</v>
      </c>
    </row>
    <row r="924" spans="1:13" x14ac:dyDescent="0.2">
      <c r="A924" s="172" t="s">
        <v>12</v>
      </c>
      <c r="B924" s="172" t="s">
        <v>13</v>
      </c>
      <c r="C924" s="172" t="s">
        <v>21</v>
      </c>
      <c r="D924" s="172" t="s">
        <v>15</v>
      </c>
      <c r="E924" s="173">
        <v>42856</v>
      </c>
      <c r="F924" s="174">
        <v>1.99</v>
      </c>
      <c r="G924" s="175" t="s">
        <v>16</v>
      </c>
      <c r="H924" s="172" t="s">
        <v>20</v>
      </c>
      <c r="I924" s="175">
        <v>1</v>
      </c>
      <c r="J924" s="175" t="s">
        <v>18</v>
      </c>
      <c r="K924" s="175" t="s">
        <v>57</v>
      </c>
      <c r="L924" s="172" t="s">
        <v>56</v>
      </c>
      <c r="M924" s="172" t="s">
        <v>20</v>
      </c>
    </row>
    <row r="925" spans="1:13" x14ac:dyDescent="0.2">
      <c r="A925" s="172" t="s">
        <v>12</v>
      </c>
      <c r="B925" s="172" t="s">
        <v>13</v>
      </c>
      <c r="C925" s="172" t="s">
        <v>21</v>
      </c>
      <c r="D925" s="172" t="s">
        <v>15</v>
      </c>
      <c r="E925" s="173">
        <v>42856</v>
      </c>
      <c r="F925" s="174">
        <v>819.87203999999997</v>
      </c>
      <c r="G925" s="175" t="s">
        <v>19</v>
      </c>
      <c r="H925" s="172" t="s">
        <v>20</v>
      </c>
      <c r="I925" s="175">
        <v>1</v>
      </c>
      <c r="J925" s="175" t="s">
        <v>18</v>
      </c>
      <c r="K925" s="175" t="s">
        <v>57</v>
      </c>
      <c r="L925" s="172" t="s">
        <v>56</v>
      </c>
      <c r="M925" s="172" t="s">
        <v>20</v>
      </c>
    </row>
    <row r="926" spans="1:13" x14ac:dyDescent="0.2">
      <c r="A926" s="172" t="s">
        <v>12</v>
      </c>
      <c r="B926" s="172" t="s">
        <v>13</v>
      </c>
      <c r="C926" s="172" t="s">
        <v>21</v>
      </c>
      <c r="D926" s="172" t="s">
        <v>15</v>
      </c>
      <c r="E926" s="173">
        <v>42850</v>
      </c>
      <c r="F926" s="174">
        <v>2.7158332999999999</v>
      </c>
      <c r="G926" s="175" t="s">
        <v>16</v>
      </c>
      <c r="H926" s="172" t="s">
        <v>17</v>
      </c>
      <c r="I926" s="175">
        <v>1</v>
      </c>
      <c r="J926" s="175" t="s">
        <v>18</v>
      </c>
      <c r="K926" s="175" t="s">
        <v>57</v>
      </c>
      <c r="L926" s="172" t="s">
        <v>56</v>
      </c>
    </row>
    <row r="927" spans="1:13" x14ac:dyDescent="0.2">
      <c r="A927" s="172" t="s">
        <v>12</v>
      </c>
      <c r="B927" s="172" t="s">
        <v>13</v>
      </c>
      <c r="C927" s="172" t="s">
        <v>21</v>
      </c>
      <c r="D927" s="172" t="s">
        <v>15</v>
      </c>
      <c r="E927" s="173">
        <v>42850</v>
      </c>
      <c r="F927" s="174">
        <v>706.68155999999999</v>
      </c>
      <c r="G927" s="175" t="s">
        <v>19</v>
      </c>
      <c r="H927" s="172" t="s">
        <v>17</v>
      </c>
      <c r="I927" s="175">
        <v>1</v>
      </c>
      <c r="J927" s="175" t="s">
        <v>18</v>
      </c>
      <c r="K927" s="175" t="s">
        <v>57</v>
      </c>
      <c r="L927" s="172" t="s">
        <v>56</v>
      </c>
    </row>
    <row r="928" spans="1:13" x14ac:dyDescent="0.2">
      <c r="A928" s="172" t="s">
        <v>12</v>
      </c>
      <c r="B928" s="172" t="s">
        <v>13</v>
      </c>
      <c r="C928" s="172" t="s">
        <v>21</v>
      </c>
      <c r="D928" s="172" t="s">
        <v>15</v>
      </c>
      <c r="E928" s="173">
        <v>42850</v>
      </c>
      <c r="F928" s="174">
        <v>0.24199999999999999</v>
      </c>
      <c r="G928" s="175" t="s">
        <v>16</v>
      </c>
      <c r="H928" s="172" t="s">
        <v>20</v>
      </c>
      <c r="I928" s="175">
        <v>1</v>
      </c>
      <c r="J928" s="175" t="s">
        <v>18</v>
      </c>
      <c r="K928" s="175" t="s">
        <v>57</v>
      </c>
      <c r="L928" s="172" t="s">
        <v>56</v>
      </c>
    </row>
    <row r="929" spans="1:12" x14ac:dyDescent="0.2">
      <c r="A929" s="172" t="s">
        <v>12</v>
      </c>
      <c r="B929" s="172" t="s">
        <v>13</v>
      </c>
      <c r="C929" s="172" t="s">
        <v>21</v>
      </c>
      <c r="D929" s="172" t="s">
        <v>15</v>
      </c>
      <c r="E929" s="173">
        <v>42850</v>
      </c>
      <c r="F929" s="174">
        <v>71.245283999999998</v>
      </c>
      <c r="G929" s="175" t="s">
        <v>19</v>
      </c>
      <c r="H929" s="172" t="s">
        <v>20</v>
      </c>
      <c r="I929" s="175">
        <v>1</v>
      </c>
      <c r="J929" s="175" t="s">
        <v>18</v>
      </c>
      <c r="K929" s="175" t="s">
        <v>57</v>
      </c>
      <c r="L929" s="172" t="s">
        <v>56</v>
      </c>
    </row>
    <row r="930" spans="1:12" x14ac:dyDescent="0.2">
      <c r="A930" s="172" t="s">
        <v>12</v>
      </c>
      <c r="B930" s="172" t="s">
        <v>13</v>
      </c>
      <c r="C930" s="172" t="s">
        <v>21</v>
      </c>
      <c r="D930" s="172" t="s">
        <v>15</v>
      </c>
      <c r="E930" s="173">
        <v>42843</v>
      </c>
      <c r="F930" s="174">
        <v>6.5804733000000004</v>
      </c>
      <c r="G930" s="175" t="s">
        <v>16</v>
      </c>
      <c r="H930" s="172" t="s">
        <v>17</v>
      </c>
      <c r="I930" s="175">
        <v>1</v>
      </c>
      <c r="J930" s="175" t="s">
        <v>18</v>
      </c>
      <c r="K930" s="175" t="s">
        <v>57</v>
      </c>
      <c r="L930" s="172" t="s">
        <v>56</v>
      </c>
    </row>
    <row r="931" spans="1:12" x14ac:dyDescent="0.2">
      <c r="A931" s="172" t="s">
        <v>12</v>
      </c>
      <c r="B931" s="172" t="s">
        <v>13</v>
      </c>
      <c r="C931" s="172" t="s">
        <v>21</v>
      </c>
      <c r="D931" s="172" t="s">
        <v>15</v>
      </c>
      <c r="E931" s="173">
        <v>42843</v>
      </c>
      <c r="F931" s="174">
        <v>1854.9828</v>
      </c>
      <c r="G931" s="175" t="s">
        <v>19</v>
      </c>
      <c r="H931" s="172" t="s">
        <v>17</v>
      </c>
      <c r="I931" s="175">
        <v>1</v>
      </c>
      <c r="J931" s="175" t="s">
        <v>18</v>
      </c>
      <c r="K931" s="175" t="s">
        <v>57</v>
      </c>
      <c r="L931" s="172" t="s">
        <v>56</v>
      </c>
    </row>
    <row r="932" spans="1:12" x14ac:dyDescent="0.2">
      <c r="A932" s="172" t="s">
        <v>12</v>
      </c>
      <c r="B932" s="172" t="s">
        <v>13</v>
      </c>
      <c r="C932" s="172" t="s">
        <v>21</v>
      </c>
      <c r="D932" s="172" t="s">
        <v>15</v>
      </c>
      <c r="E932" s="173">
        <v>42843</v>
      </c>
      <c r="F932" s="174">
        <v>1.04</v>
      </c>
      <c r="G932" s="175" t="s">
        <v>16</v>
      </c>
      <c r="H932" s="172" t="s">
        <v>20</v>
      </c>
      <c r="I932" s="175">
        <v>1</v>
      </c>
      <c r="J932" s="175" t="s">
        <v>18</v>
      </c>
      <c r="K932" s="175" t="s">
        <v>57</v>
      </c>
      <c r="L932" s="172" t="s">
        <v>56</v>
      </c>
    </row>
    <row r="933" spans="1:12" x14ac:dyDescent="0.2">
      <c r="A933" s="172" t="s">
        <v>12</v>
      </c>
      <c r="B933" s="172" t="s">
        <v>13</v>
      </c>
      <c r="C933" s="172" t="s">
        <v>21</v>
      </c>
      <c r="D933" s="172" t="s">
        <v>15</v>
      </c>
      <c r="E933" s="173">
        <v>42843</v>
      </c>
      <c r="F933" s="174">
        <v>336.53568000000001</v>
      </c>
      <c r="G933" s="175" t="s">
        <v>19</v>
      </c>
      <c r="H933" s="172" t="s">
        <v>20</v>
      </c>
      <c r="I933" s="175">
        <v>1</v>
      </c>
      <c r="J933" s="175" t="s">
        <v>18</v>
      </c>
      <c r="K933" s="175" t="s">
        <v>57</v>
      </c>
      <c r="L933" s="172" t="s">
        <v>56</v>
      </c>
    </row>
    <row r="934" spans="1:12" x14ac:dyDescent="0.2">
      <c r="A934" s="172" t="s">
        <v>12</v>
      </c>
      <c r="B934" s="172" t="s">
        <v>13</v>
      </c>
      <c r="C934" s="172" t="s">
        <v>21</v>
      </c>
      <c r="D934" s="172" t="s">
        <v>15</v>
      </c>
      <c r="E934" s="173">
        <v>42792</v>
      </c>
      <c r="F934" s="174">
        <v>2.4509089999999998</v>
      </c>
      <c r="G934" s="175" t="s">
        <v>16</v>
      </c>
      <c r="H934" s="172" t="s">
        <v>17</v>
      </c>
      <c r="I934" s="175">
        <v>1</v>
      </c>
      <c r="J934" s="175" t="s">
        <v>18</v>
      </c>
      <c r="K934" s="175" t="s">
        <v>57</v>
      </c>
      <c r="L934" s="172" t="s">
        <v>56</v>
      </c>
    </row>
    <row r="935" spans="1:12" x14ac:dyDescent="0.2">
      <c r="A935" s="172" t="s">
        <v>12</v>
      </c>
      <c r="B935" s="172" t="s">
        <v>13</v>
      </c>
      <c r="C935" s="172" t="s">
        <v>21</v>
      </c>
      <c r="D935" s="172" t="s">
        <v>15</v>
      </c>
      <c r="E935" s="173">
        <v>42792</v>
      </c>
      <c r="F935" s="174">
        <v>494.66208</v>
      </c>
      <c r="G935" s="175" t="s">
        <v>19</v>
      </c>
      <c r="H935" s="172" t="s">
        <v>17</v>
      </c>
      <c r="I935" s="175">
        <v>1</v>
      </c>
      <c r="J935" s="175" t="s">
        <v>18</v>
      </c>
      <c r="K935" s="175" t="s">
        <v>57</v>
      </c>
      <c r="L935" s="172" t="s">
        <v>56</v>
      </c>
    </row>
    <row r="936" spans="1:12" x14ac:dyDescent="0.2">
      <c r="A936" s="172" t="s">
        <v>12</v>
      </c>
      <c r="B936" s="172" t="s">
        <v>13</v>
      </c>
      <c r="C936" s="172" t="s">
        <v>21</v>
      </c>
      <c r="D936" s="172" t="s">
        <v>15</v>
      </c>
      <c r="E936" s="173">
        <v>42792</v>
      </c>
      <c r="F936" s="174">
        <v>0.5</v>
      </c>
      <c r="G936" s="175" t="s">
        <v>16</v>
      </c>
      <c r="H936" s="172" t="s">
        <v>20</v>
      </c>
      <c r="I936" s="175">
        <v>1</v>
      </c>
      <c r="J936" s="175" t="s">
        <v>18</v>
      </c>
      <c r="K936" s="175" t="s">
        <v>57</v>
      </c>
      <c r="L936" s="172" t="s">
        <v>56</v>
      </c>
    </row>
    <row r="937" spans="1:12" x14ac:dyDescent="0.2">
      <c r="A937" s="172" t="s">
        <v>12</v>
      </c>
      <c r="B937" s="172" t="s">
        <v>13</v>
      </c>
      <c r="C937" s="172" t="s">
        <v>21</v>
      </c>
      <c r="D937" s="172" t="s">
        <v>15</v>
      </c>
      <c r="E937" s="173">
        <v>42792</v>
      </c>
      <c r="F937" s="174">
        <v>103.833</v>
      </c>
      <c r="G937" s="175" t="s">
        <v>19</v>
      </c>
      <c r="H937" s="172" t="s">
        <v>20</v>
      </c>
      <c r="I937" s="175">
        <v>1</v>
      </c>
      <c r="J937" s="175" t="s">
        <v>18</v>
      </c>
      <c r="K937" s="175" t="s">
        <v>57</v>
      </c>
      <c r="L937" s="172" t="s">
        <v>56</v>
      </c>
    </row>
    <row r="938" spans="1:12" x14ac:dyDescent="0.2">
      <c r="A938" s="172" t="s">
        <v>12</v>
      </c>
      <c r="B938" s="172" t="s">
        <v>13</v>
      </c>
      <c r="C938" s="172" t="s">
        <v>21</v>
      </c>
      <c r="D938" s="172" t="s">
        <v>15</v>
      </c>
      <c r="E938" s="173">
        <v>42786</v>
      </c>
      <c r="F938" s="174">
        <v>2.9236244</v>
      </c>
      <c r="G938" s="175" t="s">
        <v>16</v>
      </c>
      <c r="H938" s="172" t="s">
        <v>17</v>
      </c>
      <c r="I938" s="175">
        <v>1</v>
      </c>
      <c r="J938" s="175" t="s">
        <v>18</v>
      </c>
      <c r="K938" s="175" t="s">
        <v>57</v>
      </c>
      <c r="L938" s="172" t="s">
        <v>56</v>
      </c>
    </row>
    <row r="939" spans="1:12" x14ac:dyDescent="0.2">
      <c r="A939" s="172" t="s">
        <v>12</v>
      </c>
      <c r="B939" s="172" t="s">
        <v>13</v>
      </c>
      <c r="C939" s="172" t="s">
        <v>21</v>
      </c>
      <c r="D939" s="172" t="s">
        <v>15</v>
      </c>
      <c r="E939" s="173">
        <v>42786</v>
      </c>
      <c r="F939" s="174">
        <v>558.37134000000003</v>
      </c>
      <c r="G939" s="175" t="s">
        <v>19</v>
      </c>
      <c r="H939" s="172" t="s">
        <v>17</v>
      </c>
      <c r="I939" s="175">
        <v>1</v>
      </c>
      <c r="J939" s="175" t="s">
        <v>18</v>
      </c>
      <c r="K939" s="175" t="s">
        <v>57</v>
      </c>
      <c r="L939" s="172" t="s">
        <v>56</v>
      </c>
    </row>
    <row r="940" spans="1:12" x14ac:dyDescent="0.2">
      <c r="A940" s="172" t="s">
        <v>12</v>
      </c>
      <c r="B940" s="172" t="s">
        <v>13</v>
      </c>
      <c r="C940" s="172" t="s">
        <v>21</v>
      </c>
      <c r="D940" s="172" t="s">
        <v>15</v>
      </c>
      <c r="E940" s="173">
        <v>42786</v>
      </c>
      <c r="F940" s="174">
        <v>1.44</v>
      </c>
      <c r="G940" s="175" t="s">
        <v>16</v>
      </c>
      <c r="H940" s="172" t="s">
        <v>20</v>
      </c>
      <c r="I940" s="175">
        <v>1</v>
      </c>
      <c r="J940" s="175" t="s">
        <v>18</v>
      </c>
      <c r="K940" s="175" t="s">
        <v>57</v>
      </c>
      <c r="L940" s="172" t="s">
        <v>56</v>
      </c>
    </row>
    <row r="941" spans="1:12" x14ac:dyDescent="0.2">
      <c r="A941" s="172" t="s">
        <v>12</v>
      </c>
      <c r="B941" s="172" t="s">
        <v>13</v>
      </c>
      <c r="C941" s="172" t="s">
        <v>21</v>
      </c>
      <c r="D941" s="172" t="s">
        <v>15</v>
      </c>
      <c r="E941" s="173">
        <v>42786</v>
      </c>
      <c r="F941" s="174">
        <v>283.42655999999999</v>
      </c>
      <c r="G941" s="175" t="s">
        <v>19</v>
      </c>
      <c r="H941" s="172" t="s">
        <v>20</v>
      </c>
      <c r="I941" s="175">
        <v>1</v>
      </c>
      <c r="J941" s="175" t="s">
        <v>18</v>
      </c>
      <c r="K941" s="175" t="s">
        <v>57</v>
      </c>
      <c r="L941" s="172" t="s">
        <v>56</v>
      </c>
    </row>
    <row r="942" spans="1:12" x14ac:dyDescent="0.2">
      <c r="A942" s="172" t="s">
        <v>12</v>
      </c>
      <c r="B942" s="172" t="s">
        <v>13</v>
      </c>
      <c r="C942" s="172" t="s">
        <v>21</v>
      </c>
      <c r="D942" s="172" t="s">
        <v>15</v>
      </c>
      <c r="E942" s="173">
        <v>42779</v>
      </c>
      <c r="F942" s="174">
        <v>4.3706795999999999</v>
      </c>
      <c r="G942" s="175" t="s">
        <v>16</v>
      </c>
      <c r="H942" s="172" t="s">
        <v>17</v>
      </c>
      <c r="I942" s="175">
        <v>1</v>
      </c>
      <c r="J942" s="175" t="s">
        <v>18</v>
      </c>
      <c r="K942" s="175" t="s">
        <v>57</v>
      </c>
      <c r="L942" s="172" t="s">
        <v>56</v>
      </c>
    </row>
    <row r="943" spans="1:12" x14ac:dyDescent="0.2">
      <c r="A943" s="172" t="s">
        <v>12</v>
      </c>
      <c r="B943" s="172" t="s">
        <v>13</v>
      </c>
      <c r="C943" s="172" t="s">
        <v>21</v>
      </c>
      <c r="D943" s="172" t="s">
        <v>15</v>
      </c>
      <c r="E943" s="173">
        <v>42779</v>
      </c>
      <c r="F943" s="174">
        <v>750.90024000000005</v>
      </c>
      <c r="G943" s="175" t="s">
        <v>19</v>
      </c>
      <c r="H943" s="172" t="s">
        <v>17</v>
      </c>
      <c r="I943" s="175">
        <v>1</v>
      </c>
      <c r="J943" s="175" t="s">
        <v>18</v>
      </c>
      <c r="K943" s="175" t="s">
        <v>57</v>
      </c>
      <c r="L943" s="172" t="s">
        <v>56</v>
      </c>
    </row>
    <row r="944" spans="1:12" x14ac:dyDescent="0.2">
      <c r="A944" s="172" t="s">
        <v>12</v>
      </c>
      <c r="B944" s="172" t="s">
        <v>13</v>
      </c>
      <c r="C944" s="172" t="s">
        <v>21</v>
      </c>
      <c r="D944" s="172" t="s">
        <v>15</v>
      </c>
      <c r="E944" s="173">
        <v>42779</v>
      </c>
      <c r="F944" s="174">
        <v>1.1100000000000001</v>
      </c>
      <c r="G944" s="175" t="s">
        <v>16</v>
      </c>
      <c r="H944" s="172" t="s">
        <v>20</v>
      </c>
      <c r="I944" s="175">
        <v>1</v>
      </c>
      <c r="J944" s="175" t="s">
        <v>18</v>
      </c>
      <c r="K944" s="175" t="s">
        <v>57</v>
      </c>
      <c r="L944" s="172" t="s">
        <v>56</v>
      </c>
    </row>
    <row r="945" spans="1:12" x14ac:dyDescent="0.2">
      <c r="A945" s="172" t="s">
        <v>12</v>
      </c>
      <c r="B945" s="172" t="s">
        <v>13</v>
      </c>
      <c r="C945" s="172" t="s">
        <v>21</v>
      </c>
      <c r="D945" s="172" t="s">
        <v>15</v>
      </c>
      <c r="E945" s="173">
        <v>42779</v>
      </c>
      <c r="F945" s="174">
        <v>220.32612</v>
      </c>
      <c r="G945" s="175" t="s">
        <v>19</v>
      </c>
      <c r="H945" s="172" t="s">
        <v>20</v>
      </c>
      <c r="I945" s="175">
        <v>1</v>
      </c>
      <c r="J945" s="175" t="s">
        <v>18</v>
      </c>
      <c r="K945" s="175" t="s">
        <v>57</v>
      </c>
      <c r="L945" s="172" t="s">
        <v>56</v>
      </c>
    </row>
    <row r="946" spans="1:12" x14ac:dyDescent="0.2">
      <c r="A946" s="172" t="s">
        <v>12</v>
      </c>
      <c r="B946" s="172" t="s">
        <v>13</v>
      </c>
      <c r="C946" s="172" t="s">
        <v>21</v>
      </c>
      <c r="D946" s="172" t="s">
        <v>15</v>
      </c>
      <c r="E946" s="173">
        <v>42772</v>
      </c>
      <c r="F946" s="174">
        <v>3.5871914</v>
      </c>
      <c r="G946" s="175" t="s">
        <v>16</v>
      </c>
      <c r="H946" s="172" t="s">
        <v>17</v>
      </c>
      <c r="I946" s="175">
        <v>1</v>
      </c>
      <c r="J946" s="175" t="s">
        <v>18</v>
      </c>
      <c r="K946" s="175" t="s">
        <v>57</v>
      </c>
      <c r="L946" s="172" t="s">
        <v>56</v>
      </c>
    </row>
    <row r="947" spans="1:12" x14ac:dyDescent="0.2">
      <c r="A947" s="172" t="s">
        <v>12</v>
      </c>
      <c r="B947" s="172" t="s">
        <v>13</v>
      </c>
      <c r="C947" s="172" t="s">
        <v>21</v>
      </c>
      <c r="D947" s="172" t="s">
        <v>15</v>
      </c>
      <c r="E947" s="173">
        <v>42772</v>
      </c>
      <c r="F947" s="174">
        <v>703.05366000000004</v>
      </c>
      <c r="G947" s="175" t="s">
        <v>19</v>
      </c>
      <c r="H947" s="172" t="s">
        <v>17</v>
      </c>
      <c r="I947" s="175">
        <v>1</v>
      </c>
      <c r="J947" s="175" t="s">
        <v>18</v>
      </c>
      <c r="K947" s="175" t="s">
        <v>57</v>
      </c>
      <c r="L947" s="172" t="s">
        <v>56</v>
      </c>
    </row>
    <row r="948" spans="1:12" x14ac:dyDescent="0.2">
      <c r="A948" s="172" t="s">
        <v>12</v>
      </c>
      <c r="B948" s="172" t="s">
        <v>13</v>
      </c>
      <c r="C948" s="172" t="s">
        <v>21</v>
      </c>
      <c r="D948" s="172" t="s">
        <v>15</v>
      </c>
      <c r="E948" s="173">
        <v>42772</v>
      </c>
      <c r="F948" s="174">
        <v>1.01</v>
      </c>
      <c r="G948" s="175" t="s">
        <v>16</v>
      </c>
      <c r="H948" s="172" t="s">
        <v>20</v>
      </c>
      <c r="I948" s="175">
        <v>1</v>
      </c>
      <c r="J948" s="175" t="s">
        <v>18</v>
      </c>
      <c r="K948" s="175" t="s">
        <v>57</v>
      </c>
      <c r="L948" s="172" t="s">
        <v>56</v>
      </c>
    </row>
    <row r="949" spans="1:12" x14ac:dyDescent="0.2">
      <c r="A949" s="172" t="s">
        <v>12</v>
      </c>
      <c r="B949" s="172" t="s">
        <v>13</v>
      </c>
      <c r="C949" s="172" t="s">
        <v>21</v>
      </c>
      <c r="D949" s="172" t="s">
        <v>15</v>
      </c>
      <c r="E949" s="173">
        <v>42772</v>
      </c>
      <c r="F949" s="174">
        <v>178.57607999999999</v>
      </c>
      <c r="G949" s="175" t="s">
        <v>19</v>
      </c>
      <c r="H949" s="172" t="s">
        <v>20</v>
      </c>
      <c r="I949" s="175">
        <v>1</v>
      </c>
      <c r="J949" s="175" t="s">
        <v>18</v>
      </c>
      <c r="K949" s="175" t="s">
        <v>57</v>
      </c>
      <c r="L949" s="172" t="s">
        <v>56</v>
      </c>
    </row>
    <row r="950" spans="1:12" x14ac:dyDescent="0.2">
      <c r="A950" s="172" t="s">
        <v>12</v>
      </c>
      <c r="B950" s="172" t="s">
        <v>13</v>
      </c>
      <c r="C950" s="172" t="s">
        <v>21</v>
      </c>
      <c r="D950" s="172" t="s">
        <v>15</v>
      </c>
      <c r="E950" s="173">
        <v>42767</v>
      </c>
      <c r="F950" s="174">
        <v>3.0368420999999999</v>
      </c>
      <c r="G950" s="175" t="s">
        <v>16</v>
      </c>
      <c r="H950" s="172" t="s">
        <v>17</v>
      </c>
      <c r="I950" s="175">
        <v>1</v>
      </c>
      <c r="J950" s="175" t="s">
        <v>18</v>
      </c>
      <c r="K950" s="175" t="s">
        <v>57</v>
      </c>
      <c r="L950" s="172" t="s">
        <v>56</v>
      </c>
    </row>
    <row r="951" spans="1:12" x14ac:dyDescent="0.2">
      <c r="A951" s="172" t="s">
        <v>12</v>
      </c>
      <c r="B951" s="172" t="s">
        <v>13</v>
      </c>
      <c r="C951" s="172" t="s">
        <v>21</v>
      </c>
      <c r="D951" s="172" t="s">
        <v>15</v>
      </c>
      <c r="E951" s="173">
        <v>42767</v>
      </c>
      <c r="F951" s="174">
        <v>673.70519999999999</v>
      </c>
      <c r="G951" s="175" t="s">
        <v>19</v>
      </c>
      <c r="H951" s="172" t="s">
        <v>17</v>
      </c>
      <c r="I951" s="175">
        <v>1</v>
      </c>
      <c r="J951" s="175" t="s">
        <v>18</v>
      </c>
      <c r="K951" s="175" t="s">
        <v>57</v>
      </c>
      <c r="L951" s="172" t="s">
        <v>56</v>
      </c>
    </row>
    <row r="952" spans="1:12" x14ac:dyDescent="0.2">
      <c r="A952" s="172" t="s">
        <v>12</v>
      </c>
      <c r="B952" s="172" t="s">
        <v>13</v>
      </c>
      <c r="C952" s="172" t="s">
        <v>21</v>
      </c>
      <c r="D952" s="172" t="s">
        <v>15</v>
      </c>
      <c r="E952" s="173">
        <v>42767</v>
      </c>
      <c r="F952" s="174">
        <v>0.5</v>
      </c>
      <c r="G952" s="175" t="s">
        <v>16</v>
      </c>
      <c r="H952" s="172" t="s">
        <v>20</v>
      </c>
      <c r="I952" s="175">
        <v>1</v>
      </c>
      <c r="J952" s="175" t="s">
        <v>18</v>
      </c>
      <c r="K952" s="175" t="s">
        <v>57</v>
      </c>
      <c r="L952" s="172" t="s">
        <v>56</v>
      </c>
    </row>
    <row r="953" spans="1:12" x14ac:dyDescent="0.2">
      <c r="A953" s="172" t="s">
        <v>12</v>
      </c>
      <c r="B953" s="172" t="s">
        <v>13</v>
      </c>
      <c r="C953" s="172" t="s">
        <v>21</v>
      </c>
      <c r="D953" s="172" t="s">
        <v>15</v>
      </c>
      <c r="E953" s="173">
        <v>42767</v>
      </c>
      <c r="F953" s="174">
        <v>90.489000000000004</v>
      </c>
      <c r="G953" s="175" t="s">
        <v>19</v>
      </c>
      <c r="H953" s="172" t="s">
        <v>20</v>
      </c>
      <c r="I953" s="175">
        <v>1</v>
      </c>
      <c r="J953" s="175" t="s">
        <v>18</v>
      </c>
      <c r="K953" s="175" t="s">
        <v>57</v>
      </c>
      <c r="L953" s="172" t="s">
        <v>56</v>
      </c>
    </row>
    <row r="954" spans="1:12" x14ac:dyDescent="0.2">
      <c r="A954" s="172" t="s">
        <v>12</v>
      </c>
      <c r="B954" s="172" t="s">
        <v>13</v>
      </c>
      <c r="C954" s="172" t="s">
        <v>21</v>
      </c>
      <c r="D954" s="172" t="s">
        <v>15</v>
      </c>
      <c r="E954" s="173">
        <v>42758</v>
      </c>
      <c r="F954" s="174">
        <v>5.2047482</v>
      </c>
      <c r="G954" s="175" t="s">
        <v>16</v>
      </c>
      <c r="H954" s="172" t="s">
        <v>17</v>
      </c>
      <c r="I954" s="175">
        <v>1</v>
      </c>
      <c r="J954" s="175" t="s">
        <v>18</v>
      </c>
      <c r="K954" s="175" t="s">
        <v>57</v>
      </c>
      <c r="L954" s="172" t="s">
        <v>56</v>
      </c>
    </row>
    <row r="955" spans="1:12" x14ac:dyDescent="0.2">
      <c r="A955" s="172" t="s">
        <v>12</v>
      </c>
      <c r="B955" s="172" t="s">
        <v>13</v>
      </c>
      <c r="C955" s="172" t="s">
        <v>21</v>
      </c>
      <c r="D955" s="172" t="s">
        <v>15</v>
      </c>
      <c r="E955" s="173">
        <v>42758</v>
      </c>
      <c r="F955" s="174">
        <v>1206.73128</v>
      </c>
      <c r="G955" s="175" t="s">
        <v>19</v>
      </c>
      <c r="H955" s="172" t="s">
        <v>17</v>
      </c>
      <c r="I955" s="175">
        <v>1</v>
      </c>
      <c r="J955" s="175" t="s">
        <v>18</v>
      </c>
      <c r="K955" s="175" t="s">
        <v>57</v>
      </c>
      <c r="L955" s="172" t="s">
        <v>56</v>
      </c>
    </row>
    <row r="956" spans="1:12" x14ac:dyDescent="0.2">
      <c r="A956" s="172" t="s">
        <v>12</v>
      </c>
      <c r="B956" s="172" t="s">
        <v>13</v>
      </c>
      <c r="C956" s="172" t="s">
        <v>21</v>
      </c>
      <c r="D956" s="172" t="s">
        <v>15</v>
      </c>
      <c r="E956" s="173">
        <v>42758</v>
      </c>
      <c r="F956" s="174">
        <v>1.37</v>
      </c>
      <c r="G956" s="175" t="s">
        <v>16</v>
      </c>
      <c r="H956" s="172" t="s">
        <v>20</v>
      </c>
      <c r="I956" s="175">
        <v>1</v>
      </c>
      <c r="J956" s="175" t="s">
        <v>18</v>
      </c>
      <c r="K956" s="175" t="s">
        <v>57</v>
      </c>
      <c r="L956" s="172" t="s">
        <v>56</v>
      </c>
    </row>
    <row r="957" spans="1:12" x14ac:dyDescent="0.2">
      <c r="A957" s="172" t="s">
        <v>12</v>
      </c>
      <c r="B957" s="172" t="s">
        <v>13</v>
      </c>
      <c r="C957" s="172" t="s">
        <v>21</v>
      </c>
      <c r="D957" s="172" t="s">
        <v>15</v>
      </c>
      <c r="E957" s="173">
        <v>42758</v>
      </c>
      <c r="F957" s="174">
        <v>281.07468</v>
      </c>
      <c r="G957" s="175" t="s">
        <v>19</v>
      </c>
      <c r="H957" s="172" t="s">
        <v>20</v>
      </c>
      <c r="I957" s="175">
        <v>1</v>
      </c>
      <c r="J957" s="175" t="s">
        <v>18</v>
      </c>
      <c r="K957" s="175" t="s">
        <v>57</v>
      </c>
      <c r="L957" s="172" t="s">
        <v>56</v>
      </c>
    </row>
    <row r="958" spans="1:12" x14ac:dyDescent="0.2">
      <c r="A958" s="172" t="s">
        <v>12</v>
      </c>
      <c r="B958" s="172" t="s">
        <v>13</v>
      </c>
      <c r="C958" s="172" t="s">
        <v>21</v>
      </c>
      <c r="D958" s="172" t="s">
        <v>15</v>
      </c>
      <c r="E958" s="173">
        <v>42751</v>
      </c>
      <c r="F958" s="174">
        <v>3.1564196999999998</v>
      </c>
      <c r="G958" s="175" t="s">
        <v>16</v>
      </c>
      <c r="H958" s="172" t="s">
        <v>17</v>
      </c>
      <c r="I958" s="175">
        <v>1</v>
      </c>
      <c r="J958" s="175" t="s">
        <v>18</v>
      </c>
      <c r="K958" s="175" t="s">
        <v>57</v>
      </c>
      <c r="L958" s="172" t="s">
        <v>56</v>
      </c>
    </row>
    <row r="959" spans="1:12" x14ac:dyDescent="0.2">
      <c r="A959" s="172" t="s">
        <v>12</v>
      </c>
      <c r="B959" s="172" t="s">
        <v>13</v>
      </c>
      <c r="C959" s="172" t="s">
        <v>21</v>
      </c>
      <c r="D959" s="172" t="s">
        <v>15</v>
      </c>
      <c r="E959" s="173">
        <v>42751</v>
      </c>
      <c r="F959" s="174">
        <v>852.91512</v>
      </c>
      <c r="G959" s="175" t="s">
        <v>19</v>
      </c>
      <c r="H959" s="172" t="s">
        <v>17</v>
      </c>
      <c r="I959" s="175">
        <v>1</v>
      </c>
      <c r="J959" s="175" t="s">
        <v>18</v>
      </c>
      <c r="K959" s="175" t="s">
        <v>57</v>
      </c>
      <c r="L959" s="172" t="s">
        <v>56</v>
      </c>
    </row>
    <row r="960" spans="1:12" x14ac:dyDescent="0.2">
      <c r="A960" s="172" t="s">
        <v>12</v>
      </c>
      <c r="B960" s="172" t="s">
        <v>13</v>
      </c>
      <c r="C960" s="172" t="s">
        <v>21</v>
      </c>
      <c r="D960" s="172" t="s">
        <v>15</v>
      </c>
      <c r="E960" s="173">
        <v>42751</v>
      </c>
      <c r="F960" s="174">
        <v>0.5</v>
      </c>
      <c r="G960" s="175" t="s">
        <v>16</v>
      </c>
      <c r="H960" s="172" t="s">
        <v>20</v>
      </c>
      <c r="I960" s="175">
        <v>1</v>
      </c>
      <c r="J960" s="175" t="s">
        <v>18</v>
      </c>
      <c r="K960" s="175" t="s">
        <v>57</v>
      </c>
      <c r="L960" s="172" t="s">
        <v>56</v>
      </c>
    </row>
    <row r="961" spans="1:12" x14ac:dyDescent="0.2">
      <c r="A961" s="172" t="s">
        <v>12</v>
      </c>
      <c r="B961" s="172" t="s">
        <v>13</v>
      </c>
      <c r="C961" s="172" t="s">
        <v>21</v>
      </c>
      <c r="D961" s="172" t="s">
        <v>15</v>
      </c>
      <c r="E961" s="173">
        <v>42751</v>
      </c>
      <c r="F961" s="174">
        <v>100.497</v>
      </c>
      <c r="G961" s="175" t="s">
        <v>19</v>
      </c>
      <c r="H961" s="172" t="s">
        <v>20</v>
      </c>
      <c r="I961" s="175">
        <v>1</v>
      </c>
      <c r="J961" s="175" t="s">
        <v>18</v>
      </c>
      <c r="K961" s="175" t="s">
        <v>57</v>
      </c>
      <c r="L961" s="172" t="s">
        <v>56</v>
      </c>
    </row>
    <row r="962" spans="1:12" x14ac:dyDescent="0.2">
      <c r="A962" s="172" t="s">
        <v>12</v>
      </c>
      <c r="B962" s="172" t="s">
        <v>13</v>
      </c>
      <c r="C962" s="172" t="s">
        <v>21</v>
      </c>
      <c r="D962" s="172" t="s">
        <v>15</v>
      </c>
      <c r="E962" s="173">
        <v>42743</v>
      </c>
      <c r="F962" s="174">
        <v>4.0042230999999999</v>
      </c>
      <c r="G962" s="175" t="s">
        <v>16</v>
      </c>
      <c r="H962" s="172" t="s">
        <v>17</v>
      </c>
      <c r="I962" s="175">
        <v>1</v>
      </c>
      <c r="J962" s="175" t="s">
        <v>18</v>
      </c>
      <c r="K962" s="175" t="s">
        <v>57</v>
      </c>
      <c r="L962" s="172" t="s">
        <v>56</v>
      </c>
    </row>
    <row r="963" spans="1:12" x14ac:dyDescent="0.2">
      <c r="A963" s="172" t="s">
        <v>12</v>
      </c>
      <c r="B963" s="172" t="s">
        <v>13</v>
      </c>
      <c r="C963" s="172" t="s">
        <v>21</v>
      </c>
      <c r="D963" s="172" t="s">
        <v>15</v>
      </c>
      <c r="E963" s="173">
        <v>42743</v>
      </c>
      <c r="F963" s="174">
        <v>838.22004000000004</v>
      </c>
      <c r="G963" s="175" t="s">
        <v>19</v>
      </c>
      <c r="H963" s="172" t="s">
        <v>17</v>
      </c>
      <c r="I963" s="175">
        <v>1</v>
      </c>
      <c r="J963" s="175" t="s">
        <v>18</v>
      </c>
      <c r="K963" s="175" t="s">
        <v>57</v>
      </c>
      <c r="L963" s="172" t="s">
        <v>56</v>
      </c>
    </row>
    <row r="964" spans="1:12" x14ac:dyDescent="0.2">
      <c r="A964" s="172" t="s">
        <v>12</v>
      </c>
      <c r="B964" s="172" t="s">
        <v>13</v>
      </c>
      <c r="C964" s="172" t="s">
        <v>21</v>
      </c>
      <c r="D964" s="172" t="s">
        <v>15</v>
      </c>
      <c r="E964" s="173">
        <v>42743</v>
      </c>
      <c r="F964" s="174">
        <v>2.0099999999999998</v>
      </c>
      <c r="G964" s="175" t="s">
        <v>16</v>
      </c>
      <c r="H964" s="172" t="s">
        <v>20</v>
      </c>
      <c r="I964" s="175">
        <v>1</v>
      </c>
      <c r="J964" s="175" t="s">
        <v>18</v>
      </c>
      <c r="K964" s="175" t="s">
        <v>57</v>
      </c>
      <c r="L964" s="172" t="s">
        <v>56</v>
      </c>
    </row>
    <row r="965" spans="1:12" x14ac:dyDescent="0.2">
      <c r="A965" s="172" t="s">
        <v>12</v>
      </c>
      <c r="B965" s="172" t="s">
        <v>13</v>
      </c>
      <c r="C965" s="172" t="s">
        <v>21</v>
      </c>
      <c r="D965" s="172" t="s">
        <v>15</v>
      </c>
      <c r="E965" s="173">
        <v>42743</v>
      </c>
      <c r="F965" s="174">
        <v>442.55376000000001</v>
      </c>
      <c r="G965" s="175" t="s">
        <v>19</v>
      </c>
      <c r="H965" s="172" t="s">
        <v>20</v>
      </c>
      <c r="I965" s="175">
        <v>1</v>
      </c>
      <c r="J965" s="175" t="s">
        <v>18</v>
      </c>
      <c r="K965" s="175" t="s">
        <v>57</v>
      </c>
      <c r="L965" s="172" t="s">
        <v>56</v>
      </c>
    </row>
    <row r="966" spans="1:12" x14ac:dyDescent="0.2">
      <c r="A966" s="172" t="s">
        <v>12</v>
      </c>
      <c r="B966" s="172" t="s">
        <v>13</v>
      </c>
      <c r="C966" s="172" t="s">
        <v>21</v>
      </c>
      <c r="D966" s="172" t="s">
        <v>15</v>
      </c>
      <c r="E966" s="173">
        <v>42738</v>
      </c>
      <c r="F966" s="174">
        <v>3.1105976000000002</v>
      </c>
      <c r="G966" s="175" t="s">
        <v>16</v>
      </c>
      <c r="H966" s="172" t="s">
        <v>17</v>
      </c>
      <c r="I966" s="175">
        <v>1</v>
      </c>
      <c r="J966" s="175" t="s">
        <v>18</v>
      </c>
      <c r="K966" s="175" t="s">
        <v>57</v>
      </c>
      <c r="L966" s="172" t="s">
        <v>56</v>
      </c>
    </row>
    <row r="967" spans="1:12" x14ac:dyDescent="0.2">
      <c r="A967" s="172" t="s">
        <v>12</v>
      </c>
      <c r="B967" s="172" t="s">
        <v>13</v>
      </c>
      <c r="C967" s="172" t="s">
        <v>21</v>
      </c>
      <c r="D967" s="172" t="s">
        <v>15</v>
      </c>
      <c r="E967" s="173">
        <v>42738</v>
      </c>
      <c r="F967" s="174">
        <v>651.15383999999995</v>
      </c>
      <c r="G967" s="175" t="s">
        <v>19</v>
      </c>
      <c r="H967" s="172" t="s">
        <v>17</v>
      </c>
      <c r="I967" s="175">
        <v>1</v>
      </c>
      <c r="J967" s="175" t="s">
        <v>18</v>
      </c>
      <c r="K967" s="175" t="s">
        <v>57</v>
      </c>
      <c r="L967" s="172" t="s">
        <v>56</v>
      </c>
    </row>
    <row r="968" spans="1:12" x14ac:dyDescent="0.2">
      <c r="A968" s="172" t="s">
        <v>12</v>
      </c>
      <c r="B968" s="172" t="s">
        <v>13</v>
      </c>
      <c r="C968" s="172" t="s">
        <v>21</v>
      </c>
      <c r="D968" s="172" t="s">
        <v>15</v>
      </c>
      <c r="E968" s="173">
        <v>42738</v>
      </c>
      <c r="F968" s="174">
        <v>0.5</v>
      </c>
      <c r="G968" s="175" t="s">
        <v>16</v>
      </c>
      <c r="H968" s="172" t="s">
        <v>20</v>
      </c>
      <c r="I968" s="175">
        <v>1</v>
      </c>
      <c r="J968" s="175" t="s">
        <v>18</v>
      </c>
      <c r="K968" s="175" t="s">
        <v>57</v>
      </c>
      <c r="L968" s="172" t="s">
        <v>56</v>
      </c>
    </row>
    <row r="969" spans="1:12" x14ac:dyDescent="0.2">
      <c r="A969" s="172" t="s">
        <v>12</v>
      </c>
      <c r="B969" s="172" t="s">
        <v>13</v>
      </c>
      <c r="C969" s="172" t="s">
        <v>21</v>
      </c>
      <c r="D969" s="172" t="s">
        <v>15</v>
      </c>
      <c r="E969" s="173">
        <v>42738</v>
      </c>
      <c r="F969" s="174">
        <v>110.922</v>
      </c>
      <c r="G969" s="175" t="s">
        <v>19</v>
      </c>
      <c r="H969" s="172" t="s">
        <v>20</v>
      </c>
      <c r="I969" s="175">
        <v>1</v>
      </c>
      <c r="J969" s="175" t="s">
        <v>18</v>
      </c>
      <c r="K969" s="175" t="s">
        <v>57</v>
      </c>
      <c r="L969" s="172" t="s">
        <v>56</v>
      </c>
    </row>
    <row r="970" spans="1:12" x14ac:dyDescent="0.2">
      <c r="A970" s="172" t="s">
        <v>12</v>
      </c>
      <c r="B970" s="172" t="s">
        <v>13</v>
      </c>
      <c r="C970" s="172" t="s">
        <v>21</v>
      </c>
      <c r="D970" s="172" t="s">
        <v>15</v>
      </c>
      <c r="E970" s="173">
        <v>42730</v>
      </c>
      <c r="F970" s="174">
        <v>2.2553353</v>
      </c>
      <c r="G970" s="175" t="s">
        <v>16</v>
      </c>
      <c r="H970" s="172" t="s">
        <v>17</v>
      </c>
      <c r="I970" s="175">
        <v>1</v>
      </c>
      <c r="J970" s="175" t="s">
        <v>18</v>
      </c>
      <c r="K970" s="175" t="s">
        <v>57</v>
      </c>
      <c r="L970" s="172" t="s">
        <v>56</v>
      </c>
    </row>
    <row r="971" spans="1:12" x14ac:dyDescent="0.2">
      <c r="A971" s="172" t="s">
        <v>12</v>
      </c>
      <c r="B971" s="172" t="s">
        <v>13</v>
      </c>
      <c r="C971" s="172" t="s">
        <v>21</v>
      </c>
      <c r="D971" s="172" t="s">
        <v>15</v>
      </c>
      <c r="E971" s="173">
        <v>42730</v>
      </c>
      <c r="F971" s="174">
        <v>616.95150000000001</v>
      </c>
      <c r="G971" s="175" t="s">
        <v>19</v>
      </c>
      <c r="H971" s="172" t="s">
        <v>17</v>
      </c>
      <c r="I971" s="175">
        <v>1</v>
      </c>
      <c r="J971" s="175" t="s">
        <v>18</v>
      </c>
      <c r="K971" s="175" t="s">
        <v>57</v>
      </c>
      <c r="L971" s="172" t="s">
        <v>56</v>
      </c>
    </row>
    <row r="972" spans="1:12" x14ac:dyDescent="0.2">
      <c r="A972" s="172" t="s">
        <v>12</v>
      </c>
      <c r="B972" s="172" t="s">
        <v>13</v>
      </c>
      <c r="C972" s="172" t="s">
        <v>21</v>
      </c>
      <c r="D972" s="172" t="s">
        <v>15</v>
      </c>
      <c r="E972" s="173">
        <v>42730</v>
      </c>
      <c r="F972" s="174">
        <v>0.5</v>
      </c>
      <c r="G972" s="175" t="s">
        <v>16</v>
      </c>
      <c r="H972" s="172" t="s">
        <v>20</v>
      </c>
      <c r="I972" s="175">
        <v>1</v>
      </c>
      <c r="J972" s="175" t="s">
        <v>18</v>
      </c>
      <c r="K972" s="175" t="s">
        <v>57</v>
      </c>
      <c r="L972" s="172" t="s">
        <v>56</v>
      </c>
    </row>
    <row r="973" spans="1:12" x14ac:dyDescent="0.2">
      <c r="A973" s="172" t="s">
        <v>12</v>
      </c>
      <c r="B973" s="172" t="s">
        <v>13</v>
      </c>
      <c r="C973" s="172" t="s">
        <v>21</v>
      </c>
      <c r="D973" s="172" t="s">
        <v>15</v>
      </c>
      <c r="E973" s="173">
        <v>42730</v>
      </c>
      <c r="F973" s="174">
        <v>140.11199999999999</v>
      </c>
      <c r="G973" s="175" t="s">
        <v>19</v>
      </c>
      <c r="H973" s="172" t="s">
        <v>20</v>
      </c>
      <c r="I973" s="175">
        <v>1</v>
      </c>
      <c r="J973" s="175" t="s">
        <v>18</v>
      </c>
      <c r="K973" s="175" t="s">
        <v>57</v>
      </c>
      <c r="L973" s="172" t="s">
        <v>56</v>
      </c>
    </row>
    <row r="974" spans="1:12" x14ac:dyDescent="0.2">
      <c r="A974" s="172" t="s">
        <v>12</v>
      </c>
      <c r="B974" s="172" t="s">
        <v>13</v>
      </c>
      <c r="C974" s="172" t="s">
        <v>21</v>
      </c>
      <c r="D974" s="172" t="s">
        <v>15</v>
      </c>
      <c r="E974" s="173">
        <v>42724</v>
      </c>
      <c r="F974" s="174">
        <v>3.5047698</v>
      </c>
      <c r="G974" s="175" t="s">
        <v>16</v>
      </c>
      <c r="H974" s="172" t="s">
        <v>17</v>
      </c>
      <c r="I974" s="175">
        <v>1</v>
      </c>
      <c r="J974" s="175" t="s">
        <v>18</v>
      </c>
      <c r="K974" s="175" t="s">
        <v>57</v>
      </c>
      <c r="L974" s="172" t="s">
        <v>56</v>
      </c>
    </row>
    <row r="975" spans="1:12" x14ac:dyDescent="0.2">
      <c r="A975" s="172" t="s">
        <v>12</v>
      </c>
      <c r="B975" s="172" t="s">
        <v>13</v>
      </c>
      <c r="C975" s="172" t="s">
        <v>21</v>
      </c>
      <c r="D975" s="172" t="s">
        <v>15</v>
      </c>
      <c r="E975" s="173">
        <v>42724</v>
      </c>
      <c r="F975" s="174">
        <v>698.59176000000002</v>
      </c>
      <c r="G975" s="175" t="s">
        <v>19</v>
      </c>
      <c r="H975" s="172" t="s">
        <v>17</v>
      </c>
      <c r="I975" s="175">
        <v>1</v>
      </c>
      <c r="J975" s="175" t="s">
        <v>18</v>
      </c>
      <c r="K975" s="175" t="s">
        <v>57</v>
      </c>
      <c r="L975" s="172" t="s">
        <v>56</v>
      </c>
    </row>
    <row r="976" spans="1:12" x14ac:dyDescent="0.2">
      <c r="A976" s="172" t="s">
        <v>12</v>
      </c>
      <c r="B976" s="172" t="s">
        <v>13</v>
      </c>
      <c r="C976" s="172" t="s">
        <v>21</v>
      </c>
      <c r="D976" s="172" t="s">
        <v>15</v>
      </c>
      <c r="E976" s="173">
        <v>42724</v>
      </c>
      <c r="F976" s="174">
        <v>0.5</v>
      </c>
      <c r="G976" s="175" t="s">
        <v>16</v>
      </c>
      <c r="H976" s="172" t="s">
        <v>20</v>
      </c>
      <c r="I976" s="175">
        <v>1</v>
      </c>
      <c r="J976" s="175" t="s">
        <v>18</v>
      </c>
      <c r="K976" s="175" t="s">
        <v>57</v>
      </c>
      <c r="L976" s="172" t="s">
        <v>56</v>
      </c>
    </row>
    <row r="977" spans="1:12" x14ac:dyDescent="0.2">
      <c r="A977" s="172" t="s">
        <v>12</v>
      </c>
      <c r="B977" s="172" t="s">
        <v>13</v>
      </c>
      <c r="C977" s="172" t="s">
        <v>21</v>
      </c>
      <c r="D977" s="172" t="s">
        <v>15</v>
      </c>
      <c r="E977" s="173">
        <v>42724</v>
      </c>
      <c r="F977" s="174">
        <v>107.586</v>
      </c>
      <c r="G977" s="175" t="s">
        <v>19</v>
      </c>
      <c r="H977" s="172" t="s">
        <v>20</v>
      </c>
      <c r="I977" s="175">
        <v>1</v>
      </c>
      <c r="J977" s="175" t="s">
        <v>18</v>
      </c>
      <c r="K977" s="175" t="s">
        <v>57</v>
      </c>
      <c r="L977" s="172" t="s">
        <v>56</v>
      </c>
    </row>
    <row r="978" spans="1:12" x14ac:dyDescent="0.2">
      <c r="A978" s="172" t="s">
        <v>12</v>
      </c>
      <c r="B978" s="172" t="s">
        <v>13</v>
      </c>
      <c r="C978" s="172" t="s">
        <v>21</v>
      </c>
      <c r="D978" s="172" t="s">
        <v>15</v>
      </c>
      <c r="E978" s="173">
        <v>42717</v>
      </c>
      <c r="F978" s="174">
        <v>3.6482665999999999</v>
      </c>
      <c r="G978" s="175" t="s">
        <v>16</v>
      </c>
      <c r="H978" s="172" t="s">
        <v>17</v>
      </c>
      <c r="I978" s="175">
        <v>1</v>
      </c>
      <c r="J978" s="175" t="s">
        <v>18</v>
      </c>
      <c r="K978" s="175" t="s">
        <v>57</v>
      </c>
      <c r="L978" s="172" t="s">
        <v>56</v>
      </c>
    </row>
    <row r="979" spans="1:12" x14ac:dyDescent="0.2">
      <c r="A979" s="172" t="s">
        <v>12</v>
      </c>
      <c r="B979" s="172" t="s">
        <v>13</v>
      </c>
      <c r="C979" s="172" t="s">
        <v>21</v>
      </c>
      <c r="D979" s="172" t="s">
        <v>15</v>
      </c>
      <c r="E979" s="173">
        <v>42717</v>
      </c>
      <c r="F979" s="174">
        <v>684.59724000000006</v>
      </c>
      <c r="G979" s="175" t="s">
        <v>19</v>
      </c>
      <c r="H979" s="172" t="s">
        <v>17</v>
      </c>
      <c r="I979" s="175">
        <v>1</v>
      </c>
      <c r="J979" s="175" t="s">
        <v>18</v>
      </c>
      <c r="K979" s="175" t="s">
        <v>57</v>
      </c>
      <c r="L979" s="172" t="s">
        <v>56</v>
      </c>
    </row>
    <row r="980" spans="1:12" x14ac:dyDescent="0.2">
      <c r="A980" s="172" t="s">
        <v>12</v>
      </c>
      <c r="B980" s="172" t="s">
        <v>13</v>
      </c>
      <c r="C980" s="172" t="s">
        <v>21</v>
      </c>
      <c r="D980" s="172" t="s">
        <v>15</v>
      </c>
      <c r="E980" s="173">
        <v>42717</v>
      </c>
      <c r="F980" s="174">
        <v>0.68500000000000005</v>
      </c>
      <c r="G980" s="175" t="s">
        <v>16</v>
      </c>
      <c r="H980" s="172" t="s">
        <v>20</v>
      </c>
      <c r="I980" s="175">
        <v>1</v>
      </c>
      <c r="J980" s="175" t="s">
        <v>18</v>
      </c>
      <c r="K980" s="175" t="s">
        <v>57</v>
      </c>
      <c r="L980" s="172" t="s">
        <v>56</v>
      </c>
    </row>
    <row r="981" spans="1:12" x14ac:dyDescent="0.2">
      <c r="A981" s="172" t="s">
        <v>12</v>
      </c>
      <c r="B981" s="172" t="s">
        <v>13</v>
      </c>
      <c r="C981" s="172" t="s">
        <v>21</v>
      </c>
      <c r="D981" s="172" t="s">
        <v>15</v>
      </c>
      <c r="E981" s="173">
        <v>42717</v>
      </c>
      <c r="F981" s="174">
        <v>140.53734</v>
      </c>
      <c r="G981" s="175" t="s">
        <v>19</v>
      </c>
      <c r="H981" s="172" t="s">
        <v>20</v>
      </c>
      <c r="I981" s="175">
        <v>1</v>
      </c>
      <c r="J981" s="175" t="s">
        <v>18</v>
      </c>
      <c r="K981" s="175" t="s">
        <v>57</v>
      </c>
      <c r="L981" s="172" t="s">
        <v>56</v>
      </c>
    </row>
    <row r="982" spans="1:12" x14ac:dyDescent="0.2">
      <c r="A982" s="172" t="s">
        <v>12</v>
      </c>
      <c r="B982" s="172" t="s">
        <v>13</v>
      </c>
      <c r="C982" s="172" t="s">
        <v>21</v>
      </c>
      <c r="D982" s="172" t="s">
        <v>15</v>
      </c>
      <c r="E982" s="173">
        <v>42711</v>
      </c>
      <c r="F982" s="174">
        <v>3.1904214</v>
      </c>
      <c r="G982" s="175" t="s">
        <v>16</v>
      </c>
      <c r="H982" s="172" t="s">
        <v>17</v>
      </c>
      <c r="I982" s="175">
        <v>1</v>
      </c>
      <c r="J982" s="175" t="s">
        <v>18</v>
      </c>
      <c r="K982" s="175" t="s">
        <v>57</v>
      </c>
      <c r="L982" s="172" t="s">
        <v>56</v>
      </c>
    </row>
    <row r="983" spans="1:12" x14ac:dyDescent="0.2">
      <c r="A983" s="172" t="s">
        <v>12</v>
      </c>
      <c r="B983" s="172" t="s">
        <v>13</v>
      </c>
      <c r="C983" s="172" t="s">
        <v>21</v>
      </c>
      <c r="D983" s="172" t="s">
        <v>15</v>
      </c>
      <c r="E983" s="173">
        <v>42711</v>
      </c>
      <c r="F983" s="174">
        <v>694.47180000000003</v>
      </c>
      <c r="G983" s="175" t="s">
        <v>19</v>
      </c>
      <c r="H983" s="172" t="s">
        <v>17</v>
      </c>
      <c r="I983" s="175">
        <v>1</v>
      </c>
      <c r="J983" s="175" t="s">
        <v>18</v>
      </c>
      <c r="K983" s="175" t="s">
        <v>57</v>
      </c>
      <c r="L983" s="172" t="s">
        <v>56</v>
      </c>
    </row>
    <row r="984" spans="1:12" x14ac:dyDescent="0.2">
      <c r="A984" s="172" t="s">
        <v>12</v>
      </c>
      <c r="B984" s="172" t="s">
        <v>13</v>
      </c>
      <c r="C984" s="172" t="s">
        <v>21</v>
      </c>
      <c r="D984" s="172" t="s">
        <v>15</v>
      </c>
      <c r="E984" s="173">
        <v>42711</v>
      </c>
      <c r="F984" s="174">
        <v>0.72599999999999998</v>
      </c>
      <c r="G984" s="175" t="s">
        <v>16</v>
      </c>
      <c r="H984" s="172" t="s">
        <v>20</v>
      </c>
      <c r="I984" s="175">
        <v>1</v>
      </c>
      <c r="J984" s="175" t="s">
        <v>18</v>
      </c>
      <c r="K984" s="175" t="s">
        <v>57</v>
      </c>
      <c r="L984" s="172" t="s">
        <v>56</v>
      </c>
    </row>
    <row r="985" spans="1:12" x14ac:dyDescent="0.2">
      <c r="A985" s="172" t="s">
        <v>12</v>
      </c>
      <c r="B985" s="172" t="s">
        <v>13</v>
      </c>
      <c r="C985" s="172" t="s">
        <v>21</v>
      </c>
      <c r="D985" s="172" t="s">
        <v>15</v>
      </c>
      <c r="E985" s="173">
        <v>42711</v>
      </c>
      <c r="F985" s="174">
        <v>164.69164799999999</v>
      </c>
      <c r="G985" s="175" t="s">
        <v>19</v>
      </c>
      <c r="H985" s="172" t="s">
        <v>20</v>
      </c>
      <c r="I985" s="175">
        <v>1</v>
      </c>
      <c r="J985" s="175" t="s">
        <v>18</v>
      </c>
      <c r="K985" s="175" t="s">
        <v>57</v>
      </c>
      <c r="L985" s="172" t="s">
        <v>56</v>
      </c>
    </row>
    <row r="986" spans="1:12" x14ac:dyDescent="0.2">
      <c r="A986" s="172" t="s">
        <v>12</v>
      </c>
      <c r="B986" s="172" t="s">
        <v>13</v>
      </c>
      <c r="C986" s="172" t="s">
        <v>21</v>
      </c>
      <c r="D986" s="172" t="s">
        <v>15</v>
      </c>
      <c r="E986" s="173">
        <v>42705</v>
      </c>
      <c r="F986" s="174">
        <v>3.6096233999999998</v>
      </c>
      <c r="G986" s="175" t="s">
        <v>16</v>
      </c>
      <c r="H986" s="172" t="s">
        <v>17</v>
      </c>
      <c r="I986" s="175">
        <v>1</v>
      </c>
      <c r="J986" s="175" t="s">
        <v>18</v>
      </c>
      <c r="K986" s="175" t="s">
        <v>57</v>
      </c>
      <c r="L986" s="172" t="s">
        <v>56</v>
      </c>
    </row>
    <row r="987" spans="1:12" x14ac:dyDescent="0.2">
      <c r="A987" s="172" t="s">
        <v>12</v>
      </c>
      <c r="B987" s="172" t="s">
        <v>13</v>
      </c>
      <c r="C987" s="172" t="s">
        <v>21</v>
      </c>
      <c r="D987" s="172" t="s">
        <v>15</v>
      </c>
      <c r="E987" s="173">
        <v>42705</v>
      </c>
      <c r="F987" s="174">
        <v>719.49180000000001</v>
      </c>
      <c r="G987" s="175" t="s">
        <v>19</v>
      </c>
      <c r="H987" s="172" t="s">
        <v>17</v>
      </c>
      <c r="I987" s="175">
        <v>1</v>
      </c>
      <c r="J987" s="175" t="s">
        <v>18</v>
      </c>
      <c r="K987" s="175" t="s">
        <v>57</v>
      </c>
      <c r="L987" s="172" t="s">
        <v>56</v>
      </c>
    </row>
    <row r="988" spans="1:12" x14ac:dyDescent="0.2">
      <c r="A988" s="172" t="s">
        <v>12</v>
      </c>
      <c r="B988" s="172" t="s">
        <v>13</v>
      </c>
      <c r="C988" s="172" t="s">
        <v>21</v>
      </c>
      <c r="D988" s="172" t="s">
        <v>15</v>
      </c>
      <c r="E988" s="173">
        <v>42705</v>
      </c>
      <c r="F988" s="174">
        <v>0.67100000000000004</v>
      </c>
      <c r="G988" s="175" t="s">
        <v>16</v>
      </c>
      <c r="H988" s="172" t="s">
        <v>20</v>
      </c>
      <c r="I988" s="175">
        <v>1</v>
      </c>
      <c r="J988" s="175" t="s">
        <v>18</v>
      </c>
      <c r="K988" s="175" t="s">
        <v>57</v>
      </c>
      <c r="L988" s="172" t="s">
        <v>56</v>
      </c>
    </row>
    <row r="989" spans="1:12" x14ac:dyDescent="0.2">
      <c r="A989" s="172" t="s">
        <v>12</v>
      </c>
      <c r="B989" s="172" t="s">
        <v>13</v>
      </c>
      <c r="C989" s="172" t="s">
        <v>21</v>
      </c>
      <c r="D989" s="172" t="s">
        <v>15</v>
      </c>
      <c r="E989" s="173">
        <v>42705</v>
      </c>
      <c r="F989" s="174">
        <v>139.343886</v>
      </c>
      <c r="G989" s="175" t="s">
        <v>19</v>
      </c>
      <c r="H989" s="172" t="s">
        <v>20</v>
      </c>
      <c r="I989" s="175">
        <v>1</v>
      </c>
      <c r="J989" s="175" t="s">
        <v>18</v>
      </c>
      <c r="K989" s="175" t="s">
        <v>57</v>
      </c>
      <c r="L989" s="172" t="s">
        <v>56</v>
      </c>
    </row>
    <row r="990" spans="1:12" x14ac:dyDescent="0.2">
      <c r="A990" s="172" t="s">
        <v>12</v>
      </c>
      <c r="B990" s="172" t="s">
        <v>13</v>
      </c>
      <c r="C990" s="172" t="s">
        <v>21</v>
      </c>
      <c r="D990" s="172" t="s">
        <v>15</v>
      </c>
      <c r="E990" s="173">
        <v>42695</v>
      </c>
      <c r="F990" s="174">
        <v>4.3855171999999998</v>
      </c>
      <c r="G990" s="175" t="s">
        <v>16</v>
      </c>
      <c r="H990" s="172" t="s">
        <v>17</v>
      </c>
      <c r="I990" s="175">
        <v>1</v>
      </c>
      <c r="J990" s="175" t="s">
        <v>18</v>
      </c>
      <c r="K990" s="175" t="s">
        <v>57</v>
      </c>
      <c r="L990" s="172" t="s">
        <v>56</v>
      </c>
    </row>
    <row r="991" spans="1:12" x14ac:dyDescent="0.2">
      <c r="A991" s="172" t="s">
        <v>12</v>
      </c>
      <c r="B991" s="172" t="s">
        <v>13</v>
      </c>
      <c r="C991" s="172" t="s">
        <v>21</v>
      </c>
      <c r="D991" s="172" t="s">
        <v>15</v>
      </c>
      <c r="E991" s="173">
        <v>42695</v>
      </c>
      <c r="F991" s="174">
        <v>848.54495989999998</v>
      </c>
      <c r="G991" s="175" t="s">
        <v>19</v>
      </c>
      <c r="H991" s="172" t="s">
        <v>17</v>
      </c>
      <c r="I991" s="175">
        <v>1</v>
      </c>
      <c r="J991" s="175" t="s">
        <v>18</v>
      </c>
      <c r="K991" s="175" t="s">
        <v>57</v>
      </c>
      <c r="L991" s="172" t="s">
        <v>56</v>
      </c>
    </row>
    <row r="992" spans="1:12" x14ac:dyDescent="0.2">
      <c r="A992" s="172" t="s">
        <v>12</v>
      </c>
      <c r="B992" s="172" t="s">
        <v>13</v>
      </c>
      <c r="C992" s="172" t="s">
        <v>21</v>
      </c>
      <c r="D992" s="172" t="s">
        <v>15</v>
      </c>
      <c r="E992" s="173">
        <v>42695</v>
      </c>
      <c r="F992" s="174">
        <v>1.27</v>
      </c>
      <c r="G992" s="175" t="s">
        <v>16</v>
      </c>
      <c r="H992" s="172" t="s">
        <v>20</v>
      </c>
      <c r="I992" s="175">
        <v>1</v>
      </c>
      <c r="J992" s="175" t="s">
        <v>18</v>
      </c>
      <c r="K992" s="175" t="s">
        <v>57</v>
      </c>
      <c r="L992" s="172" t="s">
        <v>56</v>
      </c>
    </row>
    <row r="993" spans="1:12" x14ac:dyDescent="0.2">
      <c r="A993" s="172" t="s">
        <v>12</v>
      </c>
      <c r="B993" s="172" t="s">
        <v>13</v>
      </c>
      <c r="C993" s="172" t="s">
        <v>21</v>
      </c>
      <c r="D993" s="172" t="s">
        <v>15</v>
      </c>
      <c r="E993" s="173">
        <v>42695</v>
      </c>
      <c r="F993" s="174">
        <v>255.26238000000001</v>
      </c>
      <c r="G993" s="175" t="s">
        <v>19</v>
      </c>
      <c r="H993" s="172" t="s">
        <v>20</v>
      </c>
      <c r="I993" s="175">
        <v>1</v>
      </c>
      <c r="J993" s="175" t="s">
        <v>18</v>
      </c>
      <c r="K993" s="175" t="s">
        <v>57</v>
      </c>
      <c r="L993" s="172" t="s">
        <v>56</v>
      </c>
    </row>
    <row r="994" spans="1:12" x14ac:dyDescent="0.2">
      <c r="A994" s="172" t="s">
        <v>12</v>
      </c>
      <c r="B994" s="172" t="s">
        <v>13</v>
      </c>
      <c r="C994" s="172" t="s">
        <v>21</v>
      </c>
      <c r="D994" s="172" t="s">
        <v>15</v>
      </c>
      <c r="E994" s="173">
        <v>42691</v>
      </c>
      <c r="F994" s="174">
        <v>3.3935371000000001</v>
      </c>
      <c r="G994" s="175" t="s">
        <v>16</v>
      </c>
      <c r="H994" s="172" t="s">
        <v>17</v>
      </c>
      <c r="I994" s="175">
        <v>1</v>
      </c>
      <c r="J994" s="175" t="s">
        <v>18</v>
      </c>
      <c r="K994" s="175" t="s">
        <v>57</v>
      </c>
      <c r="L994" s="172" t="s">
        <v>56</v>
      </c>
    </row>
    <row r="995" spans="1:12" x14ac:dyDescent="0.2">
      <c r="A995" s="172" t="s">
        <v>12</v>
      </c>
      <c r="B995" s="172" t="s">
        <v>13</v>
      </c>
      <c r="C995" s="172" t="s">
        <v>21</v>
      </c>
      <c r="D995" s="172" t="s">
        <v>15</v>
      </c>
      <c r="E995" s="173">
        <v>42691</v>
      </c>
      <c r="F995" s="174">
        <v>648.1180799</v>
      </c>
      <c r="G995" s="175" t="s">
        <v>19</v>
      </c>
      <c r="H995" s="172" t="s">
        <v>17</v>
      </c>
      <c r="I995" s="175">
        <v>1</v>
      </c>
      <c r="J995" s="175" t="s">
        <v>18</v>
      </c>
      <c r="K995" s="175" t="s">
        <v>57</v>
      </c>
      <c r="L995" s="172" t="s">
        <v>56</v>
      </c>
    </row>
    <row r="996" spans="1:12" x14ac:dyDescent="0.2">
      <c r="A996" s="172" t="s">
        <v>12</v>
      </c>
      <c r="B996" s="172" t="s">
        <v>13</v>
      </c>
      <c r="C996" s="172" t="s">
        <v>21</v>
      </c>
      <c r="D996" s="172" t="s">
        <v>15</v>
      </c>
      <c r="E996" s="173">
        <v>42691</v>
      </c>
      <c r="F996" s="174">
        <v>1.43</v>
      </c>
      <c r="G996" s="175" t="s">
        <v>16</v>
      </c>
      <c r="H996" s="172" t="s">
        <v>20</v>
      </c>
      <c r="I996" s="175">
        <v>1</v>
      </c>
      <c r="J996" s="175" t="s">
        <v>18</v>
      </c>
      <c r="K996" s="175" t="s">
        <v>57</v>
      </c>
      <c r="L996" s="172" t="s">
        <v>56</v>
      </c>
    </row>
    <row r="997" spans="1:12" x14ac:dyDescent="0.2">
      <c r="A997" s="172" t="s">
        <v>12</v>
      </c>
      <c r="B997" s="172" t="s">
        <v>13</v>
      </c>
      <c r="C997" s="172" t="s">
        <v>21</v>
      </c>
      <c r="D997" s="172" t="s">
        <v>15</v>
      </c>
      <c r="E997" s="173">
        <v>42691</v>
      </c>
      <c r="F997" s="174">
        <v>285.03618</v>
      </c>
      <c r="G997" s="175" t="s">
        <v>19</v>
      </c>
      <c r="H997" s="172" t="s">
        <v>20</v>
      </c>
      <c r="I997" s="175">
        <v>1</v>
      </c>
      <c r="J997" s="175" t="s">
        <v>18</v>
      </c>
      <c r="K997" s="175" t="s">
        <v>57</v>
      </c>
      <c r="L997" s="172" t="s">
        <v>56</v>
      </c>
    </row>
    <row r="998" spans="1:12" x14ac:dyDescent="0.2">
      <c r="A998" s="172" t="s">
        <v>12</v>
      </c>
      <c r="B998" s="172" t="s">
        <v>13</v>
      </c>
      <c r="C998" s="172" t="s">
        <v>21</v>
      </c>
      <c r="D998" s="172" t="s">
        <v>15</v>
      </c>
      <c r="E998" s="173">
        <v>42681</v>
      </c>
      <c r="F998" s="174">
        <v>3.0290455999999999</v>
      </c>
      <c r="G998" s="175" t="s">
        <v>16</v>
      </c>
      <c r="H998" s="172" t="s">
        <v>17</v>
      </c>
      <c r="I998" s="175">
        <v>1</v>
      </c>
      <c r="J998" s="175" t="s">
        <v>18</v>
      </c>
      <c r="K998" s="175" t="s">
        <v>57</v>
      </c>
      <c r="L998" s="172" t="s">
        <v>56</v>
      </c>
    </row>
    <row r="999" spans="1:12" x14ac:dyDescent="0.2">
      <c r="A999" s="172" t="s">
        <v>12</v>
      </c>
      <c r="B999" s="172" t="s">
        <v>13</v>
      </c>
      <c r="C999" s="172" t="s">
        <v>21</v>
      </c>
      <c r="D999" s="172" t="s">
        <v>15</v>
      </c>
      <c r="E999" s="173">
        <v>42681</v>
      </c>
      <c r="F999" s="174">
        <v>608.81999989999997</v>
      </c>
      <c r="G999" s="175" t="s">
        <v>19</v>
      </c>
      <c r="H999" s="172" t="s">
        <v>17</v>
      </c>
      <c r="I999" s="175">
        <v>1</v>
      </c>
      <c r="J999" s="175" t="s">
        <v>18</v>
      </c>
      <c r="K999" s="175" t="s">
        <v>57</v>
      </c>
      <c r="L999" s="172" t="s">
        <v>56</v>
      </c>
    </row>
    <row r="1000" spans="1:12" x14ac:dyDescent="0.2">
      <c r="A1000" s="172" t="s">
        <v>12</v>
      </c>
      <c r="B1000" s="172" t="s">
        <v>13</v>
      </c>
      <c r="C1000" s="172" t="s">
        <v>21</v>
      </c>
      <c r="D1000" s="172" t="s">
        <v>15</v>
      </c>
      <c r="E1000" s="173">
        <v>42681</v>
      </c>
      <c r="F1000" s="174">
        <v>1.02</v>
      </c>
      <c r="G1000" s="175" t="s">
        <v>16</v>
      </c>
      <c r="H1000" s="172" t="s">
        <v>20</v>
      </c>
      <c r="I1000" s="175">
        <v>1</v>
      </c>
      <c r="J1000" s="175" t="s">
        <v>18</v>
      </c>
      <c r="K1000" s="175" t="s">
        <v>57</v>
      </c>
      <c r="L1000" s="172" t="s">
        <v>56</v>
      </c>
    </row>
    <row r="1001" spans="1:12" x14ac:dyDescent="0.2">
      <c r="A1001" s="172" t="s">
        <v>12</v>
      </c>
      <c r="B1001" s="172" t="s">
        <v>13</v>
      </c>
      <c r="C1001" s="172" t="s">
        <v>21</v>
      </c>
      <c r="D1001" s="172" t="s">
        <v>15</v>
      </c>
      <c r="E1001" s="173">
        <v>42681</v>
      </c>
      <c r="F1001" s="174">
        <v>213.52068</v>
      </c>
      <c r="G1001" s="175" t="s">
        <v>19</v>
      </c>
      <c r="H1001" s="172" t="s">
        <v>20</v>
      </c>
      <c r="I1001" s="175">
        <v>1</v>
      </c>
      <c r="J1001" s="175" t="s">
        <v>18</v>
      </c>
      <c r="K1001" s="175" t="s">
        <v>57</v>
      </c>
      <c r="L1001" s="172" t="s">
        <v>56</v>
      </c>
    </row>
    <row r="1002" spans="1:12" x14ac:dyDescent="0.2">
      <c r="A1002" s="172" t="s">
        <v>12</v>
      </c>
      <c r="B1002" s="172" t="s">
        <v>13</v>
      </c>
      <c r="C1002" s="172" t="s">
        <v>21</v>
      </c>
      <c r="D1002" s="172" t="s">
        <v>15</v>
      </c>
      <c r="E1002" s="173">
        <v>42678</v>
      </c>
      <c r="F1002" s="174">
        <v>4.6087596</v>
      </c>
      <c r="G1002" s="175" t="s">
        <v>16</v>
      </c>
      <c r="H1002" s="172" t="s">
        <v>17</v>
      </c>
      <c r="I1002" s="175">
        <v>1</v>
      </c>
      <c r="J1002" s="175" t="s">
        <v>18</v>
      </c>
      <c r="K1002" s="175" t="s">
        <v>57</v>
      </c>
      <c r="L1002" s="172" t="s">
        <v>56</v>
      </c>
    </row>
    <row r="1003" spans="1:12" x14ac:dyDescent="0.2">
      <c r="A1003" s="172" t="s">
        <v>12</v>
      </c>
      <c r="B1003" s="172" t="s">
        <v>13</v>
      </c>
      <c r="C1003" s="172" t="s">
        <v>21</v>
      </c>
      <c r="D1003" s="172" t="s">
        <v>15</v>
      </c>
      <c r="E1003" s="173">
        <v>42678</v>
      </c>
      <c r="F1003" s="174">
        <v>991.67603999999994</v>
      </c>
      <c r="G1003" s="175" t="s">
        <v>19</v>
      </c>
      <c r="H1003" s="172" t="s">
        <v>17</v>
      </c>
      <c r="I1003" s="175">
        <v>1</v>
      </c>
      <c r="J1003" s="175" t="s">
        <v>18</v>
      </c>
      <c r="K1003" s="175" t="s">
        <v>57</v>
      </c>
      <c r="L1003" s="172" t="s">
        <v>56</v>
      </c>
    </row>
    <row r="1004" spans="1:12" x14ac:dyDescent="0.2">
      <c r="A1004" s="172" t="s">
        <v>12</v>
      </c>
      <c r="B1004" s="172" t="s">
        <v>13</v>
      </c>
      <c r="C1004" s="172" t="s">
        <v>21</v>
      </c>
      <c r="D1004" s="172" t="s">
        <v>15</v>
      </c>
      <c r="E1004" s="173">
        <v>42678</v>
      </c>
      <c r="F1004" s="174">
        <v>0.85399999999999998</v>
      </c>
      <c r="G1004" s="175" t="s">
        <v>16</v>
      </c>
      <c r="H1004" s="172" t="s">
        <v>20</v>
      </c>
      <c r="I1004" s="175">
        <v>1</v>
      </c>
      <c r="J1004" s="175" t="s">
        <v>18</v>
      </c>
      <c r="K1004" s="175" t="s">
        <v>57</v>
      </c>
      <c r="L1004" s="172" t="s">
        <v>56</v>
      </c>
    </row>
    <row r="1005" spans="1:12" x14ac:dyDescent="0.2">
      <c r="A1005" s="172" t="s">
        <v>12</v>
      </c>
      <c r="B1005" s="172" t="s">
        <v>13</v>
      </c>
      <c r="C1005" s="172" t="s">
        <v>21</v>
      </c>
      <c r="D1005" s="172" t="s">
        <v>15</v>
      </c>
      <c r="E1005" s="173">
        <v>42678</v>
      </c>
      <c r="F1005" s="174">
        <v>183.04465189999999</v>
      </c>
      <c r="G1005" s="175" t="s">
        <v>19</v>
      </c>
      <c r="H1005" s="172" t="s">
        <v>20</v>
      </c>
      <c r="I1005" s="175">
        <v>1</v>
      </c>
      <c r="J1005" s="175" t="s">
        <v>18</v>
      </c>
      <c r="K1005" s="175" t="s">
        <v>57</v>
      </c>
      <c r="L1005" s="172" t="s">
        <v>56</v>
      </c>
    </row>
    <row r="1006" spans="1:12" x14ac:dyDescent="0.2">
      <c r="A1006" s="172" t="s">
        <v>12</v>
      </c>
      <c r="B1006" s="172" t="s">
        <v>13</v>
      </c>
      <c r="C1006" s="172" t="s">
        <v>21</v>
      </c>
      <c r="D1006" s="172" t="s">
        <v>15</v>
      </c>
      <c r="E1006" s="173">
        <v>42670</v>
      </c>
      <c r="F1006" s="174">
        <v>2.6311439000000001</v>
      </c>
      <c r="G1006" s="175" t="s">
        <v>16</v>
      </c>
      <c r="H1006" s="172" t="s">
        <v>17</v>
      </c>
      <c r="I1006" s="175">
        <v>1</v>
      </c>
      <c r="J1006" s="175" t="s">
        <v>18</v>
      </c>
      <c r="K1006" s="175" t="s">
        <v>57</v>
      </c>
      <c r="L1006" s="172" t="s">
        <v>56</v>
      </c>
    </row>
    <row r="1007" spans="1:12" x14ac:dyDescent="0.2">
      <c r="A1007" s="172" t="s">
        <v>12</v>
      </c>
      <c r="B1007" s="172" t="s">
        <v>13</v>
      </c>
      <c r="C1007" s="172" t="s">
        <v>21</v>
      </c>
      <c r="D1007" s="172" t="s">
        <v>15</v>
      </c>
      <c r="E1007" s="173">
        <v>42670</v>
      </c>
      <c r="F1007" s="174">
        <v>594.67535999999996</v>
      </c>
      <c r="G1007" s="175" t="s">
        <v>19</v>
      </c>
      <c r="H1007" s="172" t="s">
        <v>17</v>
      </c>
      <c r="I1007" s="175">
        <v>1</v>
      </c>
      <c r="J1007" s="175" t="s">
        <v>18</v>
      </c>
      <c r="K1007" s="175" t="s">
        <v>57</v>
      </c>
      <c r="L1007" s="172" t="s">
        <v>56</v>
      </c>
    </row>
    <row r="1008" spans="1:12" x14ac:dyDescent="0.2">
      <c r="A1008" s="172" t="s">
        <v>12</v>
      </c>
      <c r="B1008" s="172" t="s">
        <v>13</v>
      </c>
      <c r="C1008" s="172" t="s">
        <v>21</v>
      </c>
      <c r="D1008" s="172" t="s">
        <v>15</v>
      </c>
      <c r="E1008" s="173">
        <v>42670</v>
      </c>
      <c r="F1008" s="174">
        <v>0.32300000000000001</v>
      </c>
      <c r="G1008" s="175" t="s">
        <v>16</v>
      </c>
      <c r="H1008" s="172" t="s">
        <v>20</v>
      </c>
      <c r="I1008" s="175">
        <v>1</v>
      </c>
      <c r="J1008" s="175" t="s">
        <v>18</v>
      </c>
      <c r="K1008" s="175" t="s">
        <v>57</v>
      </c>
      <c r="L1008" s="172" t="s">
        <v>56</v>
      </c>
    </row>
    <row r="1009" spans="1:12" x14ac:dyDescent="0.2">
      <c r="A1009" s="172" t="s">
        <v>12</v>
      </c>
      <c r="B1009" s="172" t="s">
        <v>13</v>
      </c>
      <c r="C1009" s="172" t="s">
        <v>21</v>
      </c>
      <c r="D1009" s="172" t="s">
        <v>15</v>
      </c>
      <c r="E1009" s="173">
        <v>42670</v>
      </c>
      <c r="F1009" s="174">
        <v>69.231173999999996</v>
      </c>
      <c r="G1009" s="175" t="s">
        <v>19</v>
      </c>
      <c r="H1009" s="172" t="s">
        <v>20</v>
      </c>
      <c r="I1009" s="175">
        <v>1</v>
      </c>
      <c r="J1009" s="175" t="s">
        <v>18</v>
      </c>
      <c r="K1009" s="175" t="s">
        <v>57</v>
      </c>
      <c r="L1009" s="172" t="s">
        <v>56</v>
      </c>
    </row>
    <row r="1010" spans="1:12" x14ac:dyDescent="0.2">
      <c r="A1010" s="172" t="s">
        <v>12</v>
      </c>
      <c r="B1010" s="172" t="s">
        <v>13</v>
      </c>
      <c r="C1010" s="172" t="s">
        <v>21</v>
      </c>
      <c r="D1010" s="172" t="s">
        <v>15</v>
      </c>
      <c r="E1010" s="173">
        <v>42661</v>
      </c>
      <c r="F1010" s="174">
        <v>3.5221754000000001</v>
      </c>
      <c r="G1010" s="175" t="s">
        <v>16</v>
      </c>
      <c r="H1010" s="172" t="s">
        <v>17</v>
      </c>
      <c r="I1010" s="175">
        <v>1</v>
      </c>
      <c r="J1010" s="175" t="s">
        <v>18</v>
      </c>
      <c r="K1010" s="175" t="s">
        <v>57</v>
      </c>
      <c r="L1010" s="172" t="s">
        <v>56</v>
      </c>
    </row>
    <row r="1011" spans="1:12" x14ac:dyDescent="0.2">
      <c r="A1011" s="172" t="s">
        <v>12</v>
      </c>
      <c r="B1011" s="172" t="s">
        <v>13</v>
      </c>
      <c r="C1011" s="172" t="s">
        <v>21</v>
      </c>
      <c r="D1011" s="172" t="s">
        <v>15</v>
      </c>
      <c r="E1011" s="173">
        <v>42661</v>
      </c>
      <c r="F1011" s="174">
        <v>837.18588</v>
      </c>
      <c r="G1011" s="175" t="s">
        <v>19</v>
      </c>
      <c r="H1011" s="172" t="s">
        <v>17</v>
      </c>
      <c r="I1011" s="175">
        <v>1</v>
      </c>
      <c r="J1011" s="175" t="s">
        <v>18</v>
      </c>
      <c r="K1011" s="175" t="s">
        <v>57</v>
      </c>
      <c r="L1011" s="172" t="s">
        <v>56</v>
      </c>
    </row>
    <row r="1012" spans="1:12" x14ac:dyDescent="0.2">
      <c r="A1012" s="172" t="s">
        <v>12</v>
      </c>
      <c r="B1012" s="172" t="s">
        <v>13</v>
      </c>
      <c r="C1012" s="172" t="s">
        <v>21</v>
      </c>
      <c r="D1012" s="172" t="s">
        <v>15</v>
      </c>
      <c r="E1012" s="173">
        <v>42661</v>
      </c>
      <c r="F1012" s="174">
        <v>2.96</v>
      </c>
      <c r="G1012" s="175" t="s">
        <v>16</v>
      </c>
      <c r="H1012" s="172" t="s">
        <v>20</v>
      </c>
      <c r="I1012" s="175">
        <v>1</v>
      </c>
      <c r="J1012" s="175" t="s">
        <v>18</v>
      </c>
      <c r="K1012" s="175" t="s">
        <v>57</v>
      </c>
      <c r="L1012" s="172" t="s">
        <v>56</v>
      </c>
    </row>
    <row r="1013" spans="1:12" x14ac:dyDescent="0.2">
      <c r="A1013" s="172" t="s">
        <v>12</v>
      </c>
      <c r="B1013" s="172" t="s">
        <v>13</v>
      </c>
      <c r="C1013" s="172" t="s">
        <v>21</v>
      </c>
      <c r="D1013" s="172" t="s">
        <v>15</v>
      </c>
      <c r="E1013" s="173">
        <v>42661</v>
      </c>
      <c r="F1013" s="174">
        <v>617.16</v>
      </c>
      <c r="G1013" s="175" t="s">
        <v>19</v>
      </c>
      <c r="H1013" s="172" t="s">
        <v>20</v>
      </c>
      <c r="I1013" s="175">
        <v>1</v>
      </c>
      <c r="J1013" s="175" t="s">
        <v>18</v>
      </c>
      <c r="K1013" s="175" t="s">
        <v>57</v>
      </c>
      <c r="L1013" s="172" t="s">
        <v>56</v>
      </c>
    </row>
    <row r="1014" spans="1:12" x14ac:dyDescent="0.2">
      <c r="A1014" s="172" t="s">
        <v>12</v>
      </c>
      <c r="B1014" s="172" t="s">
        <v>13</v>
      </c>
      <c r="C1014" s="172" t="s">
        <v>21</v>
      </c>
      <c r="D1014" s="172" t="s">
        <v>15</v>
      </c>
      <c r="E1014" s="173">
        <v>42654</v>
      </c>
      <c r="F1014" s="174">
        <v>3.2082164999999998</v>
      </c>
      <c r="G1014" s="175" t="s">
        <v>16</v>
      </c>
      <c r="H1014" s="172" t="s">
        <v>17</v>
      </c>
      <c r="I1014" s="175">
        <v>1</v>
      </c>
      <c r="J1014" s="175" t="s">
        <v>18</v>
      </c>
      <c r="K1014" s="175" t="s">
        <v>57</v>
      </c>
      <c r="L1014" s="172" t="s">
        <v>56</v>
      </c>
    </row>
    <row r="1015" spans="1:12" x14ac:dyDescent="0.2">
      <c r="A1015" s="172" t="s">
        <v>12</v>
      </c>
      <c r="B1015" s="172" t="s">
        <v>13</v>
      </c>
      <c r="C1015" s="172" t="s">
        <v>21</v>
      </c>
      <c r="D1015" s="172" t="s">
        <v>15</v>
      </c>
      <c r="E1015" s="173">
        <v>42654</v>
      </c>
      <c r="F1015" s="174">
        <v>840.15491999999995</v>
      </c>
      <c r="G1015" s="175" t="s">
        <v>19</v>
      </c>
      <c r="H1015" s="172" t="s">
        <v>17</v>
      </c>
      <c r="I1015" s="175">
        <v>1</v>
      </c>
      <c r="J1015" s="175" t="s">
        <v>18</v>
      </c>
      <c r="K1015" s="175" t="s">
        <v>57</v>
      </c>
      <c r="L1015" s="172" t="s">
        <v>56</v>
      </c>
    </row>
    <row r="1016" spans="1:12" x14ac:dyDescent="0.2">
      <c r="A1016" s="172" t="s">
        <v>12</v>
      </c>
      <c r="B1016" s="172" t="s">
        <v>13</v>
      </c>
      <c r="C1016" s="172" t="s">
        <v>21</v>
      </c>
      <c r="D1016" s="172" t="s">
        <v>15</v>
      </c>
      <c r="E1016" s="173">
        <v>42654</v>
      </c>
      <c r="F1016" s="174">
        <v>1.1399999999999999</v>
      </c>
      <c r="G1016" s="175" t="s">
        <v>16</v>
      </c>
      <c r="H1016" s="172" t="s">
        <v>20</v>
      </c>
      <c r="I1016" s="175">
        <v>1</v>
      </c>
      <c r="J1016" s="175" t="s">
        <v>18</v>
      </c>
      <c r="K1016" s="175" t="s">
        <v>57</v>
      </c>
      <c r="L1016" s="172" t="s">
        <v>56</v>
      </c>
    </row>
    <row r="1017" spans="1:12" x14ac:dyDescent="0.2">
      <c r="A1017" s="172" t="s">
        <v>12</v>
      </c>
      <c r="B1017" s="172" t="s">
        <v>13</v>
      </c>
      <c r="C1017" s="172" t="s">
        <v>21</v>
      </c>
      <c r="D1017" s="172" t="s">
        <v>15</v>
      </c>
      <c r="E1017" s="173">
        <v>42654</v>
      </c>
      <c r="F1017" s="174">
        <v>231.03467989999999</v>
      </c>
      <c r="G1017" s="175" t="s">
        <v>19</v>
      </c>
      <c r="H1017" s="172" t="s">
        <v>20</v>
      </c>
      <c r="I1017" s="175">
        <v>1</v>
      </c>
      <c r="J1017" s="175" t="s">
        <v>18</v>
      </c>
      <c r="K1017" s="175" t="s">
        <v>57</v>
      </c>
      <c r="L1017" s="172" t="s">
        <v>56</v>
      </c>
    </row>
    <row r="1018" spans="1:12" x14ac:dyDescent="0.2">
      <c r="A1018" s="172" t="s">
        <v>12</v>
      </c>
      <c r="B1018" s="172" t="s">
        <v>13</v>
      </c>
      <c r="C1018" s="172" t="s">
        <v>21</v>
      </c>
      <c r="D1018" s="172" t="s">
        <v>15</v>
      </c>
      <c r="E1018" s="173">
        <v>42645</v>
      </c>
      <c r="F1018" s="174">
        <v>3.1199105</v>
      </c>
      <c r="G1018" s="175" t="s">
        <v>16</v>
      </c>
      <c r="H1018" s="172" t="s">
        <v>17</v>
      </c>
      <c r="I1018" s="175">
        <v>1</v>
      </c>
      <c r="J1018" s="175" t="s">
        <v>18</v>
      </c>
      <c r="K1018" s="175" t="s">
        <v>57</v>
      </c>
      <c r="L1018" s="172" t="s">
        <v>56</v>
      </c>
    </row>
    <row r="1019" spans="1:12" x14ac:dyDescent="0.2">
      <c r="A1019" s="172" t="s">
        <v>12</v>
      </c>
      <c r="B1019" s="172" t="s">
        <v>13</v>
      </c>
      <c r="C1019" s="172" t="s">
        <v>21</v>
      </c>
      <c r="D1019" s="172" t="s">
        <v>15</v>
      </c>
      <c r="E1019" s="173">
        <v>42645</v>
      </c>
      <c r="F1019" s="174">
        <v>1163.0963999999999</v>
      </c>
      <c r="G1019" s="175" t="s">
        <v>19</v>
      </c>
      <c r="H1019" s="172" t="s">
        <v>17</v>
      </c>
      <c r="I1019" s="175">
        <v>1</v>
      </c>
      <c r="J1019" s="175" t="s">
        <v>18</v>
      </c>
      <c r="K1019" s="175" t="s">
        <v>57</v>
      </c>
      <c r="L1019" s="172" t="s">
        <v>56</v>
      </c>
    </row>
    <row r="1020" spans="1:12" x14ac:dyDescent="0.2">
      <c r="A1020" s="172" t="s">
        <v>12</v>
      </c>
      <c r="B1020" s="172" t="s">
        <v>13</v>
      </c>
      <c r="C1020" s="172" t="s">
        <v>21</v>
      </c>
      <c r="D1020" s="172" t="s">
        <v>15</v>
      </c>
      <c r="E1020" s="173">
        <v>42645</v>
      </c>
      <c r="F1020" s="174">
        <v>2.57</v>
      </c>
      <c r="G1020" s="175" t="s">
        <v>16</v>
      </c>
      <c r="H1020" s="172" t="s">
        <v>20</v>
      </c>
      <c r="I1020" s="175">
        <v>1</v>
      </c>
      <c r="J1020" s="175" t="s">
        <v>18</v>
      </c>
      <c r="K1020" s="175" t="s">
        <v>57</v>
      </c>
      <c r="L1020" s="172" t="s">
        <v>56</v>
      </c>
    </row>
    <row r="1021" spans="1:12" x14ac:dyDescent="0.2">
      <c r="A1021" s="172" t="s">
        <v>12</v>
      </c>
      <c r="B1021" s="172" t="s">
        <v>13</v>
      </c>
      <c r="C1021" s="172" t="s">
        <v>21</v>
      </c>
      <c r="D1021" s="172" t="s">
        <v>15</v>
      </c>
      <c r="E1021" s="173">
        <v>42645</v>
      </c>
      <c r="F1021" s="174">
        <v>943.08719989999997</v>
      </c>
      <c r="G1021" s="175" t="s">
        <v>19</v>
      </c>
      <c r="H1021" s="172" t="s">
        <v>20</v>
      </c>
      <c r="I1021" s="175">
        <v>1</v>
      </c>
      <c r="J1021" s="175" t="s">
        <v>18</v>
      </c>
      <c r="K1021" s="175" t="s">
        <v>57</v>
      </c>
      <c r="L1021" s="172" t="s">
        <v>56</v>
      </c>
    </row>
    <row r="1022" spans="1:12" x14ac:dyDescent="0.2">
      <c r="A1022" s="172" t="s">
        <v>12</v>
      </c>
      <c r="B1022" s="172" t="s">
        <v>13</v>
      </c>
      <c r="C1022" s="172" t="s">
        <v>21</v>
      </c>
      <c r="D1022" s="172" t="s">
        <v>15</v>
      </c>
      <c r="E1022" s="173">
        <v>42638</v>
      </c>
      <c r="F1022" s="174">
        <v>2.8608454000000001</v>
      </c>
      <c r="G1022" s="175" t="s">
        <v>16</v>
      </c>
      <c r="H1022" s="172" t="s">
        <v>17</v>
      </c>
      <c r="I1022" s="175">
        <v>1</v>
      </c>
      <c r="J1022" s="175" t="s">
        <v>18</v>
      </c>
      <c r="K1022" s="175" t="s">
        <v>57</v>
      </c>
      <c r="L1022" s="172" t="s">
        <v>56</v>
      </c>
    </row>
    <row r="1023" spans="1:12" x14ac:dyDescent="0.2">
      <c r="A1023" s="172" t="s">
        <v>12</v>
      </c>
      <c r="B1023" s="172" t="s">
        <v>13</v>
      </c>
      <c r="C1023" s="172" t="s">
        <v>21</v>
      </c>
      <c r="D1023" s="172" t="s">
        <v>15</v>
      </c>
      <c r="E1023" s="173">
        <v>42638</v>
      </c>
      <c r="F1023" s="174">
        <v>818.37918000000002</v>
      </c>
      <c r="G1023" s="175" t="s">
        <v>19</v>
      </c>
      <c r="H1023" s="172" t="s">
        <v>17</v>
      </c>
      <c r="I1023" s="175">
        <v>1</v>
      </c>
      <c r="J1023" s="175" t="s">
        <v>18</v>
      </c>
      <c r="K1023" s="175" t="s">
        <v>57</v>
      </c>
      <c r="L1023" s="172" t="s">
        <v>56</v>
      </c>
    </row>
    <row r="1024" spans="1:12" x14ac:dyDescent="0.2">
      <c r="A1024" s="172" t="s">
        <v>12</v>
      </c>
      <c r="B1024" s="172" t="s">
        <v>13</v>
      </c>
      <c r="C1024" s="172" t="s">
        <v>21</v>
      </c>
      <c r="D1024" s="172" t="s">
        <v>15</v>
      </c>
      <c r="E1024" s="173">
        <v>42638</v>
      </c>
      <c r="F1024" s="174">
        <v>0.88500000000000001</v>
      </c>
      <c r="G1024" s="175" t="s">
        <v>16</v>
      </c>
      <c r="H1024" s="172" t="s">
        <v>20</v>
      </c>
      <c r="I1024" s="175">
        <v>1</v>
      </c>
      <c r="J1024" s="175" t="s">
        <v>18</v>
      </c>
      <c r="K1024" s="175" t="s">
        <v>57</v>
      </c>
      <c r="L1024" s="172" t="s">
        <v>56</v>
      </c>
    </row>
    <row r="1025" spans="1:12" x14ac:dyDescent="0.2">
      <c r="A1025" s="172" t="s">
        <v>12</v>
      </c>
      <c r="B1025" s="172" t="s">
        <v>13</v>
      </c>
      <c r="C1025" s="172" t="s">
        <v>21</v>
      </c>
      <c r="D1025" s="172" t="s">
        <v>15</v>
      </c>
      <c r="E1025" s="173">
        <v>42638</v>
      </c>
      <c r="F1025" s="174">
        <v>246.52205989999999</v>
      </c>
      <c r="G1025" s="175" t="s">
        <v>19</v>
      </c>
      <c r="H1025" s="172" t="s">
        <v>20</v>
      </c>
      <c r="I1025" s="175">
        <v>1</v>
      </c>
      <c r="J1025" s="175" t="s">
        <v>18</v>
      </c>
      <c r="K1025" s="175" t="s">
        <v>57</v>
      </c>
      <c r="L1025" s="172" t="s">
        <v>56</v>
      </c>
    </row>
    <row r="1026" spans="1:12" x14ac:dyDescent="0.2">
      <c r="A1026" s="172" t="s">
        <v>12</v>
      </c>
      <c r="B1026" s="172" t="s">
        <v>13</v>
      </c>
      <c r="C1026" s="172" t="s">
        <v>21</v>
      </c>
      <c r="D1026" s="172" t="s">
        <v>15</v>
      </c>
      <c r="E1026" s="173">
        <v>42631</v>
      </c>
      <c r="F1026" s="174">
        <v>2.722807</v>
      </c>
      <c r="G1026" s="175" t="s">
        <v>16</v>
      </c>
      <c r="H1026" s="172" t="s">
        <v>17</v>
      </c>
      <c r="I1026" s="175">
        <v>1</v>
      </c>
      <c r="J1026" s="175" t="s">
        <v>18</v>
      </c>
      <c r="K1026" s="175" t="s">
        <v>57</v>
      </c>
      <c r="L1026" s="172" t="s">
        <v>56</v>
      </c>
    </row>
    <row r="1027" spans="1:12" x14ac:dyDescent="0.2">
      <c r="A1027" s="172" t="s">
        <v>12</v>
      </c>
      <c r="B1027" s="172" t="s">
        <v>13</v>
      </c>
      <c r="C1027" s="172" t="s">
        <v>21</v>
      </c>
      <c r="D1027" s="172" t="s">
        <v>15</v>
      </c>
      <c r="E1027" s="173">
        <v>42631</v>
      </c>
      <c r="F1027" s="174">
        <v>776.62080000000003</v>
      </c>
      <c r="G1027" s="175" t="s">
        <v>19</v>
      </c>
      <c r="H1027" s="172" t="s">
        <v>17</v>
      </c>
      <c r="I1027" s="175">
        <v>1</v>
      </c>
      <c r="J1027" s="175" t="s">
        <v>18</v>
      </c>
      <c r="K1027" s="175" t="s">
        <v>57</v>
      </c>
      <c r="L1027" s="172" t="s">
        <v>56</v>
      </c>
    </row>
    <row r="1028" spans="1:12" x14ac:dyDescent="0.2">
      <c r="A1028" s="172" t="s">
        <v>12</v>
      </c>
      <c r="B1028" s="172" t="s">
        <v>13</v>
      </c>
      <c r="C1028" s="172" t="s">
        <v>21</v>
      </c>
      <c r="D1028" s="172" t="s">
        <v>15</v>
      </c>
      <c r="E1028" s="173">
        <v>42631</v>
      </c>
      <c r="F1028" s="174">
        <v>1.64</v>
      </c>
      <c r="G1028" s="175" t="s">
        <v>16</v>
      </c>
      <c r="H1028" s="172" t="s">
        <v>20</v>
      </c>
      <c r="I1028" s="175">
        <v>1</v>
      </c>
      <c r="J1028" s="175" t="s">
        <v>18</v>
      </c>
      <c r="K1028" s="175" t="s">
        <v>57</v>
      </c>
      <c r="L1028" s="172" t="s">
        <v>56</v>
      </c>
    </row>
    <row r="1029" spans="1:12" x14ac:dyDescent="0.2">
      <c r="A1029" s="172" t="s">
        <v>12</v>
      </c>
      <c r="B1029" s="172" t="s">
        <v>13</v>
      </c>
      <c r="C1029" s="172" t="s">
        <v>21</v>
      </c>
      <c r="D1029" s="172" t="s">
        <v>15</v>
      </c>
      <c r="E1029" s="173">
        <v>42631</v>
      </c>
      <c r="F1029" s="174">
        <v>473.24495999999999</v>
      </c>
      <c r="G1029" s="175" t="s">
        <v>19</v>
      </c>
      <c r="H1029" s="172" t="s">
        <v>20</v>
      </c>
      <c r="I1029" s="175">
        <v>1</v>
      </c>
      <c r="J1029" s="175" t="s">
        <v>18</v>
      </c>
      <c r="K1029" s="175" t="s">
        <v>57</v>
      </c>
      <c r="L1029" s="172" t="s">
        <v>56</v>
      </c>
    </row>
    <row r="1030" spans="1:12" x14ac:dyDescent="0.2">
      <c r="A1030" s="172" t="s">
        <v>12</v>
      </c>
      <c r="B1030" s="172" t="s">
        <v>13</v>
      </c>
      <c r="C1030" s="172" t="s">
        <v>21</v>
      </c>
      <c r="D1030" s="172" t="s">
        <v>15</v>
      </c>
      <c r="E1030" s="173">
        <v>42624</v>
      </c>
      <c r="F1030" s="174">
        <v>1.7699454999999999</v>
      </c>
      <c r="G1030" s="175" t="s">
        <v>16</v>
      </c>
      <c r="H1030" s="172" t="s">
        <v>17</v>
      </c>
      <c r="I1030" s="175">
        <v>1</v>
      </c>
      <c r="J1030" s="175" t="s">
        <v>18</v>
      </c>
      <c r="K1030" s="175" t="s">
        <v>57</v>
      </c>
      <c r="L1030" s="172" t="s">
        <v>56</v>
      </c>
    </row>
    <row r="1031" spans="1:12" x14ac:dyDescent="0.2">
      <c r="A1031" s="172" t="s">
        <v>12</v>
      </c>
      <c r="B1031" s="172" t="s">
        <v>13</v>
      </c>
      <c r="C1031" s="172" t="s">
        <v>21</v>
      </c>
      <c r="D1031" s="172" t="s">
        <v>15</v>
      </c>
      <c r="E1031" s="173">
        <v>42624</v>
      </c>
      <c r="F1031" s="174">
        <v>541.74137989999997</v>
      </c>
      <c r="G1031" s="175" t="s">
        <v>19</v>
      </c>
      <c r="H1031" s="172" t="s">
        <v>17</v>
      </c>
      <c r="I1031" s="175">
        <v>1</v>
      </c>
      <c r="J1031" s="175" t="s">
        <v>18</v>
      </c>
      <c r="K1031" s="175" t="s">
        <v>57</v>
      </c>
      <c r="L1031" s="172" t="s">
        <v>56</v>
      </c>
    </row>
    <row r="1032" spans="1:12" x14ac:dyDescent="0.2">
      <c r="A1032" s="172" t="s">
        <v>12</v>
      </c>
      <c r="B1032" s="172" t="s">
        <v>13</v>
      </c>
      <c r="C1032" s="172" t="s">
        <v>21</v>
      </c>
      <c r="D1032" s="172" t="s">
        <v>15</v>
      </c>
      <c r="E1032" s="173">
        <v>42624</v>
      </c>
      <c r="F1032" s="174">
        <v>1.22</v>
      </c>
      <c r="G1032" s="175" t="s">
        <v>16</v>
      </c>
      <c r="H1032" s="172" t="s">
        <v>20</v>
      </c>
      <c r="I1032" s="175">
        <v>1</v>
      </c>
      <c r="J1032" s="175" t="s">
        <v>18</v>
      </c>
      <c r="K1032" s="175" t="s">
        <v>57</v>
      </c>
      <c r="L1032" s="172" t="s">
        <v>56</v>
      </c>
    </row>
    <row r="1033" spans="1:12" x14ac:dyDescent="0.2">
      <c r="A1033" s="172" t="s">
        <v>12</v>
      </c>
      <c r="B1033" s="172" t="s">
        <v>13</v>
      </c>
      <c r="C1033" s="172" t="s">
        <v>21</v>
      </c>
      <c r="D1033" s="172" t="s">
        <v>15</v>
      </c>
      <c r="E1033" s="173">
        <v>42624</v>
      </c>
      <c r="F1033" s="174">
        <v>386.64240000000001</v>
      </c>
      <c r="G1033" s="175" t="s">
        <v>19</v>
      </c>
      <c r="H1033" s="172" t="s">
        <v>20</v>
      </c>
      <c r="I1033" s="175">
        <v>1</v>
      </c>
      <c r="J1033" s="175" t="s">
        <v>18</v>
      </c>
      <c r="K1033" s="175" t="s">
        <v>57</v>
      </c>
      <c r="L1033" s="172" t="s">
        <v>56</v>
      </c>
    </row>
    <row r="1034" spans="1:12" x14ac:dyDescent="0.2">
      <c r="A1034" s="172" t="s">
        <v>12</v>
      </c>
      <c r="B1034" s="172" t="s">
        <v>13</v>
      </c>
      <c r="C1034" s="172" t="s">
        <v>21</v>
      </c>
      <c r="D1034" s="172" t="s">
        <v>15</v>
      </c>
      <c r="E1034" s="173">
        <v>42618</v>
      </c>
      <c r="F1034" s="174">
        <v>2.0349468000000002</v>
      </c>
      <c r="G1034" s="175" t="s">
        <v>16</v>
      </c>
      <c r="H1034" s="172" t="s">
        <v>17</v>
      </c>
      <c r="I1034" s="175">
        <v>1</v>
      </c>
      <c r="J1034" s="175" t="s">
        <v>18</v>
      </c>
      <c r="K1034" s="175" t="s">
        <v>57</v>
      </c>
      <c r="L1034" s="172" t="s">
        <v>56</v>
      </c>
    </row>
    <row r="1035" spans="1:12" x14ac:dyDescent="0.2">
      <c r="A1035" s="172" t="s">
        <v>12</v>
      </c>
      <c r="B1035" s="172" t="s">
        <v>13</v>
      </c>
      <c r="C1035" s="172" t="s">
        <v>21</v>
      </c>
      <c r="D1035" s="172" t="s">
        <v>15</v>
      </c>
      <c r="E1035" s="173">
        <v>42618</v>
      </c>
      <c r="F1035" s="174">
        <v>638.12675999999999</v>
      </c>
      <c r="G1035" s="175" t="s">
        <v>19</v>
      </c>
      <c r="H1035" s="172" t="s">
        <v>17</v>
      </c>
      <c r="I1035" s="175">
        <v>1</v>
      </c>
      <c r="J1035" s="175" t="s">
        <v>18</v>
      </c>
      <c r="K1035" s="175" t="s">
        <v>57</v>
      </c>
      <c r="L1035" s="172" t="s">
        <v>56</v>
      </c>
    </row>
    <row r="1036" spans="1:12" x14ac:dyDescent="0.2">
      <c r="A1036" s="172" t="s">
        <v>12</v>
      </c>
      <c r="B1036" s="172" t="s">
        <v>13</v>
      </c>
      <c r="C1036" s="172" t="s">
        <v>21</v>
      </c>
      <c r="D1036" s="172" t="s">
        <v>15</v>
      </c>
      <c r="E1036" s="173">
        <v>42618</v>
      </c>
      <c r="F1036" s="174">
        <v>0.63300000000000001</v>
      </c>
      <c r="G1036" s="175" t="s">
        <v>16</v>
      </c>
      <c r="H1036" s="172" t="s">
        <v>20</v>
      </c>
      <c r="I1036" s="175">
        <v>1</v>
      </c>
      <c r="J1036" s="175" t="s">
        <v>18</v>
      </c>
      <c r="K1036" s="175" t="s">
        <v>57</v>
      </c>
      <c r="L1036" s="172" t="s">
        <v>56</v>
      </c>
    </row>
    <row r="1037" spans="1:12" x14ac:dyDescent="0.2">
      <c r="A1037" s="172" t="s">
        <v>12</v>
      </c>
      <c r="B1037" s="172" t="s">
        <v>13</v>
      </c>
      <c r="C1037" s="172" t="s">
        <v>21</v>
      </c>
      <c r="D1037" s="172" t="s">
        <v>15</v>
      </c>
      <c r="E1037" s="173">
        <v>42618</v>
      </c>
      <c r="F1037" s="174">
        <v>205.36165800000001</v>
      </c>
      <c r="G1037" s="175" t="s">
        <v>19</v>
      </c>
      <c r="H1037" s="172" t="s">
        <v>20</v>
      </c>
      <c r="I1037" s="175">
        <v>1</v>
      </c>
      <c r="J1037" s="175" t="s">
        <v>18</v>
      </c>
      <c r="K1037" s="175" t="s">
        <v>57</v>
      </c>
      <c r="L1037" s="172" t="s">
        <v>56</v>
      </c>
    </row>
    <row r="1038" spans="1:12" x14ac:dyDescent="0.2">
      <c r="A1038" s="172" t="s">
        <v>12</v>
      </c>
      <c r="B1038" s="172" t="s">
        <v>13</v>
      </c>
      <c r="C1038" s="172" t="s">
        <v>21</v>
      </c>
      <c r="D1038" s="172" t="s">
        <v>15</v>
      </c>
      <c r="E1038" s="173">
        <v>42612</v>
      </c>
      <c r="F1038" s="174">
        <v>0.9030243</v>
      </c>
      <c r="G1038" s="175" t="s">
        <v>16</v>
      </c>
      <c r="H1038" s="172" t="s">
        <v>17</v>
      </c>
      <c r="I1038" s="175">
        <v>1</v>
      </c>
      <c r="J1038" s="175" t="s">
        <v>18</v>
      </c>
      <c r="K1038" s="175" t="s">
        <v>57</v>
      </c>
      <c r="L1038" s="172" t="s">
        <v>56</v>
      </c>
    </row>
    <row r="1039" spans="1:12" x14ac:dyDescent="0.2">
      <c r="A1039" s="172" t="s">
        <v>12</v>
      </c>
      <c r="B1039" s="172" t="s">
        <v>13</v>
      </c>
      <c r="C1039" s="172" t="s">
        <v>21</v>
      </c>
      <c r="D1039" s="172" t="s">
        <v>15</v>
      </c>
      <c r="E1039" s="173">
        <v>42612</v>
      </c>
      <c r="F1039" s="174">
        <v>463.17023999999998</v>
      </c>
      <c r="G1039" s="175" t="s">
        <v>19</v>
      </c>
      <c r="H1039" s="172" t="s">
        <v>17</v>
      </c>
      <c r="I1039" s="175">
        <v>1</v>
      </c>
      <c r="J1039" s="175" t="s">
        <v>18</v>
      </c>
      <c r="K1039" s="175" t="s">
        <v>57</v>
      </c>
      <c r="L1039" s="172" t="s">
        <v>56</v>
      </c>
    </row>
    <row r="1040" spans="1:12" x14ac:dyDescent="0.2">
      <c r="A1040" s="172" t="s">
        <v>12</v>
      </c>
      <c r="B1040" s="172" t="s">
        <v>13</v>
      </c>
      <c r="C1040" s="172" t="s">
        <v>21</v>
      </c>
      <c r="D1040" s="172" t="s">
        <v>15</v>
      </c>
      <c r="E1040" s="173">
        <v>42612</v>
      </c>
      <c r="F1040" s="174">
        <v>1.23</v>
      </c>
      <c r="G1040" s="175" t="s">
        <v>16</v>
      </c>
      <c r="H1040" s="172" t="s">
        <v>20</v>
      </c>
      <c r="I1040" s="175">
        <v>1</v>
      </c>
      <c r="J1040" s="175" t="s">
        <v>18</v>
      </c>
      <c r="K1040" s="175" t="s">
        <v>57</v>
      </c>
      <c r="L1040" s="172" t="s">
        <v>56</v>
      </c>
    </row>
    <row r="1041" spans="1:12" x14ac:dyDescent="0.2">
      <c r="A1041" s="172" t="s">
        <v>12</v>
      </c>
      <c r="B1041" s="172" t="s">
        <v>13</v>
      </c>
      <c r="C1041" s="172" t="s">
        <v>21</v>
      </c>
      <c r="D1041" s="172" t="s">
        <v>15</v>
      </c>
      <c r="E1041" s="173">
        <v>42612</v>
      </c>
      <c r="F1041" s="174">
        <v>448.28334000000001</v>
      </c>
      <c r="G1041" s="175" t="s">
        <v>19</v>
      </c>
      <c r="H1041" s="172" t="s">
        <v>20</v>
      </c>
      <c r="I1041" s="175">
        <v>1</v>
      </c>
      <c r="J1041" s="175" t="s">
        <v>18</v>
      </c>
      <c r="K1041" s="175" t="s">
        <v>57</v>
      </c>
      <c r="L1041" s="172" t="s">
        <v>56</v>
      </c>
    </row>
    <row r="1042" spans="1:12" x14ac:dyDescent="0.2">
      <c r="A1042" s="172" t="s">
        <v>12</v>
      </c>
      <c r="B1042" s="172" t="s">
        <v>13</v>
      </c>
      <c r="C1042" s="172" t="s">
        <v>21</v>
      </c>
      <c r="D1042" s="172" t="s">
        <v>15</v>
      </c>
      <c r="E1042" s="173">
        <v>42603</v>
      </c>
      <c r="F1042" s="174">
        <v>2.4031250000000002</v>
      </c>
      <c r="G1042" s="175" t="s">
        <v>16</v>
      </c>
      <c r="H1042" s="172" t="s">
        <v>17</v>
      </c>
      <c r="I1042" s="175">
        <v>1</v>
      </c>
      <c r="J1042" s="175" t="s">
        <v>18</v>
      </c>
      <c r="K1042" s="175" t="s">
        <v>57</v>
      </c>
      <c r="L1042" s="172" t="s">
        <v>56</v>
      </c>
    </row>
    <row r="1043" spans="1:12" x14ac:dyDescent="0.2">
      <c r="A1043" s="172" t="s">
        <v>12</v>
      </c>
      <c r="B1043" s="172" t="s">
        <v>13</v>
      </c>
      <c r="C1043" s="172" t="s">
        <v>21</v>
      </c>
      <c r="D1043" s="172" t="s">
        <v>15</v>
      </c>
      <c r="E1043" s="173">
        <v>42603</v>
      </c>
      <c r="F1043" s="174">
        <v>737.54790000000003</v>
      </c>
      <c r="G1043" s="175" t="s">
        <v>19</v>
      </c>
      <c r="H1043" s="172" t="s">
        <v>17</v>
      </c>
      <c r="I1043" s="175">
        <v>1</v>
      </c>
      <c r="J1043" s="175" t="s">
        <v>18</v>
      </c>
      <c r="K1043" s="175" t="s">
        <v>57</v>
      </c>
      <c r="L1043" s="172" t="s">
        <v>56</v>
      </c>
    </row>
    <row r="1044" spans="1:12" x14ac:dyDescent="0.2">
      <c r="A1044" s="172" t="s">
        <v>12</v>
      </c>
      <c r="B1044" s="172" t="s">
        <v>13</v>
      </c>
      <c r="C1044" s="172" t="s">
        <v>21</v>
      </c>
      <c r="D1044" s="172" t="s">
        <v>15</v>
      </c>
      <c r="E1044" s="173">
        <v>42603</v>
      </c>
      <c r="F1044" s="174">
        <v>0.85</v>
      </c>
      <c r="G1044" s="175" t="s">
        <v>16</v>
      </c>
      <c r="H1044" s="172" t="s">
        <v>20</v>
      </c>
      <c r="I1044" s="175">
        <v>1</v>
      </c>
      <c r="J1044" s="175" t="s">
        <v>18</v>
      </c>
      <c r="K1044" s="175" t="s">
        <v>57</v>
      </c>
      <c r="L1044" s="172" t="s">
        <v>56</v>
      </c>
    </row>
    <row r="1045" spans="1:12" x14ac:dyDescent="0.2">
      <c r="A1045" s="172" t="s">
        <v>12</v>
      </c>
      <c r="B1045" s="172" t="s">
        <v>13</v>
      </c>
      <c r="C1045" s="172" t="s">
        <v>21</v>
      </c>
      <c r="D1045" s="172" t="s">
        <v>15</v>
      </c>
      <c r="E1045" s="173">
        <v>42603</v>
      </c>
      <c r="F1045" s="174">
        <v>273.6354</v>
      </c>
      <c r="G1045" s="175" t="s">
        <v>19</v>
      </c>
      <c r="H1045" s="172" t="s">
        <v>20</v>
      </c>
      <c r="I1045" s="175">
        <v>1</v>
      </c>
      <c r="J1045" s="175" t="s">
        <v>18</v>
      </c>
      <c r="K1045" s="175" t="s">
        <v>57</v>
      </c>
      <c r="L1045" s="172" t="s">
        <v>56</v>
      </c>
    </row>
    <row r="1046" spans="1:12" x14ac:dyDescent="0.2">
      <c r="A1046" s="172" t="s">
        <v>12</v>
      </c>
      <c r="B1046" s="172" t="s">
        <v>13</v>
      </c>
      <c r="C1046" s="172" t="s">
        <v>21</v>
      </c>
      <c r="D1046" s="172" t="s">
        <v>15</v>
      </c>
      <c r="E1046" s="173">
        <v>42596</v>
      </c>
      <c r="F1046" s="174">
        <v>1.1957342</v>
      </c>
      <c r="G1046" s="175" t="s">
        <v>16</v>
      </c>
      <c r="H1046" s="172" t="s">
        <v>17</v>
      </c>
      <c r="I1046" s="175">
        <v>1</v>
      </c>
      <c r="J1046" s="175" t="s">
        <v>18</v>
      </c>
      <c r="K1046" s="175" t="s">
        <v>57</v>
      </c>
      <c r="L1046" s="172" t="s">
        <v>56</v>
      </c>
    </row>
    <row r="1047" spans="1:12" x14ac:dyDescent="0.2">
      <c r="A1047" s="172" t="s">
        <v>12</v>
      </c>
      <c r="B1047" s="172" t="s">
        <v>13</v>
      </c>
      <c r="C1047" s="172" t="s">
        <v>21</v>
      </c>
      <c r="D1047" s="172" t="s">
        <v>15</v>
      </c>
      <c r="E1047" s="173">
        <v>42596</v>
      </c>
      <c r="F1047" s="174">
        <v>427.81697989999998</v>
      </c>
      <c r="G1047" s="175" t="s">
        <v>19</v>
      </c>
      <c r="H1047" s="172" t="s">
        <v>17</v>
      </c>
      <c r="I1047" s="175">
        <v>1</v>
      </c>
      <c r="J1047" s="175" t="s">
        <v>18</v>
      </c>
      <c r="K1047" s="175" t="s">
        <v>57</v>
      </c>
      <c r="L1047" s="172" t="s">
        <v>56</v>
      </c>
    </row>
    <row r="1048" spans="1:12" x14ac:dyDescent="0.2">
      <c r="A1048" s="172" t="s">
        <v>12</v>
      </c>
      <c r="B1048" s="172" t="s">
        <v>13</v>
      </c>
      <c r="C1048" s="172" t="s">
        <v>21</v>
      </c>
      <c r="D1048" s="172" t="s">
        <v>15</v>
      </c>
      <c r="E1048" s="173">
        <v>42596</v>
      </c>
      <c r="F1048" s="174">
        <v>1.36</v>
      </c>
      <c r="G1048" s="175" t="s">
        <v>16</v>
      </c>
      <c r="H1048" s="172" t="s">
        <v>20</v>
      </c>
      <c r="I1048" s="175">
        <v>1</v>
      </c>
      <c r="J1048" s="175" t="s">
        <v>18</v>
      </c>
      <c r="K1048" s="175" t="s">
        <v>57</v>
      </c>
      <c r="L1048" s="172" t="s">
        <v>56</v>
      </c>
    </row>
    <row r="1049" spans="1:12" x14ac:dyDescent="0.2">
      <c r="A1049" s="172" t="s">
        <v>12</v>
      </c>
      <c r="B1049" s="172" t="s">
        <v>13</v>
      </c>
      <c r="C1049" s="172" t="s">
        <v>21</v>
      </c>
      <c r="D1049" s="172" t="s">
        <v>15</v>
      </c>
      <c r="E1049" s="173">
        <v>42596</v>
      </c>
      <c r="F1049" s="174">
        <v>479.78351989999999</v>
      </c>
      <c r="G1049" s="175" t="s">
        <v>19</v>
      </c>
      <c r="H1049" s="172" t="s">
        <v>20</v>
      </c>
      <c r="I1049" s="175">
        <v>1</v>
      </c>
      <c r="J1049" s="175" t="s">
        <v>18</v>
      </c>
      <c r="K1049" s="175" t="s">
        <v>57</v>
      </c>
      <c r="L1049" s="172" t="s">
        <v>56</v>
      </c>
    </row>
    <row r="1050" spans="1:12" x14ac:dyDescent="0.2">
      <c r="A1050" s="172" t="s">
        <v>12</v>
      </c>
      <c r="B1050" s="172" t="s">
        <v>13</v>
      </c>
      <c r="C1050" s="172" t="s">
        <v>21</v>
      </c>
      <c r="D1050" s="172" t="s">
        <v>15</v>
      </c>
      <c r="E1050" s="173">
        <v>42589</v>
      </c>
      <c r="F1050" s="174">
        <v>3.4</v>
      </c>
      <c r="G1050" s="175" t="s">
        <v>16</v>
      </c>
      <c r="H1050" s="172" t="s">
        <v>17</v>
      </c>
      <c r="I1050" s="175">
        <v>1</v>
      </c>
      <c r="J1050" s="175" t="s">
        <v>18</v>
      </c>
      <c r="K1050" s="175" t="s">
        <v>57</v>
      </c>
      <c r="L1050" s="172" t="s">
        <v>56</v>
      </c>
    </row>
    <row r="1051" spans="1:12" x14ac:dyDescent="0.2">
      <c r="A1051" s="172" t="s">
        <v>12</v>
      </c>
      <c r="B1051" s="172" t="s">
        <v>13</v>
      </c>
      <c r="C1051" s="172" t="s">
        <v>21</v>
      </c>
      <c r="D1051" s="172" t="s">
        <v>15</v>
      </c>
      <c r="E1051" s="173">
        <v>42589</v>
      </c>
      <c r="F1051" s="174">
        <v>782.62559999999996</v>
      </c>
      <c r="G1051" s="175" t="s">
        <v>19</v>
      </c>
      <c r="H1051" s="172" t="s">
        <v>17</v>
      </c>
      <c r="I1051" s="175">
        <v>1</v>
      </c>
      <c r="J1051" s="175" t="s">
        <v>18</v>
      </c>
      <c r="K1051" s="175" t="s">
        <v>57</v>
      </c>
      <c r="L1051" s="172" t="s">
        <v>56</v>
      </c>
    </row>
    <row r="1052" spans="1:12" x14ac:dyDescent="0.2">
      <c r="A1052" s="172" t="s">
        <v>12</v>
      </c>
      <c r="B1052" s="172" t="s">
        <v>13</v>
      </c>
      <c r="C1052" s="172" t="s">
        <v>21</v>
      </c>
      <c r="D1052" s="172" t="s">
        <v>15</v>
      </c>
      <c r="E1052" s="173">
        <v>42589</v>
      </c>
      <c r="F1052" s="174">
        <v>0.622</v>
      </c>
      <c r="G1052" s="175" t="s">
        <v>16</v>
      </c>
      <c r="H1052" s="172" t="s">
        <v>20</v>
      </c>
      <c r="I1052" s="175">
        <v>1</v>
      </c>
      <c r="J1052" s="175" t="s">
        <v>18</v>
      </c>
      <c r="K1052" s="175" t="s">
        <v>57</v>
      </c>
      <c r="L1052" s="172" t="s">
        <v>56</v>
      </c>
    </row>
    <row r="1053" spans="1:12" x14ac:dyDescent="0.2">
      <c r="A1053" s="172" t="s">
        <v>12</v>
      </c>
      <c r="B1053" s="172" t="s">
        <v>13</v>
      </c>
      <c r="C1053" s="172" t="s">
        <v>21</v>
      </c>
      <c r="D1053" s="172" t="s">
        <v>15</v>
      </c>
      <c r="E1053" s="173">
        <v>42589</v>
      </c>
      <c r="F1053" s="174">
        <v>160.81188</v>
      </c>
      <c r="G1053" s="175" t="s">
        <v>19</v>
      </c>
      <c r="H1053" s="172" t="s">
        <v>20</v>
      </c>
      <c r="I1053" s="175">
        <v>1</v>
      </c>
      <c r="J1053" s="175" t="s">
        <v>18</v>
      </c>
      <c r="K1053" s="175" t="s">
        <v>57</v>
      </c>
      <c r="L1053" s="172" t="s">
        <v>56</v>
      </c>
    </row>
    <row r="1054" spans="1:12" x14ac:dyDescent="0.2">
      <c r="A1054" s="172" t="s">
        <v>12</v>
      </c>
      <c r="B1054" s="172" t="s">
        <v>13</v>
      </c>
      <c r="C1054" s="172" t="s">
        <v>21</v>
      </c>
      <c r="D1054" s="172" t="s">
        <v>15</v>
      </c>
      <c r="E1054" s="173">
        <v>42583</v>
      </c>
      <c r="F1054" s="174">
        <v>3.2823528999999998</v>
      </c>
      <c r="G1054" s="175" t="s">
        <v>16</v>
      </c>
      <c r="H1054" s="172" t="s">
        <v>17</v>
      </c>
      <c r="I1054" s="175">
        <v>1</v>
      </c>
      <c r="J1054" s="175" t="s">
        <v>18</v>
      </c>
      <c r="K1054" s="175" t="s">
        <v>57</v>
      </c>
      <c r="L1054" s="172" t="s">
        <v>56</v>
      </c>
    </row>
    <row r="1055" spans="1:12" x14ac:dyDescent="0.2">
      <c r="A1055" s="172" t="s">
        <v>12</v>
      </c>
      <c r="B1055" s="172" t="s">
        <v>13</v>
      </c>
      <c r="C1055" s="172" t="s">
        <v>21</v>
      </c>
      <c r="D1055" s="172" t="s">
        <v>15</v>
      </c>
      <c r="E1055" s="173">
        <v>42583</v>
      </c>
      <c r="F1055" s="174">
        <v>837.66959999999995</v>
      </c>
      <c r="G1055" s="175" t="s">
        <v>19</v>
      </c>
      <c r="H1055" s="172" t="s">
        <v>17</v>
      </c>
      <c r="I1055" s="175">
        <v>1</v>
      </c>
      <c r="J1055" s="175" t="s">
        <v>18</v>
      </c>
      <c r="K1055" s="175" t="s">
        <v>57</v>
      </c>
      <c r="L1055" s="172" t="s">
        <v>56</v>
      </c>
    </row>
    <row r="1056" spans="1:12" x14ac:dyDescent="0.2">
      <c r="A1056" s="172" t="s">
        <v>12</v>
      </c>
      <c r="B1056" s="172" t="s">
        <v>13</v>
      </c>
      <c r="C1056" s="172" t="s">
        <v>21</v>
      </c>
      <c r="D1056" s="172" t="s">
        <v>15</v>
      </c>
      <c r="E1056" s="173">
        <v>42583</v>
      </c>
      <c r="F1056" s="174">
        <v>0.60799999999999998</v>
      </c>
      <c r="G1056" s="175" t="s">
        <v>16</v>
      </c>
      <c r="H1056" s="172" t="s">
        <v>20</v>
      </c>
      <c r="I1056" s="175">
        <v>1</v>
      </c>
      <c r="J1056" s="175" t="s">
        <v>18</v>
      </c>
      <c r="K1056" s="175" t="s">
        <v>57</v>
      </c>
      <c r="L1056" s="172" t="s">
        <v>56</v>
      </c>
    </row>
    <row r="1057" spans="1:12" x14ac:dyDescent="0.2">
      <c r="A1057" s="172" t="s">
        <v>12</v>
      </c>
      <c r="B1057" s="172" t="s">
        <v>13</v>
      </c>
      <c r="C1057" s="172" t="s">
        <v>21</v>
      </c>
      <c r="D1057" s="172" t="s">
        <v>15</v>
      </c>
      <c r="E1057" s="173">
        <v>42583</v>
      </c>
      <c r="F1057" s="174">
        <v>172.40448000000001</v>
      </c>
      <c r="G1057" s="175" t="s">
        <v>19</v>
      </c>
      <c r="H1057" s="172" t="s">
        <v>20</v>
      </c>
      <c r="I1057" s="175">
        <v>1</v>
      </c>
      <c r="J1057" s="175" t="s">
        <v>18</v>
      </c>
      <c r="K1057" s="175" t="s">
        <v>57</v>
      </c>
      <c r="L1057" s="172" t="s">
        <v>56</v>
      </c>
    </row>
    <row r="1058" spans="1:12" x14ac:dyDescent="0.2">
      <c r="A1058" s="172" t="s">
        <v>12</v>
      </c>
      <c r="B1058" s="172" t="s">
        <v>13</v>
      </c>
      <c r="C1058" s="172" t="s">
        <v>21</v>
      </c>
      <c r="D1058" s="172" t="s">
        <v>15</v>
      </c>
      <c r="E1058" s="173">
        <v>42577</v>
      </c>
      <c r="F1058" s="174">
        <v>4.0750000000000002</v>
      </c>
      <c r="G1058" s="175" t="s">
        <v>16</v>
      </c>
      <c r="H1058" s="172" t="s">
        <v>17</v>
      </c>
      <c r="I1058" s="175">
        <v>1</v>
      </c>
      <c r="J1058" s="175" t="s">
        <v>18</v>
      </c>
      <c r="K1058" s="175" t="s">
        <v>57</v>
      </c>
      <c r="L1058" s="172" t="s">
        <v>56</v>
      </c>
    </row>
    <row r="1059" spans="1:12" x14ac:dyDescent="0.2">
      <c r="A1059" s="172" t="s">
        <v>12</v>
      </c>
      <c r="B1059" s="172" t="s">
        <v>13</v>
      </c>
      <c r="C1059" s="172" t="s">
        <v>21</v>
      </c>
      <c r="D1059" s="172" t="s">
        <v>15</v>
      </c>
      <c r="E1059" s="173">
        <v>42577</v>
      </c>
      <c r="F1059" s="174">
        <v>1189.4925000000001</v>
      </c>
      <c r="G1059" s="175" t="s">
        <v>19</v>
      </c>
      <c r="H1059" s="172" t="s">
        <v>17</v>
      </c>
      <c r="I1059" s="175">
        <v>1</v>
      </c>
      <c r="J1059" s="175" t="s">
        <v>18</v>
      </c>
      <c r="K1059" s="175" t="s">
        <v>57</v>
      </c>
      <c r="L1059" s="172" t="s">
        <v>56</v>
      </c>
    </row>
    <row r="1060" spans="1:12" x14ac:dyDescent="0.2">
      <c r="A1060" s="172" t="s">
        <v>12</v>
      </c>
      <c r="B1060" s="172" t="s">
        <v>13</v>
      </c>
      <c r="C1060" s="172" t="s">
        <v>21</v>
      </c>
      <c r="D1060" s="172" t="s">
        <v>15</v>
      </c>
      <c r="E1060" s="173">
        <v>42577</v>
      </c>
      <c r="F1060" s="174">
        <v>1.74</v>
      </c>
      <c r="G1060" s="175" t="s">
        <v>16</v>
      </c>
      <c r="H1060" s="172" t="s">
        <v>20</v>
      </c>
      <c r="I1060" s="175">
        <v>1</v>
      </c>
      <c r="J1060" s="175" t="s">
        <v>18</v>
      </c>
      <c r="K1060" s="175" t="s">
        <v>57</v>
      </c>
      <c r="L1060" s="172" t="s">
        <v>56</v>
      </c>
    </row>
    <row r="1061" spans="1:12" x14ac:dyDescent="0.2">
      <c r="A1061" s="172" t="s">
        <v>12</v>
      </c>
      <c r="B1061" s="172" t="s">
        <v>13</v>
      </c>
      <c r="C1061" s="172" t="s">
        <v>21</v>
      </c>
      <c r="D1061" s="172" t="s">
        <v>15</v>
      </c>
      <c r="E1061" s="173">
        <v>42577</v>
      </c>
      <c r="F1061" s="174">
        <v>564.50123989999997</v>
      </c>
      <c r="G1061" s="175" t="s">
        <v>19</v>
      </c>
      <c r="H1061" s="172" t="s">
        <v>20</v>
      </c>
      <c r="I1061" s="175">
        <v>1</v>
      </c>
      <c r="J1061" s="175" t="s">
        <v>18</v>
      </c>
      <c r="K1061" s="175" t="s">
        <v>57</v>
      </c>
      <c r="L1061" s="172" t="s">
        <v>56</v>
      </c>
    </row>
    <row r="1062" spans="1:12" x14ac:dyDescent="0.2">
      <c r="A1062" s="172" t="s">
        <v>12</v>
      </c>
      <c r="B1062" s="172" t="s">
        <v>13</v>
      </c>
      <c r="C1062" s="172" t="s">
        <v>21</v>
      </c>
      <c r="D1062" s="172" t="s">
        <v>15</v>
      </c>
      <c r="E1062" s="173">
        <v>42568</v>
      </c>
      <c r="F1062" s="174">
        <v>4.4306492999999998</v>
      </c>
      <c r="G1062" s="175" t="s">
        <v>16</v>
      </c>
      <c r="H1062" s="172" t="s">
        <v>17</v>
      </c>
      <c r="I1062" s="175">
        <v>1</v>
      </c>
      <c r="J1062" s="175" t="s">
        <v>18</v>
      </c>
      <c r="K1062" s="175" t="s">
        <v>57</v>
      </c>
      <c r="L1062" s="172" t="s">
        <v>56</v>
      </c>
    </row>
    <row r="1063" spans="1:12" x14ac:dyDescent="0.2">
      <c r="A1063" s="172" t="s">
        <v>12</v>
      </c>
      <c r="B1063" s="172" t="s">
        <v>13</v>
      </c>
      <c r="C1063" s="172" t="s">
        <v>21</v>
      </c>
      <c r="D1063" s="172" t="s">
        <v>15</v>
      </c>
      <c r="E1063" s="173">
        <v>42568</v>
      </c>
      <c r="F1063" s="174">
        <v>1138.1097600000001</v>
      </c>
      <c r="G1063" s="175" t="s">
        <v>19</v>
      </c>
      <c r="H1063" s="172" t="s">
        <v>17</v>
      </c>
      <c r="I1063" s="175">
        <v>1</v>
      </c>
      <c r="J1063" s="175" t="s">
        <v>18</v>
      </c>
      <c r="K1063" s="175" t="s">
        <v>57</v>
      </c>
      <c r="L1063" s="172" t="s">
        <v>56</v>
      </c>
    </row>
    <row r="1064" spans="1:12" x14ac:dyDescent="0.2">
      <c r="A1064" s="172" t="s">
        <v>12</v>
      </c>
      <c r="B1064" s="172" t="s">
        <v>13</v>
      </c>
      <c r="C1064" s="172" t="s">
        <v>21</v>
      </c>
      <c r="D1064" s="172" t="s">
        <v>15</v>
      </c>
      <c r="E1064" s="173">
        <v>42568</v>
      </c>
      <c r="F1064" s="174">
        <v>0.42399999999999999</v>
      </c>
      <c r="G1064" s="175" t="s">
        <v>16</v>
      </c>
      <c r="H1064" s="172" t="s">
        <v>20</v>
      </c>
      <c r="I1064" s="175">
        <v>1</v>
      </c>
      <c r="J1064" s="175" t="s">
        <v>18</v>
      </c>
      <c r="K1064" s="175" t="s">
        <v>57</v>
      </c>
      <c r="L1064" s="172" t="s">
        <v>56</v>
      </c>
    </row>
    <row r="1065" spans="1:12" x14ac:dyDescent="0.2">
      <c r="A1065" s="172" t="s">
        <v>12</v>
      </c>
      <c r="B1065" s="172" t="s">
        <v>13</v>
      </c>
      <c r="C1065" s="172" t="s">
        <v>21</v>
      </c>
      <c r="D1065" s="172" t="s">
        <v>15</v>
      </c>
      <c r="E1065" s="173">
        <v>42568</v>
      </c>
      <c r="F1065" s="174">
        <v>118.1077439</v>
      </c>
      <c r="G1065" s="175" t="s">
        <v>19</v>
      </c>
      <c r="H1065" s="172" t="s">
        <v>20</v>
      </c>
      <c r="I1065" s="175">
        <v>1</v>
      </c>
      <c r="J1065" s="175" t="s">
        <v>18</v>
      </c>
      <c r="K1065" s="175" t="s">
        <v>57</v>
      </c>
      <c r="L1065" s="172" t="s">
        <v>56</v>
      </c>
    </row>
    <row r="1066" spans="1:12" x14ac:dyDescent="0.2">
      <c r="A1066" s="172" t="s">
        <v>12</v>
      </c>
      <c r="B1066" s="172" t="s">
        <v>13</v>
      </c>
      <c r="C1066" s="172" t="s">
        <v>21</v>
      </c>
      <c r="D1066" s="172" t="s">
        <v>15</v>
      </c>
      <c r="E1066" s="173">
        <v>42564</v>
      </c>
      <c r="F1066" s="174">
        <v>3.4823898999999998</v>
      </c>
      <c r="G1066" s="175" t="s">
        <v>16</v>
      </c>
      <c r="H1066" s="172" t="s">
        <v>17</v>
      </c>
      <c r="I1066" s="175">
        <v>1</v>
      </c>
      <c r="J1066" s="175" t="s">
        <v>18</v>
      </c>
      <c r="K1066" s="175" t="s">
        <v>57</v>
      </c>
      <c r="L1066" s="172" t="s">
        <v>56</v>
      </c>
    </row>
    <row r="1067" spans="1:12" x14ac:dyDescent="0.2">
      <c r="A1067" s="172" t="s">
        <v>12</v>
      </c>
      <c r="B1067" s="172" t="s">
        <v>13</v>
      </c>
      <c r="C1067" s="172" t="s">
        <v>21</v>
      </c>
      <c r="D1067" s="172" t="s">
        <v>15</v>
      </c>
      <c r="E1067" s="173">
        <v>42564</v>
      </c>
      <c r="F1067" s="174">
        <v>923.57159999999999</v>
      </c>
      <c r="G1067" s="175" t="s">
        <v>19</v>
      </c>
      <c r="H1067" s="172" t="s">
        <v>17</v>
      </c>
      <c r="I1067" s="175">
        <v>1</v>
      </c>
      <c r="J1067" s="175" t="s">
        <v>18</v>
      </c>
      <c r="K1067" s="175" t="s">
        <v>57</v>
      </c>
      <c r="L1067" s="172" t="s">
        <v>56</v>
      </c>
    </row>
    <row r="1068" spans="1:12" x14ac:dyDescent="0.2">
      <c r="A1068" s="172" t="s">
        <v>12</v>
      </c>
      <c r="B1068" s="172" t="s">
        <v>13</v>
      </c>
      <c r="C1068" s="172" t="s">
        <v>21</v>
      </c>
      <c r="D1068" s="172" t="s">
        <v>15</v>
      </c>
      <c r="E1068" s="173">
        <v>42564</v>
      </c>
      <c r="F1068" s="174">
        <v>0.41799999999999998</v>
      </c>
      <c r="G1068" s="175" t="s">
        <v>16</v>
      </c>
      <c r="H1068" s="172" t="s">
        <v>20</v>
      </c>
      <c r="I1068" s="175">
        <v>1</v>
      </c>
      <c r="J1068" s="175" t="s">
        <v>18</v>
      </c>
      <c r="K1068" s="175" t="s">
        <v>57</v>
      </c>
      <c r="L1068" s="172" t="s">
        <v>56</v>
      </c>
    </row>
    <row r="1069" spans="1:12" x14ac:dyDescent="0.2">
      <c r="A1069" s="172" t="s">
        <v>12</v>
      </c>
      <c r="B1069" s="172" t="s">
        <v>13</v>
      </c>
      <c r="C1069" s="172" t="s">
        <v>21</v>
      </c>
      <c r="D1069" s="172" t="s">
        <v>15</v>
      </c>
      <c r="E1069" s="173">
        <v>42564</v>
      </c>
      <c r="F1069" s="174">
        <v>119.5739159</v>
      </c>
      <c r="G1069" s="175" t="s">
        <v>19</v>
      </c>
      <c r="H1069" s="172" t="s">
        <v>20</v>
      </c>
      <c r="I1069" s="175">
        <v>1</v>
      </c>
      <c r="J1069" s="175" t="s">
        <v>18</v>
      </c>
      <c r="K1069" s="175" t="s">
        <v>57</v>
      </c>
      <c r="L1069" s="172" t="s">
        <v>56</v>
      </c>
    </row>
    <row r="1070" spans="1:12" x14ac:dyDescent="0.2">
      <c r="A1070" s="172" t="s">
        <v>12</v>
      </c>
      <c r="B1070" s="172" t="s">
        <v>13</v>
      </c>
      <c r="C1070" s="172" t="s">
        <v>21</v>
      </c>
      <c r="D1070" s="172" t="s">
        <v>15</v>
      </c>
      <c r="E1070" s="173">
        <v>42558</v>
      </c>
      <c r="F1070" s="174">
        <v>2.2274417999999998</v>
      </c>
      <c r="G1070" s="175" t="s">
        <v>16</v>
      </c>
      <c r="H1070" s="172" t="s">
        <v>17</v>
      </c>
      <c r="I1070" s="175">
        <v>1</v>
      </c>
      <c r="J1070" s="175" t="s">
        <v>18</v>
      </c>
      <c r="K1070" s="175" t="s">
        <v>57</v>
      </c>
      <c r="L1070" s="172" t="s">
        <v>56</v>
      </c>
    </row>
    <row r="1071" spans="1:12" x14ac:dyDescent="0.2">
      <c r="A1071" s="172" t="s">
        <v>12</v>
      </c>
      <c r="B1071" s="172" t="s">
        <v>13</v>
      </c>
      <c r="C1071" s="172" t="s">
        <v>21</v>
      </c>
      <c r="D1071" s="172" t="s">
        <v>15</v>
      </c>
      <c r="E1071" s="173">
        <v>42558</v>
      </c>
      <c r="F1071" s="174">
        <v>718.92467999999997</v>
      </c>
      <c r="G1071" s="175" t="s">
        <v>19</v>
      </c>
      <c r="H1071" s="172" t="s">
        <v>17</v>
      </c>
      <c r="I1071" s="175">
        <v>1</v>
      </c>
      <c r="J1071" s="175" t="s">
        <v>18</v>
      </c>
      <c r="K1071" s="175" t="s">
        <v>57</v>
      </c>
      <c r="L1071" s="172" t="s">
        <v>56</v>
      </c>
    </row>
    <row r="1072" spans="1:12" x14ac:dyDescent="0.2">
      <c r="A1072" s="172" t="s">
        <v>12</v>
      </c>
      <c r="B1072" s="172" t="s">
        <v>13</v>
      </c>
      <c r="C1072" s="172" t="s">
        <v>21</v>
      </c>
      <c r="D1072" s="172" t="s">
        <v>15</v>
      </c>
      <c r="E1072" s="173">
        <v>42558</v>
      </c>
      <c r="F1072" s="174">
        <v>3.06</v>
      </c>
      <c r="G1072" s="175" t="s">
        <v>16</v>
      </c>
      <c r="H1072" s="172" t="s">
        <v>20</v>
      </c>
      <c r="I1072" s="175">
        <v>1</v>
      </c>
      <c r="J1072" s="175" t="s">
        <v>18</v>
      </c>
      <c r="K1072" s="175" t="s">
        <v>57</v>
      </c>
      <c r="L1072" s="172" t="s">
        <v>56</v>
      </c>
    </row>
    <row r="1073" spans="1:12" x14ac:dyDescent="0.2">
      <c r="A1073" s="172" t="s">
        <v>12</v>
      </c>
      <c r="B1073" s="172" t="s">
        <v>13</v>
      </c>
      <c r="C1073" s="172" t="s">
        <v>21</v>
      </c>
      <c r="D1073" s="172" t="s">
        <v>15</v>
      </c>
      <c r="E1073" s="173">
        <v>42558</v>
      </c>
      <c r="F1073" s="174">
        <v>1069.30476</v>
      </c>
      <c r="G1073" s="175" t="s">
        <v>19</v>
      </c>
      <c r="H1073" s="172" t="s">
        <v>20</v>
      </c>
      <c r="I1073" s="175">
        <v>1</v>
      </c>
      <c r="J1073" s="175" t="s">
        <v>18</v>
      </c>
      <c r="K1073" s="175" t="s">
        <v>57</v>
      </c>
      <c r="L1073" s="172" t="s">
        <v>56</v>
      </c>
    </row>
    <row r="1074" spans="1:12" x14ac:dyDescent="0.2">
      <c r="A1074" s="172" t="s">
        <v>12</v>
      </c>
      <c r="B1074" s="172" t="s">
        <v>13</v>
      </c>
      <c r="C1074" s="172" t="s">
        <v>21</v>
      </c>
      <c r="D1074" s="172" t="s">
        <v>15</v>
      </c>
      <c r="E1074" s="173">
        <v>42550</v>
      </c>
      <c r="F1074" s="174">
        <v>4.3499999999999996</v>
      </c>
      <c r="G1074" s="175" t="s">
        <v>16</v>
      </c>
      <c r="H1074" s="172" t="s">
        <v>17</v>
      </c>
      <c r="I1074" s="175">
        <v>1</v>
      </c>
      <c r="J1074" s="175" t="s">
        <v>18</v>
      </c>
      <c r="K1074" s="175" t="s">
        <v>57</v>
      </c>
      <c r="L1074" s="172" t="s">
        <v>56</v>
      </c>
    </row>
    <row r="1075" spans="1:12" x14ac:dyDescent="0.2">
      <c r="A1075" s="172" t="s">
        <v>12</v>
      </c>
      <c r="B1075" s="172" t="s">
        <v>13</v>
      </c>
      <c r="C1075" s="172" t="s">
        <v>21</v>
      </c>
      <c r="D1075" s="172" t="s">
        <v>15</v>
      </c>
      <c r="E1075" s="173">
        <v>42550</v>
      </c>
      <c r="F1075" s="174">
        <v>972.27719999999999</v>
      </c>
      <c r="G1075" s="175" t="s">
        <v>19</v>
      </c>
      <c r="H1075" s="172" t="s">
        <v>17</v>
      </c>
      <c r="I1075" s="175">
        <v>1</v>
      </c>
      <c r="J1075" s="175" t="s">
        <v>18</v>
      </c>
      <c r="K1075" s="175" t="s">
        <v>57</v>
      </c>
      <c r="L1075" s="172" t="s">
        <v>56</v>
      </c>
    </row>
    <row r="1076" spans="1:12" x14ac:dyDescent="0.2">
      <c r="A1076" s="172" t="s">
        <v>12</v>
      </c>
      <c r="B1076" s="172" t="s">
        <v>13</v>
      </c>
      <c r="C1076" s="172" t="s">
        <v>21</v>
      </c>
      <c r="D1076" s="172" t="s">
        <v>15</v>
      </c>
      <c r="E1076" s="173">
        <v>42550</v>
      </c>
      <c r="F1076" s="174">
        <v>0.96899999999999997</v>
      </c>
      <c r="G1076" s="175" t="s">
        <v>16</v>
      </c>
      <c r="H1076" s="172" t="s">
        <v>20</v>
      </c>
      <c r="I1076" s="175">
        <v>1</v>
      </c>
      <c r="J1076" s="175" t="s">
        <v>18</v>
      </c>
      <c r="K1076" s="175" t="s">
        <v>57</v>
      </c>
      <c r="L1076" s="172" t="s">
        <v>56</v>
      </c>
    </row>
    <row r="1077" spans="1:12" x14ac:dyDescent="0.2">
      <c r="A1077" s="172" t="s">
        <v>12</v>
      </c>
      <c r="B1077" s="172" t="s">
        <v>13</v>
      </c>
      <c r="C1077" s="172" t="s">
        <v>21</v>
      </c>
      <c r="D1077" s="172" t="s">
        <v>15</v>
      </c>
      <c r="E1077" s="173">
        <v>42550</v>
      </c>
      <c r="F1077" s="174">
        <v>243.251946</v>
      </c>
      <c r="G1077" s="175" t="s">
        <v>19</v>
      </c>
      <c r="H1077" s="172" t="s">
        <v>20</v>
      </c>
      <c r="I1077" s="175">
        <v>1</v>
      </c>
      <c r="J1077" s="175" t="s">
        <v>18</v>
      </c>
      <c r="K1077" s="175" t="s">
        <v>57</v>
      </c>
      <c r="L1077" s="172" t="s">
        <v>56</v>
      </c>
    </row>
    <row r="1078" spans="1:12" x14ac:dyDescent="0.2">
      <c r="A1078" s="172" t="s">
        <v>12</v>
      </c>
      <c r="B1078" s="172" t="s">
        <v>13</v>
      </c>
      <c r="C1078" s="172" t="s">
        <v>21</v>
      </c>
      <c r="D1078" s="172" t="s">
        <v>15</v>
      </c>
      <c r="E1078" s="173">
        <v>42540</v>
      </c>
      <c r="F1078" s="174">
        <v>3.8516830999999998</v>
      </c>
      <c r="G1078" s="175" t="s">
        <v>16</v>
      </c>
      <c r="H1078" s="172" t="s">
        <v>17</v>
      </c>
      <c r="I1078" s="175">
        <v>1</v>
      </c>
      <c r="J1078" s="175" t="s">
        <v>18</v>
      </c>
      <c r="K1078" s="175" t="s">
        <v>57</v>
      </c>
      <c r="L1078" s="172" t="s">
        <v>56</v>
      </c>
    </row>
    <row r="1079" spans="1:12" x14ac:dyDescent="0.2">
      <c r="A1079" s="172" t="s">
        <v>12</v>
      </c>
      <c r="B1079" s="172" t="s">
        <v>13</v>
      </c>
      <c r="C1079" s="172" t="s">
        <v>21</v>
      </c>
      <c r="D1079" s="172" t="s">
        <v>15</v>
      </c>
      <c r="E1079" s="173">
        <v>42540</v>
      </c>
      <c r="F1079" s="174">
        <v>973.32803990000002</v>
      </c>
      <c r="G1079" s="175" t="s">
        <v>19</v>
      </c>
      <c r="H1079" s="172" t="s">
        <v>17</v>
      </c>
      <c r="I1079" s="175">
        <v>1</v>
      </c>
      <c r="J1079" s="175" t="s">
        <v>18</v>
      </c>
      <c r="K1079" s="175" t="s">
        <v>57</v>
      </c>
      <c r="L1079" s="172" t="s">
        <v>56</v>
      </c>
    </row>
    <row r="1080" spans="1:12" x14ac:dyDescent="0.2">
      <c r="A1080" s="172" t="s">
        <v>12</v>
      </c>
      <c r="B1080" s="172" t="s">
        <v>13</v>
      </c>
      <c r="C1080" s="172" t="s">
        <v>21</v>
      </c>
      <c r="D1080" s="172" t="s">
        <v>15</v>
      </c>
      <c r="E1080" s="173">
        <v>42540</v>
      </c>
      <c r="F1080" s="174">
        <v>1</v>
      </c>
      <c r="G1080" s="175" t="s">
        <v>16</v>
      </c>
      <c r="H1080" s="172" t="s">
        <v>20</v>
      </c>
      <c r="I1080" s="175">
        <v>1</v>
      </c>
      <c r="J1080" s="175" t="s">
        <v>18</v>
      </c>
      <c r="K1080" s="175" t="s">
        <v>57</v>
      </c>
      <c r="L1080" s="172" t="s">
        <v>56</v>
      </c>
    </row>
    <row r="1081" spans="1:12" x14ac:dyDescent="0.2">
      <c r="A1081" s="172" t="s">
        <v>12</v>
      </c>
      <c r="B1081" s="172" t="s">
        <v>13</v>
      </c>
      <c r="C1081" s="172" t="s">
        <v>21</v>
      </c>
      <c r="D1081" s="172" t="s">
        <v>15</v>
      </c>
      <c r="E1081" s="173">
        <v>42540</v>
      </c>
      <c r="F1081" s="174">
        <v>254.37</v>
      </c>
      <c r="G1081" s="175" t="s">
        <v>19</v>
      </c>
      <c r="H1081" s="172" t="s">
        <v>20</v>
      </c>
      <c r="I1081" s="175">
        <v>1</v>
      </c>
      <c r="J1081" s="175" t="s">
        <v>18</v>
      </c>
      <c r="K1081" s="175" t="s">
        <v>57</v>
      </c>
      <c r="L1081" s="172" t="s">
        <v>56</v>
      </c>
    </row>
    <row r="1082" spans="1:12" x14ac:dyDescent="0.2">
      <c r="A1082" s="172" t="s">
        <v>12</v>
      </c>
      <c r="B1082" s="172" t="s">
        <v>13</v>
      </c>
      <c r="C1082" s="172" t="s">
        <v>21</v>
      </c>
      <c r="D1082" s="172" t="s">
        <v>15</v>
      </c>
      <c r="E1082" s="173">
        <v>42536</v>
      </c>
      <c r="F1082" s="174">
        <v>3.2933333</v>
      </c>
      <c r="G1082" s="175" t="s">
        <v>16</v>
      </c>
      <c r="H1082" s="172" t="s">
        <v>17</v>
      </c>
      <c r="I1082" s="175">
        <v>1</v>
      </c>
      <c r="J1082" s="175" t="s">
        <v>18</v>
      </c>
      <c r="K1082" s="175" t="s">
        <v>57</v>
      </c>
      <c r="L1082" s="172" t="s">
        <v>56</v>
      </c>
    </row>
    <row r="1083" spans="1:12" x14ac:dyDescent="0.2">
      <c r="A1083" s="172" t="s">
        <v>12</v>
      </c>
      <c r="B1083" s="172" t="s">
        <v>13</v>
      </c>
      <c r="C1083" s="172" t="s">
        <v>21</v>
      </c>
      <c r="D1083" s="172" t="s">
        <v>15</v>
      </c>
      <c r="E1083" s="173">
        <v>42536</v>
      </c>
      <c r="F1083" s="174">
        <v>972.31055990000004</v>
      </c>
      <c r="G1083" s="175" t="s">
        <v>19</v>
      </c>
      <c r="H1083" s="172" t="s">
        <v>17</v>
      </c>
      <c r="I1083" s="175">
        <v>1</v>
      </c>
      <c r="J1083" s="175" t="s">
        <v>18</v>
      </c>
      <c r="K1083" s="175" t="s">
        <v>57</v>
      </c>
      <c r="L1083" s="172" t="s">
        <v>56</v>
      </c>
    </row>
    <row r="1084" spans="1:12" x14ac:dyDescent="0.2">
      <c r="A1084" s="172" t="s">
        <v>12</v>
      </c>
      <c r="B1084" s="172" t="s">
        <v>13</v>
      </c>
      <c r="C1084" s="172" t="s">
        <v>21</v>
      </c>
      <c r="D1084" s="172" t="s">
        <v>15</v>
      </c>
      <c r="E1084" s="173">
        <v>42536</v>
      </c>
      <c r="F1084" s="174">
        <v>0.57799999999999996</v>
      </c>
      <c r="G1084" s="175" t="s">
        <v>16</v>
      </c>
      <c r="H1084" s="172" t="s">
        <v>20</v>
      </c>
      <c r="I1084" s="175">
        <v>1</v>
      </c>
      <c r="J1084" s="175" t="s">
        <v>18</v>
      </c>
      <c r="K1084" s="175" t="s">
        <v>57</v>
      </c>
      <c r="L1084" s="172" t="s">
        <v>56</v>
      </c>
    </row>
    <row r="1085" spans="1:12" x14ac:dyDescent="0.2">
      <c r="A1085" s="172" t="s">
        <v>12</v>
      </c>
      <c r="B1085" s="172" t="s">
        <v>13</v>
      </c>
      <c r="C1085" s="172" t="s">
        <v>21</v>
      </c>
      <c r="D1085" s="172" t="s">
        <v>15</v>
      </c>
      <c r="E1085" s="173">
        <v>42536</v>
      </c>
      <c r="F1085" s="174">
        <v>182.2156559</v>
      </c>
      <c r="G1085" s="175" t="s">
        <v>19</v>
      </c>
      <c r="H1085" s="172" t="s">
        <v>20</v>
      </c>
      <c r="I1085" s="175">
        <v>1</v>
      </c>
      <c r="J1085" s="175" t="s">
        <v>18</v>
      </c>
      <c r="K1085" s="175" t="s">
        <v>57</v>
      </c>
      <c r="L1085" s="172" t="s">
        <v>56</v>
      </c>
    </row>
    <row r="1086" spans="1:12" x14ac:dyDescent="0.2">
      <c r="A1086" s="172" t="s">
        <v>12</v>
      </c>
      <c r="B1086" s="172" t="s">
        <v>13</v>
      </c>
      <c r="C1086" s="172" t="s">
        <v>21</v>
      </c>
      <c r="D1086" s="172" t="s">
        <v>15</v>
      </c>
      <c r="E1086" s="173">
        <v>42529</v>
      </c>
      <c r="F1086" s="174">
        <v>3.3128358000000002</v>
      </c>
      <c r="G1086" s="175" t="s">
        <v>16</v>
      </c>
      <c r="H1086" s="172" t="s">
        <v>17</v>
      </c>
      <c r="I1086" s="175">
        <v>1</v>
      </c>
      <c r="J1086" s="175" t="s">
        <v>18</v>
      </c>
      <c r="K1086" s="175" t="s">
        <v>57</v>
      </c>
      <c r="L1086" s="172" t="s">
        <v>56</v>
      </c>
    </row>
    <row r="1087" spans="1:12" x14ac:dyDescent="0.2">
      <c r="A1087" s="172" t="s">
        <v>12</v>
      </c>
      <c r="B1087" s="172" t="s">
        <v>13</v>
      </c>
      <c r="C1087" s="172" t="s">
        <v>21</v>
      </c>
      <c r="D1087" s="172" t="s">
        <v>15</v>
      </c>
      <c r="E1087" s="173">
        <v>42529</v>
      </c>
      <c r="F1087" s="174">
        <v>740.45855989999995</v>
      </c>
      <c r="G1087" s="175" t="s">
        <v>19</v>
      </c>
      <c r="H1087" s="172" t="s">
        <v>17</v>
      </c>
      <c r="I1087" s="175">
        <v>1</v>
      </c>
      <c r="J1087" s="175" t="s">
        <v>18</v>
      </c>
      <c r="K1087" s="175" t="s">
        <v>57</v>
      </c>
      <c r="L1087" s="172" t="s">
        <v>56</v>
      </c>
    </row>
    <row r="1088" spans="1:12" x14ac:dyDescent="0.2">
      <c r="A1088" s="172" t="s">
        <v>12</v>
      </c>
      <c r="B1088" s="172" t="s">
        <v>13</v>
      </c>
      <c r="C1088" s="172" t="s">
        <v>21</v>
      </c>
      <c r="D1088" s="172" t="s">
        <v>15</v>
      </c>
      <c r="E1088" s="173">
        <v>42529</v>
      </c>
      <c r="F1088" s="174">
        <v>0.67500000000000004</v>
      </c>
      <c r="G1088" s="175" t="s">
        <v>16</v>
      </c>
      <c r="H1088" s="172" t="s">
        <v>20</v>
      </c>
      <c r="I1088" s="175">
        <v>1</v>
      </c>
      <c r="J1088" s="175" t="s">
        <v>18</v>
      </c>
      <c r="K1088" s="175" t="s">
        <v>57</v>
      </c>
      <c r="L1088" s="172" t="s">
        <v>56</v>
      </c>
    </row>
    <row r="1089" spans="1:12" x14ac:dyDescent="0.2">
      <c r="A1089" s="172" t="s">
        <v>12</v>
      </c>
      <c r="B1089" s="172" t="s">
        <v>13</v>
      </c>
      <c r="C1089" s="172" t="s">
        <v>21</v>
      </c>
      <c r="D1089" s="172" t="s">
        <v>15</v>
      </c>
      <c r="E1089" s="173">
        <v>42529</v>
      </c>
      <c r="F1089" s="174">
        <v>164.38140000000001</v>
      </c>
      <c r="G1089" s="175" t="s">
        <v>19</v>
      </c>
      <c r="H1089" s="172" t="s">
        <v>20</v>
      </c>
      <c r="I1089" s="175">
        <v>1</v>
      </c>
      <c r="J1089" s="175" t="s">
        <v>18</v>
      </c>
      <c r="K1089" s="175" t="s">
        <v>57</v>
      </c>
      <c r="L1089" s="172" t="s">
        <v>56</v>
      </c>
    </row>
    <row r="1090" spans="1:12" x14ac:dyDescent="0.2">
      <c r="A1090" s="172" t="s">
        <v>12</v>
      </c>
      <c r="B1090" s="172" t="s">
        <v>13</v>
      </c>
      <c r="C1090" s="172" t="s">
        <v>21</v>
      </c>
      <c r="D1090" s="172" t="s">
        <v>15</v>
      </c>
      <c r="E1090" s="173">
        <v>42523</v>
      </c>
      <c r="F1090" s="174">
        <v>3.6153607999999999</v>
      </c>
      <c r="G1090" s="175" t="s">
        <v>16</v>
      </c>
      <c r="H1090" s="172" t="s">
        <v>17</v>
      </c>
      <c r="I1090" s="175">
        <v>1</v>
      </c>
      <c r="J1090" s="175" t="s">
        <v>18</v>
      </c>
      <c r="K1090" s="175" t="s">
        <v>57</v>
      </c>
      <c r="L1090" s="172" t="s">
        <v>56</v>
      </c>
    </row>
    <row r="1091" spans="1:12" x14ac:dyDescent="0.2">
      <c r="A1091" s="172" t="s">
        <v>12</v>
      </c>
      <c r="B1091" s="172" t="s">
        <v>13</v>
      </c>
      <c r="C1091" s="172" t="s">
        <v>21</v>
      </c>
      <c r="D1091" s="172" t="s">
        <v>15</v>
      </c>
      <c r="E1091" s="173">
        <v>42523</v>
      </c>
      <c r="F1091" s="174">
        <v>877.42637990000003</v>
      </c>
      <c r="G1091" s="175" t="s">
        <v>19</v>
      </c>
      <c r="H1091" s="172" t="s">
        <v>17</v>
      </c>
      <c r="I1091" s="175">
        <v>1</v>
      </c>
      <c r="J1091" s="175" t="s">
        <v>18</v>
      </c>
      <c r="K1091" s="175" t="s">
        <v>57</v>
      </c>
      <c r="L1091" s="172" t="s">
        <v>56</v>
      </c>
    </row>
    <row r="1092" spans="1:12" x14ac:dyDescent="0.2">
      <c r="A1092" s="172" t="s">
        <v>12</v>
      </c>
      <c r="B1092" s="172" t="s">
        <v>13</v>
      </c>
      <c r="C1092" s="172" t="s">
        <v>21</v>
      </c>
      <c r="D1092" s="172" t="s">
        <v>15</v>
      </c>
      <c r="E1092" s="173">
        <v>42523</v>
      </c>
      <c r="F1092" s="174">
        <v>0.70599999999999996</v>
      </c>
      <c r="G1092" s="175" t="s">
        <v>16</v>
      </c>
      <c r="H1092" s="172" t="s">
        <v>20</v>
      </c>
      <c r="I1092" s="175">
        <v>1</v>
      </c>
      <c r="J1092" s="175" t="s">
        <v>18</v>
      </c>
      <c r="K1092" s="175" t="s">
        <v>57</v>
      </c>
      <c r="L1092" s="172" t="s">
        <v>56</v>
      </c>
    </row>
    <row r="1093" spans="1:12" x14ac:dyDescent="0.2">
      <c r="A1093" s="172" t="s">
        <v>12</v>
      </c>
      <c r="B1093" s="172" t="s">
        <v>13</v>
      </c>
      <c r="C1093" s="172" t="s">
        <v>21</v>
      </c>
      <c r="D1093" s="172" t="s">
        <v>15</v>
      </c>
      <c r="E1093" s="173">
        <v>42523</v>
      </c>
      <c r="F1093" s="174">
        <v>185.47325989999999</v>
      </c>
      <c r="G1093" s="175" t="s">
        <v>19</v>
      </c>
      <c r="H1093" s="172" t="s">
        <v>20</v>
      </c>
      <c r="I1093" s="175">
        <v>1</v>
      </c>
      <c r="J1093" s="175" t="s">
        <v>18</v>
      </c>
      <c r="K1093" s="175" t="s">
        <v>57</v>
      </c>
      <c r="L1093" s="172" t="s">
        <v>56</v>
      </c>
    </row>
    <row r="1094" spans="1:12" x14ac:dyDescent="0.2">
      <c r="A1094" s="172" t="s">
        <v>12</v>
      </c>
      <c r="B1094" s="172" t="s">
        <v>13</v>
      </c>
      <c r="C1094" s="172" t="s">
        <v>21</v>
      </c>
      <c r="D1094" s="172" t="s">
        <v>15</v>
      </c>
      <c r="E1094" s="173">
        <v>42515</v>
      </c>
      <c r="F1094" s="174">
        <v>4.1908127000000004</v>
      </c>
      <c r="G1094" s="175" t="s">
        <v>16</v>
      </c>
      <c r="H1094" s="172" t="s">
        <v>17</v>
      </c>
      <c r="I1094" s="175">
        <v>1</v>
      </c>
      <c r="J1094" s="175" t="s">
        <v>18</v>
      </c>
      <c r="K1094" s="175" t="s">
        <v>57</v>
      </c>
      <c r="L1094" s="172" t="s">
        <v>56</v>
      </c>
    </row>
    <row r="1095" spans="1:12" x14ac:dyDescent="0.2">
      <c r="A1095" s="172" t="s">
        <v>12</v>
      </c>
      <c r="B1095" s="172" t="s">
        <v>13</v>
      </c>
      <c r="C1095" s="172" t="s">
        <v>21</v>
      </c>
      <c r="D1095" s="172" t="s">
        <v>15</v>
      </c>
      <c r="E1095" s="173">
        <v>42515</v>
      </c>
      <c r="F1095" s="174">
        <v>989.12399989999994</v>
      </c>
      <c r="G1095" s="175" t="s">
        <v>19</v>
      </c>
      <c r="H1095" s="172" t="s">
        <v>17</v>
      </c>
      <c r="I1095" s="175">
        <v>1</v>
      </c>
      <c r="J1095" s="175" t="s">
        <v>18</v>
      </c>
      <c r="K1095" s="175" t="s">
        <v>57</v>
      </c>
      <c r="L1095" s="172" t="s">
        <v>56</v>
      </c>
    </row>
    <row r="1096" spans="1:12" x14ac:dyDescent="0.2">
      <c r="A1096" s="172" t="s">
        <v>12</v>
      </c>
      <c r="B1096" s="172" t="s">
        <v>13</v>
      </c>
      <c r="C1096" s="172" t="s">
        <v>21</v>
      </c>
      <c r="D1096" s="172" t="s">
        <v>15</v>
      </c>
      <c r="E1096" s="173">
        <v>42515</v>
      </c>
      <c r="F1096" s="174">
        <v>2.7</v>
      </c>
      <c r="G1096" s="175" t="s">
        <v>16</v>
      </c>
      <c r="H1096" s="172" t="s">
        <v>20</v>
      </c>
      <c r="I1096" s="175">
        <v>1</v>
      </c>
      <c r="J1096" s="175" t="s">
        <v>18</v>
      </c>
      <c r="K1096" s="175" t="s">
        <v>57</v>
      </c>
      <c r="L1096" s="172" t="s">
        <v>56</v>
      </c>
    </row>
    <row r="1097" spans="1:12" x14ac:dyDescent="0.2">
      <c r="A1097" s="172" t="s">
        <v>12</v>
      </c>
      <c r="B1097" s="172" t="s">
        <v>13</v>
      </c>
      <c r="C1097" s="172" t="s">
        <v>21</v>
      </c>
      <c r="D1097" s="172" t="s">
        <v>15</v>
      </c>
      <c r="E1097" s="173">
        <v>42515</v>
      </c>
      <c r="F1097" s="174">
        <v>695.80619999999999</v>
      </c>
      <c r="G1097" s="175" t="s">
        <v>19</v>
      </c>
      <c r="H1097" s="172" t="s">
        <v>20</v>
      </c>
      <c r="I1097" s="175">
        <v>1</v>
      </c>
      <c r="J1097" s="175" t="s">
        <v>18</v>
      </c>
      <c r="K1097" s="175" t="s">
        <v>57</v>
      </c>
      <c r="L1097" s="172" t="s">
        <v>56</v>
      </c>
    </row>
    <row r="1098" spans="1:12" x14ac:dyDescent="0.2">
      <c r="A1098" s="172" t="s">
        <v>12</v>
      </c>
      <c r="B1098" s="172" t="s">
        <v>13</v>
      </c>
      <c r="C1098" s="172" t="s">
        <v>21</v>
      </c>
      <c r="D1098" s="172" t="s">
        <v>15</v>
      </c>
      <c r="E1098" s="173">
        <v>42508</v>
      </c>
      <c r="F1098" s="174">
        <v>2.58</v>
      </c>
      <c r="G1098" s="175" t="s">
        <v>16</v>
      </c>
      <c r="H1098" s="172" t="s">
        <v>17</v>
      </c>
      <c r="I1098" s="175">
        <v>1</v>
      </c>
      <c r="J1098" s="175" t="s">
        <v>18</v>
      </c>
      <c r="K1098" s="175" t="s">
        <v>57</v>
      </c>
      <c r="L1098" s="172" t="s">
        <v>56</v>
      </c>
    </row>
    <row r="1099" spans="1:12" x14ac:dyDescent="0.2">
      <c r="A1099" s="172" t="s">
        <v>12</v>
      </c>
      <c r="B1099" s="172" t="s">
        <v>13</v>
      </c>
      <c r="C1099" s="172" t="s">
        <v>21</v>
      </c>
      <c r="D1099" s="172" t="s">
        <v>15</v>
      </c>
      <c r="E1099" s="173">
        <v>42508</v>
      </c>
      <c r="F1099" s="174">
        <v>688.55039999999997</v>
      </c>
      <c r="G1099" s="175" t="s">
        <v>19</v>
      </c>
      <c r="H1099" s="172" t="s">
        <v>17</v>
      </c>
      <c r="I1099" s="175">
        <v>1</v>
      </c>
      <c r="J1099" s="175" t="s">
        <v>18</v>
      </c>
      <c r="K1099" s="175" t="s">
        <v>57</v>
      </c>
      <c r="L1099" s="172" t="s">
        <v>56</v>
      </c>
    </row>
    <row r="1100" spans="1:12" x14ac:dyDescent="0.2">
      <c r="A1100" s="172" t="s">
        <v>12</v>
      </c>
      <c r="B1100" s="172" t="s">
        <v>13</v>
      </c>
      <c r="C1100" s="172" t="s">
        <v>21</v>
      </c>
      <c r="D1100" s="172" t="s">
        <v>15</v>
      </c>
      <c r="E1100" s="173">
        <v>42508</v>
      </c>
      <c r="F1100" s="174">
        <v>1.2</v>
      </c>
      <c r="G1100" s="175" t="s">
        <v>16</v>
      </c>
      <c r="H1100" s="172" t="s">
        <v>20</v>
      </c>
      <c r="I1100" s="175">
        <v>1</v>
      </c>
      <c r="J1100" s="175" t="s">
        <v>18</v>
      </c>
      <c r="K1100" s="175" t="s">
        <v>57</v>
      </c>
      <c r="L1100" s="172" t="s">
        <v>56</v>
      </c>
    </row>
    <row r="1101" spans="1:12" x14ac:dyDescent="0.2">
      <c r="A1101" s="172" t="s">
        <v>12</v>
      </c>
      <c r="B1101" s="172" t="s">
        <v>13</v>
      </c>
      <c r="C1101" s="172" t="s">
        <v>21</v>
      </c>
      <c r="D1101" s="172" t="s">
        <v>15</v>
      </c>
      <c r="E1101" s="173">
        <v>42508</v>
      </c>
      <c r="F1101" s="174">
        <v>348.27839999999998</v>
      </c>
      <c r="G1101" s="175" t="s">
        <v>19</v>
      </c>
      <c r="H1101" s="172" t="s">
        <v>20</v>
      </c>
      <c r="I1101" s="175">
        <v>1</v>
      </c>
      <c r="J1101" s="175" t="s">
        <v>18</v>
      </c>
      <c r="K1101" s="175" t="s">
        <v>57</v>
      </c>
      <c r="L1101" s="172" t="s">
        <v>56</v>
      </c>
    </row>
    <row r="1102" spans="1:12" x14ac:dyDescent="0.2">
      <c r="A1102" s="172" t="s">
        <v>12</v>
      </c>
      <c r="B1102" s="172" t="s">
        <v>13</v>
      </c>
      <c r="C1102" s="172" t="s">
        <v>21</v>
      </c>
      <c r="D1102" s="172" t="s">
        <v>15</v>
      </c>
      <c r="E1102" s="173">
        <v>42500</v>
      </c>
      <c r="F1102" s="174">
        <v>2.6394540000000002</v>
      </c>
      <c r="G1102" s="175" t="s">
        <v>16</v>
      </c>
      <c r="H1102" s="172" t="s">
        <v>17</v>
      </c>
      <c r="I1102" s="175">
        <v>1</v>
      </c>
      <c r="J1102" s="175" t="s">
        <v>18</v>
      </c>
      <c r="K1102" s="175" t="s">
        <v>57</v>
      </c>
      <c r="L1102" s="172" t="s">
        <v>56</v>
      </c>
    </row>
    <row r="1103" spans="1:12" x14ac:dyDescent="0.2">
      <c r="A1103" s="172" t="s">
        <v>12</v>
      </c>
      <c r="B1103" s="172" t="s">
        <v>13</v>
      </c>
      <c r="C1103" s="172" t="s">
        <v>21</v>
      </c>
      <c r="D1103" s="172" t="s">
        <v>15</v>
      </c>
      <c r="E1103" s="173">
        <v>42500</v>
      </c>
      <c r="F1103" s="174">
        <v>887.12580000000003</v>
      </c>
      <c r="G1103" s="175" t="s">
        <v>19</v>
      </c>
      <c r="H1103" s="172" t="s">
        <v>17</v>
      </c>
      <c r="I1103" s="175">
        <v>1</v>
      </c>
      <c r="J1103" s="175" t="s">
        <v>18</v>
      </c>
      <c r="K1103" s="175" t="s">
        <v>57</v>
      </c>
      <c r="L1103" s="172" t="s">
        <v>56</v>
      </c>
    </row>
    <row r="1104" spans="1:12" x14ac:dyDescent="0.2">
      <c r="A1104" s="172" t="s">
        <v>12</v>
      </c>
      <c r="B1104" s="172" t="s">
        <v>13</v>
      </c>
      <c r="C1104" s="172" t="s">
        <v>21</v>
      </c>
      <c r="D1104" s="172" t="s">
        <v>15</v>
      </c>
      <c r="E1104" s="173">
        <v>42500</v>
      </c>
      <c r="F1104" s="174">
        <v>1</v>
      </c>
      <c r="G1104" s="175" t="s">
        <v>16</v>
      </c>
      <c r="H1104" s="172" t="s">
        <v>20</v>
      </c>
      <c r="I1104" s="175">
        <v>1</v>
      </c>
      <c r="J1104" s="175" t="s">
        <v>18</v>
      </c>
      <c r="K1104" s="175" t="s">
        <v>57</v>
      </c>
      <c r="L1104" s="172" t="s">
        <v>56</v>
      </c>
    </row>
    <row r="1105" spans="1:13" x14ac:dyDescent="0.2">
      <c r="A1105" s="172" t="s">
        <v>12</v>
      </c>
      <c r="B1105" s="172" t="s">
        <v>13</v>
      </c>
      <c r="C1105" s="172" t="s">
        <v>21</v>
      </c>
      <c r="D1105" s="172" t="s">
        <v>15</v>
      </c>
      <c r="E1105" s="173">
        <v>42500</v>
      </c>
      <c r="F1105" s="174">
        <v>361.95599989999999</v>
      </c>
      <c r="G1105" s="175" t="s">
        <v>19</v>
      </c>
      <c r="H1105" s="172" t="s">
        <v>20</v>
      </c>
      <c r="I1105" s="175">
        <v>1</v>
      </c>
      <c r="J1105" s="175" t="s">
        <v>18</v>
      </c>
      <c r="K1105" s="175" t="s">
        <v>57</v>
      </c>
      <c r="L1105" s="172" t="s">
        <v>56</v>
      </c>
    </row>
    <row r="1106" spans="1:13" x14ac:dyDescent="0.2">
      <c r="A1106" s="172" t="s">
        <v>12</v>
      </c>
      <c r="B1106" s="172" t="s">
        <v>13</v>
      </c>
      <c r="C1106" s="172" t="s">
        <v>21</v>
      </c>
      <c r="D1106" s="172" t="s">
        <v>15</v>
      </c>
      <c r="E1106" s="173">
        <v>42494</v>
      </c>
      <c r="F1106" s="174">
        <v>3.4522099000000002</v>
      </c>
      <c r="G1106" s="175" t="s">
        <v>16</v>
      </c>
      <c r="H1106" s="172" t="s">
        <v>17</v>
      </c>
      <c r="I1106" s="175">
        <v>1</v>
      </c>
      <c r="J1106" s="175" t="s">
        <v>18</v>
      </c>
      <c r="K1106" s="175" t="s">
        <v>57</v>
      </c>
      <c r="L1106" s="172" t="s">
        <v>56</v>
      </c>
    </row>
    <row r="1107" spans="1:13" x14ac:dyDescent="0.2">
      <c r="A1107" s="172" t="s">
        <v>12</v>
      </c>
      <c r="B1107" s="172" t="s">
        <v>13</v>
      </c>
      <c r="C1107" s="172" t="s">
        <v>21</v>
      </c>
      <c r="D1107" s="172" t="s">
        <v>15</v>
      </c>
      <c r="E1107" s="173">
        <v>42494</v>
      </c>
      <c r="F1107" s="174">
        <v>1042.2498000000001</v>
      </c>
      <c r="G1107" s="175" t="s">
        <v>19</v>
      </c>
      <c r="H1107" s="172" t="s">
        <v>17</v>
      </c>
      <c r="I1107" s="175">
        <v>1</v>
      </c>
      <c r="J1107" s="175" t="s">
        <v>18</v>
      </c>
      <c r="K1107" s="175" t="s">
        <v>57</v>
      </c>
      <c r="L1107" s="172" t="s">
        <v>56</v>
      </c>
    </row>
    <row r="1108" spans="1:13" x14ac:dyDescent="0.2">
      <c r="A1108" s="172" t="s">
        <v>12</v>
      </c>
      <c r="B1108" s="172" t="s">
        <v>13</v>
      </c>
      <c r="C1108" s="172" t="s">
        <v>21</v>
      </c>
      <c r="D1108" s="172" t="s">
        <v>15</v>
      </c>
      <c r="E1108" s="173">
        <v>42494</v>
      </c>
      <c r="F1108" s="174">
        <v>0.3</v>
      </c>
      <c r="G1108" s="175" t="s">
        <v>16</v>
      </c>
      <c r="H1108" s="172" t="s">
        <v>20</v>
      </c>
      <c r="I1108" s="175">
        <v>1</v>
      </c>
      <c r="J1108" s="175" t="s">
        <v>18</v>
      </c>
      <c r="K1108" s="175" t="s">
        <v>57</v>
      </c>
      <c r="L1108" s="172" t="s">
        <v>56</v>
      </c>
    </row>
    <row r="1109" spans="1:13" x14ac:dyDescent="0.2">
      <c r="A1109" s="172" t="s">
        <v>12</v>
      </c>
      <c r="B1109" s="172" t="s">
        <v>13</v>
      </c>
      <c r="C1109" s="172" t="s">
        <v>21</v>
      </c>
      <c r="D1109" s="172" t="s">
        <v>15</v>
      </c>
      <c r="E1109" s="173">
        <v>42494</v>
      </c>
      <c r="F1109" s="174">
        <v>99.829799899999998</v>
      </c>
      <c r="G1109" s="175" t="s">
        <v>19</v>
      </c>
      <c r="H1109" s="172" t="s">
        <v>20</v>
      </c>
      <c r="I1109" s="175">
        <v>1</v>
      </c>
      <c r="J1109" s="175" t="s">
        <v>18</v>
      </c>
      <c r="K1109" s="175" t="s">
        <v>57</v>
      </c>
      <c r="L1109" s="172" t="s">
        <v>56</v>
      </c>
    </row>
    <row r="1110" spans="1:13" s="116" customFormat="1" x14ac:dyDescent="0.2">
      <c r="A1110" s="172" t="s">
        <v>12</v>
      </c>
      <c r="B1110" s="172" t="s">
        <v>13</v>
      </c>
      <c r="C1110" s="172" t="s">
        <v>21</v>
      </c>
      <c r="D1110" s="172" t="s">
        <v>15</v>
      </c>
      <c r="E1110" s="173">
        <v>42486</v>
      </c>
      <c r="F1110" s="174">
        <v>4.2688211999999996</v>
      </c>
      <c r="G1110" s="175" t="s">
        <v>16</v>
      </c>
      <c r="H1110" s="172" t="s">
        <v>17</v>
      </c>
      <c r="I1110" s="175">
        <v>1</v>
      </c>
      <c r="J1110" s="175" t="s">
        <v>18</v>
      </c>
      <c r="K1110" s="175" t="s">
        <v>57</v>
      </c>
      <c r="L1110" s="172" t="s">
        <v>56</v>
      </c>
      <c r="M1110" s="115"/>
    </row>
    <row r="1111" spans="1:13" s="116" customFormat="1" x14ac:dyDescent="0.2">
      <c r="A1111" s="172" t="s">
        <v>12</v>
      </c>
      <c r="B1111" s="172" t="s">
        <v>13</v>
      </c>
      <c r="C1111" s="172" t="s">
        <v>21</v>
      </c>
      <c r="D1111" s="172" t="s">
        <v>15</v>
      </c>
      <c r="E1111" s="173">
        <v>42486</v>
      </c>
      <c r="F1111" s="174">
        <v>936.33179989999996</v>
      </c>
      <c r="G1111" s="175" t="s">
        <v>19</v>
      </c>
      <c r="H1111" s="172" t="s">
        <v>17</v>
      </c>
      <c r="I1111" s="175">
        <v>1</v>
      </c>
      <c r="J1111" s="175" t="s">
        <v>18</v>
      </c>
      <c r="K1111" s="175" t="s">
        <v>57</v>
      </c>
      <c r="L1111" s="172" t="s">
        <v>56</v>
      </c>
      <c r="M1111" s="115"/>
    </row>
    <row r="1112" spans="1:13" x14ac:dyDescent="0.2">
      <c r="A1112" s="172" t="s">
        <v>12</v>
      </c>
      <c r="B1112" s="172" t="s">
        <v>13</v>
      </c>
      <c r="C1112" s="172" t="s">
        <v>21</v>
      </c>
      <c r="D1112" s="172" t="s">
        <v>15</v>
      </c>
      <c r="E1112" s="173">
        <v>42486</v>
      </c>
      <c r="F1112" s="174">
        <v>0.02</v>
      </c>
      <c r="G1112" s="175" t="s">
        <v>16</v>
      </c>
      <c r="H1112" s="172" t="s">
        <v>20</v>
      </c>
      <c r="I1112" s="175">
        <v>1</v>
      </c>
      <c r="J1112" s="175" t="s">
        <v>18</v>
      </c>
      <c r="K1112" s="175" t="s">
        <v>57</v>
      </c>
      <c r="L1112" s="172" t="s">
        <v>56</v>
      </c>
    </row>
    <row r="1113" spans="1:13" x14ac:dyDescent="0.2">
      <c r="A1113" s="172" t="s">
        <v>12</v>
      </c>
      <c r="B1113" s="172" t="s">
        <v>13</v>
      </c>
      <c r="C1113" s="172" t="s">
        <v>21</v>
      </c>
      <c r="D1113" s="172" t="s">
        <v>15</v>
      </c>
      <c r="E1113" s="173">
        <v>42486</v>
      </c>
      <c r="F1113" s="174">
        <v>4.8705598999999999</v>
      </c>
      <c r="G1113" s="175" t="s">
        <v>19</v>
      </c>
      <c r="H1113" s="172" t="s">
        <v>20</v>
      </c>
      <c r="I1113" s="175">
        <v>1</v>
      </c>
      <c r="J1113" s="175" t="s">
        <v>18</v>
      </c>
      <c r="K1113" s="175" t="s">
        <v>57</v>
      </c>
      <c r="L1113" s="172" t="s">
        <v>56</v>
      </c>
    </row>
    <row r="1114" spans="1:13" x14ac:dyDescent="0.2">
      <c r="A1114" s="172" t="s">
        <v>12</v>
      </c>
      <c r="B1114" s="172" t="s">
        <v>13</v>
      </c>
      <c r="C1114" s="172" t="s">
        <v>21</v>
      </c>
      <c r="D1114" s="172" t="s">
        <v>15</v>
      </c>
      <c r="E1114" s="173">
        <v>42479</v>
      </c>
      <c r="F1114" s="174">
        <v>2.7148235000000001</v>
      </c>
      <c r="G1114" s="175" t="s">
        <v>16</v>
      </c>
      <c r="H1114" s="172" t="s">
        <v>17</v>
      </c>
      <c r="I1114" s="175">
        <v>1</v>
      </c>
      <c r="J1114" s="175" t="s">
        <v>18</v>
      </c>
      <c r="K1114" s="175" t="s">
        <v>57</v>
      </c>
      <c r="L1114" s="172" t="s">
        <v>56</v>
      </c>
    </row>
    <row r="1115" spans="1:13" x14ac:dyDescent="0.2">
      <c r="A1115" s="172" t="s">
        <v>12</v>
      </c>
      <c r="B1115" s="172" t="s">
        <v>13</v>
      </c>
      <c r="C1115" s="172" t="s">
        <v>21</v>
      </c>
      <c r="D1115" s="172" t="s">
        <v>15</v>
      </c>
      <c r="E1115" s="173">
        <v>42479</v>
      </c>
      <c r="F1115" s="174">
        <v>769.81536000000006</v>
      </c>
      <c r="G1115" s="175" t="s">
        <v>19</v>
      </c>
      <c r="H1115" s="172" t="s">
        <v>17</v>
      </c>
      <c r="I1115" s="175">
        <v>1</v>
      </c>
      <c r="J1115" s="175" t="s">
        <v>18</v>
      </c>
      <c r="K1115" s="175" t="s">
        <v>57</v>
      </c>
      <c r="L1115" s="172" t="s">
        <v>56</v>
      </c>
    </row>
    <row r="1116" spans="1:13" x14ac:dyDescent="0.2">
      <c r="A1116" s="172" t="s">
        <v>12</v>
      </c>
      <c r="B1116" s="172" t="s">
        <v>13</v>
      </c>
      <c r="C1116" s="172" t="s">
        <v>21</v>
      </c>
      <c r="D1116" s="172" t="s">
        <v>15</v>
      </c>
      <c r="E1116" s="173">
        <v>42479</v>
      </c>
      <c r="F1116" s="174">
        <v>0.5</v>
      </c>
      <c r="G1116" s="175" t="s">
        <v>16</v>
      </c>
      <c r="H1116" s="172" t="s">
        <v>20</v>
      </c>
      <c r="I1116" s="175">
        <v>1</v>
      </c>
      <c r="J1116" s="175" t="s">
        <v>18</v>
      </c>
      <c r="K1116" s="175" t="s">
        <v>57</v>
      </c>
      <c r="L1116" s="172" t="s">
        <v>56</v>
      </c>
    </row>
    <row r="1117" spans="1:13" x14ac:dyDescent="0.2">
      <c r="A1117" s="172" t="s">
        <v>12</v>
      </c>
      <c r="B1117" s="172" t="s">
        <v>13</v>
      </c>
      <c r="C1117" s="172" t="s">
        <v>21</v>
      </c>
      <c r="D1117" s="172" t="s">
        <v>15</v>
      </c>
      <c r="E1117" s="173">
        <v>42479</v>
      </c>
      <c r="F1117" s="174">
        <v>155.124</v>
      </c>
      <c r="G1117" s="175" t="s">
        <v>19</v>
      </c>
      <c r="H1117" s="172" t="s">
        <v>20</v>
      </c>
      <c r="I1117" s="175">
        <v>1</v>
      </c>
      <c r="J1117" s="175" t="s">
        <v>18</v>
      </c>
      <c r="K1117" s="175" t="s">
        <v>57</v>
      </c>
      <c r="L1117" s="172" t="s">
        <v>56</v>
      </c>
    </row>
    <row r="1118" spans="1:13" x14ac:dyDescent="0.2">
      <c r="A1118" s="172" t="s">
        <v>12</v>
      </c>
      <c r="B1118" s="172" t="s">
        <v>13</v>
      </c>
      <c r="C1118" s="172" t="s">
        <v>21</v>
      </c>
      <c r="D1118" s="172" t="s">
        <v>15</v>
      </c>
      <c r="E1118" s="173">
        <v>42473</v>
      </c>
      <c r="F1118" s="174">
        <v>4.5158053999999996</v>
      </c>
      <c r="G1118" s="175" t="s">
        <v>16</v>
      </c>
      <c r="H1118" s="172" t="s">
        <v>17</v>
      </c>
      <c r="I1118" s="175">
        <v>1</v>
      </c>
      <c r="J1118" s="175" t="s">
        <v>18</v>
      </c>
      <c r="K1118" s="175" t="s">
        <v>57</v>
      </c>
      <c r="L1118" s="172" t="s">
        <v>56</v>
      </c>
    </row>
    <row r="1119" spans="1:13" x14ac:dyDescent="0.2">
      <c r="A1119" s="172" t="s">
        <v>12</v>
      </c>
      <c r="B1119" s="172" t="s">
        <v>13</v>
      </c>
      <c r="C1119" s="172" t="s">
        <v>21</v>
      </c>
      <c r="D1119" s="172" t="s">
        <v>15</v>
      </c>
      <c r="E1119" s="173">
        <v>42473</v>
      </c>
      <c r="F1119" s="174">
        <v>1239.0737999999999</v>
      </c>
      <c r="G1119" s="175" t="s">
        <v>19</v>
      </c>
      <c r="H1119" s="172" t="s">
        <v>17</v>
      </c>
      <c r="I1119" s="175">
        <v>1</v>
      </c>
      <c r="J1119" s="175" t="s">
        <v>18</v>
      </c>
      <c r="K1119" s="175" t="s">
        <v>57</v>
      </c>
      <c r="L1119" s="172" t="s">
        <v>56</v>
      </c>
    </row>
    <row r="1120" spans="1:13" x14ac:dyDescent="0.2">
      <c r="A1120" s="172" t="s">
        <v>12</v>
      </c>
      <c r="B1120" s="172" t="s">
        <v>13</v>
      </c>
      <c r="C1120" s="172" t="s">
        <v>21</v>
      </c>
      <c r="D1120" s="172" t="s">
        <v>15</v>
      </c>
      <c r="E1120" s="173">
        <v>42473</v>
      </c>
      <c r="F1120" s="174">
        <v>1.5</v>
      </c>
      <c r="G1120" s="175" t="s">
        <v>16</v>
      </c>
      <c r="H1120" s="172" t="s">
        <v>20</v>
      </c>
      <c r="I1120" s="175">
        <v>1</v>
      </c>
      <c r="J1120" s="175" t="s">
        <v>18</v>
      </c>
      <c r="K1120" s="175" t="s">
        <v>57</v>
      </c>
      <c r="L1120" s="172" t="s">
        <v>56</v>
      </c>
    </row>
    <row r="1121" spans="1:12" x14ac:dyDescent="0.2">
      <c r="A1121" s="172" t="s">
        <v>12</v>
      </c>
      <c r="B1121" s="172" t="s">
        <v>13</v>
      </c>
      <c r="C1121" s="172" t="s">
        <v>21</v>
      </c>
      <c r="D1121" s="172" t="s">
        <v>15</v>
      </c>
      <c r="E1121" s="173">
        <v>42473</v>
      </c>
      <c r="F1121" s="174">
        <v>449.10899990000001</v>
      </c>
      <c r="G1121" s="175" t="s">
        <v>19</v>
      </c>
      <c r="H1121" s="172" t="s">
        <v>20</v>
      </c>
      <c r="I1121" s="175">
        <v>1</v>
      </c>
      <c r="J1121" s="175" t="s">
        <v>18</v>
      </c>
      <c r="K1121" s="175" t="s">
        <v>57</v>
      </c>
      <c r="L1121" s="172" t="s">
        <v>56</v>
      </c>
    </row>
    <row r="1122" spans="1:12" x14ac:dyDescent="0.2">
      <c r="A1122" s="172" t="s">
        <v>12</v>
      </c>
      <c r="B1122" s="172" t="s">
        <v>13</v>
      </c>
      <c r="C1122" s="172" t="s">
        <v>21</v>
      </c>
      <c r="D1122" s="172" t="s">
        <v>15</v>
      </c>
      <c r="E1122" s="173">
        <v>42466</v>
      </c>
      <c r="F1122" s="174">
        <v>3.9952380000000001</v>
      </c>
      <c r="G1122" s="175" t="s">
        <v>16</v>
      </c>
      <c r="H1122" s="172" t="s">
        <v>17</v>
      </c>
      <c r="I1122" s="175">
        <v>1</v>
      </c>
      <c r="J1122" s="175" t="s">
        <v>18</v>
      </c>
      <c r="K1122" s="175" t="s">
        <v>57</v>
      </c>
      <c r="L1122" s="172" t="s">
        <v>56</v>
      </c>
    </row>
    <row r="1123" spans="1:12" x14ac:dyDescent="0.2">
      <c r="A1123" s="172" t="s">
        <v>12</v>
      </c>
      <c r="B1123" s="172" t="s">
        <v>13</v>
      </c>
      <c r="C1123" s="172" t="s">
        <v>21</v>
      </c>
      <c r="D1123" s="172" t="s">
        <v>15</v>
      </c>
      <c r="E1123" s="173">
        <v>42466</v>
      </c>
      <c r="F1123" s="174">
        <v>1259.5068000000001</v>
      </c>
      <c r="G1123" s="175" t="s">
        <v>19</v>
      </c>
      <c r="H1123" s="172" t="s">
        <v>17</v>
      </c>
      <c r="I1123" s="175">
        <v>1</v>
      </c>
      <c r="J1123" s="175" t="s">
        <v>18</v>
      </c>
      <c r="K1123" s="175" t="s">
        <v>57</v>
      </c>
      <c r="L1123" s="172" t="s">
        <v>56</v>
      </c>
    </row>
    <row r="1124" spans="1:12" x14ac:dyDescent="0.2">
      <c r="A1124" s="172" t="s">
        <v>12</v>
      </c>
      <c r="B1124" s="172" t="s">
        <v>13</v>
      </c>
      <c r="C1124" s="172" t="s">
        <v>21</v>
      </c>
      <c r="D1124" s="172" t="s">
        <v>15</v>
      </c>
      <c r="E1124" s="173">
        <v>42466</v>
      </c>
      <c r="F1124" s="174">
        <v>2</v>
      </c>
      <c r="G1124" s="175" t="s">
        <v>16</v>
      </c>
      <c r="H1124" s="172" t="s">
        <v>20</v>
      </c>
      <c r="I1124" s="175">
        <v>1</v>
      </c>
      <c r="J1124" s="175" t="s">
        <v>18</v>
      </c>
      <c r="K1124" s="175" t="s">
        <v>57</v>
      </c>
      <c r="L1124" s="172" t="s">
        <v>56</v>
      </c>
    </row>
    <row r="1125" spans="1:12" x14ac:dyDescent="0.2">
      <c r="A1125" s="172" t="s">
        <v>12</v>
      </c>
      <c r="B1125" s="172" t="s">
        <v>13</v>
      </c>
      <c r="C1125" s="172" t="s">
        <v>21</v>
      </c>
      <c r="D1125" s="172" t="s">
        <v>15</v>
      </c>
      <c r="E1125" s="173">
        <v>42466</v>
      </c>
      <c r="F1125" s="174">
        <v>688.88399990000005</v>
      </c>
      <c r="G1125" s="175" t="s">
        <v>19</v>
      </c>
      <c r="H1125" s="172" t="s">
        <v>20</v>
      </c>
      <c r="I1125" s="175">
        <v>1</v>
      </c>
      <c r="J1125" s="175" t="s">
        <v>18</v>
      </c>
      <c r="K1125" s="175" t="s">
        <v>57</v>
      </c>
      <c r="L1125" s="172" t="s">
        <v>56</v>
      </c>
    </row>
    <row r="1126" spans="1:12" x14ac:dyDescent="0.2">
      <c r="A1126" s="172" t="s">
        <v>12</v>
      </c>
      <c r="B1126" s="172" t="s">
        <v>13</v>
      </c>
      <c r="C1126" s="172" t="s">
        <v>21</v>
      </c>
      <c r="D1126" s="172" t="s">
        <v>15</v>
      </c>
      <c r="E1126" s="173">
        <v>42459</v>
      </c>
      <c r="F1126" s="174">
        <v>1.1064582999999999</v>
      </c>
      <c r="G1126" s="175" t="s">
        <v>16</v>
      </c>
      <c r="H1126" s="172" t="s">
        <v>17</v>
      </c>
      <c r="I1126" s="175">
        <v>1</v>
      </c>
      <c r="J1126" s="175" t="s">
        <v>18</v>
      </c>
      <c r="K1126" s="175" t="s">
        <v>57</v>
      </c>
      <c r="L1126" s="172" t="s">
        <v>56</v>
      </c>
    </row>
    <row r="1127" spans="1:12" x14ac:dyDescent="0.2">
      <c r="A1127" s="172" t="s">
        <v>12</v>
      </c>
      <c r="B1127" s="172" t="s">
        <v>13</v>
      </c>
      <c r="C1127" s="172" t="s">
        <v>21</v>
      </c>
      <c r="D1127" s="172" t="s">
        <v>15</v>
      </c>
      <c r="E1127" s="173">
        <v>42459</v>
      </c>
      <c r="F1127" s="174">
        <v>442.93740000000003</v>
      </c>
      <c r="G1127" s="175" t="s">
        <v>19</v>
      </c>
      <c r="H1127" s="172" t="s">
        <v>17</v>
      </c>
      <c r="I1127" s="175">
        <v>1</v>
      </c>
      <c r="J1127" s="175" t="s">
        <v>18</v>
      </c>
      <c r="K1127" s="175" t="s">
        <v>57</v>
      </c>
      <c r="L1127" s="172" t="s">
        <v>56</v>
      </c>
    </row>
    <row r="1128" spans="1:12" x14ac:dyDescent="0.2">
      <c r="A1128" s="172" t="s">
        <v>12</v>
      </c>
      <c r="B1128" s="172" t="s">
        <v>13</v>
      </c>
      <c r="C1128" s="172" t="s">
        <v>21</v>
      </c>
      <c r="D1128" s="172" t="s">
        <v>15</v>
      </c>
      <c r="E1128" s="173">
        <v>42459</v>
      </c>
      <c r="F1128" s="174">
        <v>0.4</v>
      </c>
      <c r="G1128" s="175" t="s">
        <v>16</v>
      </c>
      <c r="H1128" s="172" t="s">
        <v>20</v>
      </c>
      <c r="I1128" s="175">
        <v>1</v>
      </c>
      <c r="J1128" s="175" t="s">
        <v>18</v>
      </c>
      <c r="K1128" s="175" t="s">
        <v>57</v>
      </c>
      <c r="L1128" s="172" t="s">
        <v>56</v>
      </c>
    </row>
    <row r="1129" spans="1:12" x14ac:dyDescent="0.2">
      <c r="A1129" s="172" t="s">
        <v>12</v>
      </c>
      <c r="B1129" s="172" t="s">
        <v>13</v>
      </c>
      <c r="C1129" s="172" t="s">
        <v>21</v>
      </c>
      <c r="D1129" s="172" t="s">
        <v>15</v>
      </c>
      <c r="E1129" s="173">
        <v>42459</v>
      </c>
      <c r="F1129" s="174">
        <v>143.7816</v>
      </c>
      <c r="G1129" s="175" t="s">
        <v>19</v>
      </c>
      <c r="H1129" s="172" t="s">
        <v>20</v>
      </c>
      <c r="I1129" s="175">
        <v>1</v>
      </c>
      <c r="J1129" s="175" t="s">
        <v>18</v>
      </c>
      <c r="K1129" s="175" t="s">
        <v>57</v>
      </c>
      <c r="L1129" s="172" t="s">
        <v>56</v>
      </c>
    </row>
    <row r="1130" spans="1:12" x14ac:dyDescent="0.2">
      <c r="A1130" s="172" t="s">
        <v>12</v>
      </c>
      <c r="B1130" s="172" t="s">
        <v>13</v>
      </c>
      <c r="C1130" s="172" t="s">
        <v>21</v>
      </c>
      <c r="D1130" s="172" t="s">
        <v>15</v>
      </c>
      <c r="E1130" s="173">
        <v>42452</v>
      </c>
      <c r="F1130" s="174">
        <v>1.1824361999999999</v>
      </c>
      <c r="G1130" s="175" t="s">
        <v>16</v>
      </c>
      <c r="H1130" s="172" t="s">
        <v>17</v>
      </c>
      <c r="I1130" s="175">
        <v>1</v>
      </c>
      <c r="J1130" s="175" t="s">
        <v>18</v>
      </c>
      <c r="K1130" s="175" t="s">
        <v>57</v>
      </c>
      <c r="L1130" s="172" t="s">
        <v>56</v>
      </c>
    </row>
    <row r="1131" spans="1:12" x14ac:dyDescent="0.2">
      <c r="A1131" s="172" t="s">
        <v>12</v>
      </c>
      <c r="B1131" s="172" t="s">
        <v>13</v>
      </c>
      <c r="C1131" s="172" t="s">
        <v>21</v>
      </c>
      <c r="D1131" s="172" t="s">
        <v>15</v>
      </c>
      <c r="E1131" s="173">
        <v>42452</v>
      </c>
      <c r="F1131" s="174">
        <v>348.11159989999999</v>
      </c>
      <c r="G1131" s="175" t="s">
        <v>19</v>
      </c>
      <c r="H1131" s="172" t="s">
        <v>17</v>
      </c>
      <c r="I1131" s="175">
        <v>1</v>
      </c>
      <c r="J1131" s="175" t="s">
        <v>18</v>
      </c>
      <c r="K1131" s="175" t="s">
        <v>57</v>
      </c>
      <c r="L1131" s="172" t="s">
        <v>56</v>
      </c>
    </row>
    <row r="1132" spans="1:12" x14ac:dyDescent="0.2">
      <c r="A1132" s="172" t="s">
        <v>12</v>
      </c>
      <c r="B1132" s="172" t="s">
        <v>13</v>
      </c>
      <c r="C1132" s="172" t="s">
        <v>21</v>
      </c>
      <c r="D1132" s="172" t="s">
        <v>15</v>
      </c>
      <c r="E1132" s="173">
        <v>42452</v>
      </c>
      <c r="F1132" s="174">
        <v>0.3</v>
      </c>
      <c r="G1132" s="175" t="s">
        <v>16</v>
      </c>
      <c r="H1132" s="172" t="s">
        <v>20</v>
      </c>
      <c r="I1132" s="175">
        <v>1</v>
      </c>
      <c r="J1132" s="175" t="s">
        <v>18</v>
      </c>
      <c r="K1132" s="175" t="s">
        <v>57</v>
      </c>
      <c r="L1132" s="172" t="s">
        <v>56</v>
      </c>
    </row>
    <row r="1133" spans="1:12" x14ac:dyDescent="0.2">
      <c r="A1133" s="172" t="s">
        <v>12</v>
      </c>
      <c r="B1133" s="172" t="s">
        <v>13</v>
      </c>
      <c r="C1133" s="172" t="s">
        <v>21</v>
      </c>
      <c r="D1133" s="172" t="s">
        <v>15</v>
      </c>
      <c r="E1133" s="173">
        <v>42452</v>
      </c>
      <c r="F1133" s="174">
        <v>90.822599999999994</v>
      </c>
      <c r="G1133" s="175" t="s">
        <v>19</v>
      </c>
      <c r="H1133" s="172" t="s">
        <v>20</v>
      </c>
      <c r="I1133" s="175">
        <v>1</v>
      </c>
      <c r="J1133" s="175" t="s">
        <v>18</v>
      </c>
      <c r="K1133" s="175" t="s">
        <v>57</v>
      </c>
      <c r="L1133" s="172" t="s">
        <v>56</v>
      </c>
    </row>
    <row r="1134" spans="1:12" x14ac:dyDescent="0.2">
      <c r="A1134" s="172" t="s">
        <v>12</v>
      </c>
      <c r="B1134" s="172" t="s">
        <v>13</v>
      </c>
      <c r="C1134" s="172" t="s">
        <v>21</v>
      </c>
      <c r="D1134" s="172" t="s">
        <v>15</v>
      </c>
      <c r="E1134" s="173">
        <v>42445</v>
      </c>
      <c r="F1134" s="174">
        <v>1.2611428</v>
      </c>
      <c r="G1134" s="175" t="s">
        <v>16</v>
      </c>
      <c r="H1134" s="172" t="s">
        <v>17</v>
      </c>
      <c r="I1134" s="175">
        <v>1</v>
      </c>
      <c r="J1134" s="175" t="s">
        <v>18</v>
      </c>
      <c r="K1134" s="175" t="s">
        <v>57</v>
      </c>
      <c r="L1134" s="172" t="s">
        <v>56</v>
      </c>
    </row>
    <row r="1135" spans="1:12" x14ac:dyDescent="0.2">
      <c r="A1135" s="172" t="s">
        <v>12</v>
      </c>
      <c r="B1135" s="172" t="s">
        <v>13</v>
      </c>
      <c r="C1135" s="172" t="s">
        <v>21</v>
      </c>
      <c r="D1135" s="172" t="s">
        <v>15</v>
      </c>
      <c r="E1135" s="173">
        <v>42445</v>
      </c>
      <c r="F1135" s="174">
        <v>552.19140000000004</v>
      </c>
      <c r="G1135" s="175" t="s">
        <v>19</v>
      </c>
      <c r="H1135" s="172" t="s">
        <v>17</v>
      </c>
      <c r="I1135" s="175">
        <v>1</v>
      </c>
      <c r="J1135" s="175" t="s">
        <v>18</v>
      </c>
      <c r="K1135" s="175" t="s">
        <v>57</v>
      </c>
      <c r="L1135" s="172" t="s">
        <v>56</v>
      </c>
    </row>
    <row r="1136" spans="1:12" x14ac:dyDescent="0.2">
      <c r="A1136" s="172" t="s">
        <v>12</v>
      </c>
      <c r="B1136" s="172" t="s">
        <v>13</v>
      </c>
      <c r="C1136" s="172" t="s">
        <v>21</v>
      </c>
      <c r="D1136" s="172" t="s">
        <v>15</v>
      </c>
      <c r="E1136" s="173">
        <v>42445</v>
      </c>
      <c r="F1136" s="174">
        <v>0.2</v>
      </c>
      <c r="G1136" s="175" t="s">
        <v>16</v>
      </c>
      <c r="H1136" s="172" t="s">
        <v>20</v>
      </c>
      <c r="I1136" s="175">
        <v>1</v>
      </c>
      <c r="J1136" s="175" t="s">
        <v>18</v>
      </c>
      <c r="K1136" s="175" t="s">
        <v>57</v>
      </c>
      <c r="L1136" s="172" t="s">
        <v>56</v>
      </c>
    </row>
    <row r="1137" spans="1:12" x14ac:dyDescent="0.2">
      <c r="A1137" s="172" t="s">
        <v>12</v>
      </c>
      <c r="B1137" s="172" t="s">
        <v>13</v>
      </c>
      <c r="C1137" s="172" t="s">
        <v>21</v>
      </c>
      <c r="D1137" s="172" t="s">
        <v>15</v>
      </c>
      <c r="E1137" s="173">
        <v>42445</v>
      </c>
      <c r="F1137" s="174">
        <v>71.723999899999995</v>
      </c>
      <c r="G1137" s="175" t="s">
        <v>19</v>
      </c>
      <c r="H1137" s="172" t="s">
        <v>20</v>
      </c>
      <c r="I1137" s="175">
        <v>1</v>
      </c>
      <c r="J1137" s="175" t="s">
        <v>18</v>
      </c>
      <c r="K1137" s="175" t="s">
        <v>57</v>
      </c>
      <c r="L1137" s="172" t="s">
        <v>56</v>
      </c>
    </row>
    <row r="1138" spans="1:12" x14ac:dyDescent="0.2">
      <c r="A1138" s="172" t="s">
        <v>12</v>
      </c>
      <c r="B1138" s="172" t="s">
        <v>13</v>
      </c>
      <c r="C1138" s="172" t="s">
        <v>21</v>
      </c>
      <c r="D1138" s="172" t="s">
        <v>15</v>
      </c>
      <c r="E1138" s="173">
        <v>42438</v>
      </c>
      <c r="F1138" s="174">
        <v>0.64542120000000003</v>
      </c>
      <c r="G1138" s="175" t="s">
        <v>16</v>
      </c>
      <c r="H1138" s="172" t="s">
        <v>17</v>
      </c>
      <c r="I1138" s="175">
        <v>1</v>
      </c>
      <c r="J1138" s="175" t="s">
        <v>18</v>
      </c>
      <c r="K1138" s="175" t="s">
        <v>57</v>
      </c>
      <c r="L1138" s="172" t="s">
        <v>56</v>
      </c>
    </row>
    <row r="1139" spans="1:12" x14ac:dyDescent="0.2">
      <c r="A1139" s="172" t="s">
        <v>12</v>
      </c>
      <c r="B1139" s="172" t="s">
        <v>13</v>
      </c>
      <c r="C1139" s="172" t="s">
        <v>21</v>
      </c>
      <c r="D1139" s="172" t="s">
        <v>15</v>
      </c>
      <c r="E1139" s="173">
        <v>42438</v>
      </c>
      <c r="F1139" s="174">
        <v>146.95079999999999</v>
      </c>
      <c r="G1139" s="175" t="s">
        <v>19</v>
      </c>
      <c r="H1139" s="172" t="s">
        <v>17</v>
      </c>
      <c r="I1139" s="175">
        <v>1</v>
      </c>
      <c r="J1139" s="175" t="s">
        <v>18</v>
      </c>
      <c r="K1139" s="175" t="s">
        <v>57</v>
      </c>
      <c r="L1139" s="172" t="s">
        <v>56</v>
      </c>
    </row>
    <row r="1140" spans="1:12" x14ac:dyDescent="0.2">
      <c r="A1140" s="172" t="s">
        <v>12</v>
      </c>
      <c r="B1140" s="172" t="s">
        <v>13</v>
      </c>
      <c r="C1140" s="172" t="s">
        <v>21</v>
      </c>
      <c r="D1140" s="172" t="s">
        <v>15</v>
      </c>
      <c r="E1140" s="173">
        <v>42438</v>
      </c>
      <c r="F1140" s="174">
        <v>0.2</v>
      </c>
      <c r="G1140" s="175" t="s">
        <v>16</v>
      </c>
      <c r="H1140" s="172" t="s">
        <v>20</v>
      </c>
      <c r="I1140" s="175">
        <v>1</v>
      </c>
      <c r="J1140" s="175" t="s">
        <v>18</v>
      </c>
      <c r="K1140" s="175" t="s">
        <v>57</v>
      </c>
      <c r="L1140" s="172" t="s">
        <v>56</v>
      </c>
    </row>
    <row r="1141" spans="1:12" x14ac:dyDescent="0.2">
      <c r="A1141" s="172" t="s">
        <v>12</v>
      </c>
      <c r="B1141" s="172" t="s">
        <v>13</v>
      </c>
      <c r="C1141" s="172" t="s">
        <v>21</v>
      </c>
      <c r="D1141" s="172" t="s">
        <v>15</v>
      </c>
      <c r="E1141" s="173">
        <v>42438</v>
      </c>
      <c r="F1141" s="174">
        <v>47.371199900000001</v>
      </c>
      <c r="G1141" s="175" t="s">
        <v>19</v>
      </c>
      <c r="H1141" s="172" t="s">
        <v>20</v>
      </c>
      <c r="I1141" s="175">
        <v>1</v>
      </c>
      <c r="J1141" s="175" t="s">
        <v>18</v>
      </c>
      <c r="K1141" s="175" t="s">
        <v>57</v>
      </c>
      <c r="L1141" s="172" t="s">
        <v>56</v>
      </c>
    </row>
    <row r="1142" spans="1:12" x14ac:dyDescent="0.2">
      <c r="A1142" s="172" t="s">
        <v>12</v>
      </c>
      <c r="B1142" s="172" t="s">
        <v>13</v>
      </c>
      <c r="C1142" s="172" t="s">
        <v>21</v>
      </c>
      <c r="D1142" s="172" t="s">
        <v>15</v>
      </c>
      <c r="E1142" s="173">
        <v>42431</v>
      </c>
      <c r="F1142" s="174">
        <v>0.78059699999999999</v>
      </c>
      <c r="G1142" s="175" t="s">
        <v>16</v>
      </c>
      <c r="H1142" s="172" t="s">
        <v>17</v>
      </c>
      <c r="I1142" s="175">
        <v>1</v>
      </c>
      <c r="J1142" s="175" t="s">
        <v>18</v>
      </c>
      <c r="K1142" s="175" t="s">
        <v>57</v>
      </c>
      <c r="L1142" s="172" t="s">
        <v>56</v>
      </c>
    </row>
    <row r="1143" spans="1:12" x14ac:dyDescent="0.2">
      <c r="A1143" s="172" t="s">
        <v>12</v>
      </c>
      <c r="B1143" s="172" t="s">
        <v>13</v>
      </c>
      <c r="C1143" s="172" t="s">
        <v>21</v>
      </c>
      <c r="D1143" s="172" t="s">
        <v>15</v>
      </c>
      <c r="E1143" s="173">
        <v>42431</v>
      </c>
      <c r="F1143" s="174">
        <v>165.74915999999999</v>
      </c>
      <c r="G1143" s="175" t="s">
        <v>19</v>
      </c>
      <c r="H1143" s="172" t="s">
        <v>17</v>
      </c>
      <c r="I1143" s="175">
        <v>1</v>
      </c>
      <c r="J1143" s="175" t="s">
        <v>18</v>
      </c>
      <c r="K1143" s="175" t="s">
        <v>57</v>
      </c>
      <c r="L1143" s="172" t="s">
        <v>56</v>
      </c>
    </row>
    <row r="1144" spans="1:12" x14ac:dyDescent="0.2">
      <c r="A1144" s="172" t="s">
        <v>12</v>
      </c>
      <c r="B1144" s="172" t="s">
        <v>13</v>
      </c>
      <c r="C1144" s="172" t="s">
        <v>21</v>
      </c>
      <c r="D1144" s="172" t="s">
        <v>15</v>
      </c>
      <c r="E1144" s="173">
        <v>42431</v>
      </c>
      <c r="F1144" s="174">
        <v>0.5</v>
      </c>
      <c r="G1144" s="175" t="s">
        <v>16</v>
      </c>
      <c r="H1144" s="172" t="s">
        <v>20</v>
      </c>
      <c r="I1144" s="175">
        <v>1</v>
      </c>
      <c r="J1144" s="175" t="s">
        <v>18</v>
      </c>
      <c r="K1144" s="175" t="s">
        <v>57</v>
      </c>
      <c r="L1144" s="172" t="s">
        <v>56</v>
      </c>
    </row>
    <row r="1145" spans="1:12" x14ac:dyDescent="0.2">
      <c r="A1145" s="172" t="s">
        <v>12</v>
      </c>
      <c r="B1145" s="172" t="s">
        <v>13</v>
      </c>
      <c r="C1145" s="172" t="s">
        <v>21</v>
      </c>
      <c r="D1145" s="172" t="s">
        <v>15</v>
      </c>
      <c r="E1145" s="173">
        <v>42431</v>
      </c>
      <c r="F1145" s="174">
        <v>112.59</v>
      </c>
      <c r="G1145" s="175" t="s">
        <v>19</v>
      </c>
      <c r="H1145" s="172" t="s">
        <v>20</v>
      </c>
      <c r="I1145" s="175">
        <v>1</v>
      </c>
      <c r="J1145" s="175" t="s">
        <v>18</v>
      </c>
      <c r="K1145" s="175" t="s">
        <v>57</v>
      </c>
      <c r="L1145" s="172" t="s">
        <v>56</v>
      </c>
    </row>
    <row r="1146" spans="1:12" x14ac:dyDescent="0.2">
      <c r="A1146" s="172" t="s">
        <v>12</v>
      </c>
      <c r="B1146" s="172" t="s">
        <v>13</v>
      </c>
      <c r="C1146" s="172" t="s">
        <v>21</v>
      </c>
      <c r="D1146" s="172" t="s">
        <v>15</v>
      </c>
      <c r="E1146" s="173">
        <v>42424</v>
      </c>
      <c r="F1146" s="174">
        <v>0.135018</v>
      </c>
      <c r="G1146" s="175" t="s">
        <v>16</v>
      </c>
      <c r="H1146" s="172" t="s">
        <v>17</v>
      </c>
      <c r="I1146" s="175">
        <v>1</v>
      </c>
      <c r="J1146" s="175" t="s">
        <v>18</v>
      </c>
      <c r="K1146" s="175" t="s">
        <v>57</v>
      </c>
      <c r="L1146" s="172" t="s">
        <v>56</v>
      </c>
    </row>
    <row r="1147" spans="1:12" x14ac:dyDescent="0.2">
      <c r="A1147" s="172" t="s">
        <v>12</v>
      </c>
      <c r="B1147" s="172" t="s">
        <v>13</v>
      </c>
      <c r="C1147" s="172" t="s">
        <v>21</v>
      </c>
      <c r="D1147" s="172" t="s">
        <v>15</v>
      </c>
      <c r="E1147" s="173">
        <v>42424</v>
      </c>
      <c r="F1147" s="174">
        <v>31.191600000000001</v>
      </c>
      <c r="G1147" s="175" t="s">
        <v>19</v>
      </c>
      <c r="H1147" s="172" t="s">
        <v>17</v>
      </c>
      <c r="I1147" s="175">
        <v>1</v>
      </c>
      <c r="J1147" s="175" t="s">
        <v>18</v>
      </c>
      <c r="K1147" s="175" t="s">
        <v>57</v>
      </c>
      <c r="L1147" s="172" t="s">
        <v>56</v>
      </c>
    </row>
    <row r="1148" spans="1:12" x14ac:dyDescent="0.2">
      <c r="A1148" s="172" t="s">
        <v>12</v>
      </c>
      <c r="B1148" s="172" t="s">
        <v>13</v>
      </c>
      <c r="C1148" s="172" t="s">
        <v>21</v>
      </c>
      <c r="D1148" s="172" t="s">
        <v>15</v>
      </c>
      <c r="E1148" s="173">
        <v>42424</v>
      </c>
      <c r="F1148" s="174">
        <v>0.3</v>
      </c>
      <c r="G1148" s="175" t="s">
        <v>16</v>
      </c>
      <c r="H1148" s="172" t="s">
        <v>20</v>
      </c>
      <c r="I1148" s="175">
        <v>1</v>
      </c>
      <c r="J1148" s="175" t="s">
        <v>18</v>
      </c>
      <c r="K1148" s="175" t="s">
        <v>57</v>
      </c>
      <c r="L1148" s="172" t="s">
        <v>56</v>
      </c>
    </row>
    <row r="1149" spans="1:12" x14ac:dyDescent="0.2">
      <c r="A1149" s="172" t="s">
        <v>12</v>
      </c>
      <c r="B1149" s="172" t="s">
        <v>13</v>
      </c>
      <c r="C1149" s="172" t="s">
        <v>21</v>
      </c>
      <c r="D1149" s="172" t="s">
        <v>15</v>
      </c>
      <c r="E1149" s="173">
        <v>42424</v>
      </c>
      <c r="F1149" s="174">
        <v>72.808199999999999</v>
      </c>
      <c r="G1149" s="175" t="s">
        <v>19</v>
      </c>
      <c r="H1149" s="172" t="s">
        <v>20</v>
      </c>
      <c r="I1149" s="175">
        <v>1</v>
      </c>
      <c r="J1149" s="175" t="s">
        <v>18</v>
      </c>
      <c r="K1149" s="175" t="s">
        <v>57</v>
      </c>
      <c r="L1149" s="172" t="s">
        <v>56</v>
      </c>
    </row>
    <row r="1150" spans="1:12" x14ac:dyDescent="0.2">
      <c r="A1150" s="172" t="s">
        <v>12</v>
      </c>
      <c r="B1150" s="172" t="s">
        <v>13</v>
      </c>
      <c r="C1150" s="172" t="s">
        <v>21</v>
      </c>
      <c r="D1150" s="172" t="s">
        <v>15</v>
      </c>
      <c r="E1150" s="173">
        <v>42417</v>
      </c>
      <c r="F1150" s="174">
        <v>0.94173790000000002</v>
      </c>
      <c r="G1150" s="175" t="s">
        <v>16</v>
      </c>
      <c r="H1150" s="172" t="s">
        <v>17</v>
      </c>
      <c r="I1150" s="175">
        <v>1</v>
      </c>
      <c r="J1150" s="175" t="s">
        <v>18</v>
      </c>
      <c r="K1150" s="175" t="s">
        <v>57</v>
      </c>
      <c r="L1150" s="172" t="s">
        <v>56</v>
      </c>
    </row>
    <row r="1151" spans="1:12" x14ac:dyDescent="0.2">
      <c r="A1151" s="172" t="s">
        <v>12</v>
      </c>
      <c r="B1151" s="172" t="s">
        <v>13</v>
      </c>
      <c r="C1151" s="172" t="s">
        <v>21</v>
      </c>
      <c r="D1151" s="172" t="s">
        <v>15</v>
      </c>
      <c r="E1151" s="173">
        <v>42417</v>
      </c>
      <c r="F1151" s="174">
        <v>174.4394399</v>
      </c>
      <c r="G1151" s="175" t="s">
        <v>19</v>
      </c>
      <c r="H1151" s="172" t="s">
        <v>17</v>
      </c>
      <c r="I1151" s="175">
        <v>1</v>
      </c>
      <c r="J1151" s="175" t="s">
        <v>18</v>
      </c>
      <c r="K1151" s="175" t="s">
        <v>57</v>
      </c>
      <c r="L1151" s="172" t="s">
        <v>56</v>
      </c>
    </row>
    <row r="1152" spans="1:12" x14ac:dyDescent="0.2">
      <c r="A1152" s="172" t="s">
        <v>12</v>
      </c>
      <c r="B1152" s="172" t="s">
        <v>13</v>
      </c>
      <c r="C1152" s="172" t="s">
        <v>21</v>
      </c>
      <c r="D1152" s="172" t="s">
        <v>15</v>
      </c>
      <c r="E1152" s="173">
        <v>42417</v>
      </c>
      <c r="F1152" s="174">
        <v>0.1</v>
      </c>
      <c r="G1152" s="175" t="s">
        <v>16</v>
      </c>
      <c r="H1152" s="172" t="s">
        <v>20</v>
      </c>
      <c r="I1152" s="175">
        <v>1</v>
      </c>
      <c r="J1152" s="175" t="s">
        <v>18</v>
      </c>
      <c r="K1152" s="175" t="s">
        <v>57</v>
      </c>
      <c r="L1152" s="172" t="s">
        <v>56</v>
      </c>
    </row>
    <row r="1153" spans="1:12" x14ac:dyDescent="0.2">
      <c r="A1153" s="172" t="s">
        <v>12</v>
      </c>
      <c r="B1153" s="172" t="s">
        <v>13</v>
      </c>
      <c r="C1153" s="172" t="s">
        <v>21</v>
      </c>
      <c r="D1153" s="172" t="s">
        <v>15</v>
      </c>
      <c r="E1153" s="173">
        <v>42417</v>
      </c>
      <c r="F1153" s="174">
        <v>20.349599999999999</v>
      </c>
      <c r="G1153" s="175" t="s">
        <v>19</v>
      </c>
      <c r="H1153" s="172" t="s">
        <v>20</v>
      </c>
      <c r="I1153" s="175">
        <v>1</v>
      </c>
      <c r="J1153" s="175" t="s">
        <v>18</v>
      </c>
      <c r="K1153" s="175" t="s">
        <v>57</v>
      </c>
      <c r="L1153" s="172" t="s">
        <v>56</v>
      </c>
    </row>
    <row r="1154" spans="1:12" x14ac:dyDescent="0.2">
      <c r="A1154" s="172" t="s">
        <v>12</v>
      </c>
      <c r="B1154" s="172" t="s">
        <v>13</v>
      </c>
      <c r="C1154" s="172" t="s">
        <v>21</v>
      </c>
      <c r="D1154" s="172" t="s">
        <v>15</v>
      </c>
      <c r="E1154" s="173">
        <v>42410</v>
      </c>
      <c r="F1154" s="174">
        <v>1.0058775</v>
      </c>
      <c r="G1154" s="175" t="s">
        <v>16</v>
      </c>
      <c r="H1154" s="172" t="s">
        <v>17</v>
      </c>
      <c r="I1154" s="175">
        <v>1</v>
      </c>
      <c r="J1154" s="175" t="s">
        <v>18</v>
      </c>
      <c r="K1154" s="175" t="s">
        <v>57</v>
      </c>
      <c r="L1154" s="172" t="s">
        <v>56</v>
      </c>
    </row>
    <row r="1155" spans="1:12" x14ac:dyDescent="0.2">
      <c r="A1155" s="172" t="s">
        <v>12</v>
      </c>
      <c r="B1155" s="172" t="s">
        <v>13</v>
      </c>
      <c r="C1155" s="172" t="s">
        <v>21</v>
      </c>
      <c r="D1155" s="172" t="s">
        <v>15</v>
      </c>
      <c r="E1155" s="173">
        <v>42410</v>
      </c>
      <c r="F1155" s="174">
        <v>205.53095999999999</v>
      </c>
      <c r="G1155" s="175" t="s">
        <v>19</v>
      </c>
      <c r="H1155" s="172" t="s">
        <v>17</v>
      </c>
      <c r="I1155" s="175">
        <v>1</v>
      </c>
      <c r="J1155" s="175" t="s">
        <v>18</v>
      </c>
      <c r="K1155" s="175" t="s">
        <v>57</v>
      </c>
      <c r="L1155" s="172" t="s">
        <v>56</v>
      </c>
    </row>
    <row r="1156" spans="1:12" x14ac:dyDescent="0.2">
      <c r="A1156" s="172" t="s">
        <v>12</v>
      </c>
      <c r="B1156" s="172" t="s">
        <v>13</v>
      </c>
      <c r="C1156" s="172" t="s">
        <v>21</v>
      </c>
      <c r="D1156" s="172" t="s">
        <v>15</v>
      </c>
      <c r="E1156" s="173">
        <v>42410</v>
      </c>
      <c r="F1156" s="174">
        <v>0.2</v>
      </c>
      <c r="G1156" s="175" t="s">
        <v>16</v>
      </c>
      <c r="H1156" s="172" t="s">
        <v>20</v>
      </c>
      <c r="I1156" s="175">
        <v>1</v>
      </c>
      <c r="J1156" s="175" t="s">
        <v>18</v>
      </c>
      <c r="K1156" s="175" t="s">
        <v>57</v>
      </c>
      <c r="L1156" s="172" t="s">
        <v>56</v>
      </c>
    </row>
    <row r="1157" spans="1:12" x14ac:dyDescent="0.2">
      <c r="A1157" s="172" t="s">
        <v>12</v>
      </c>
      <c r="B1157" s="172" t="s">
        <v>13</v>
      </c>
      <c r="C1157" s="172" t="s">
        <v>21</v>
      </c>
      <c r="D1157" s="172" t="s">
        <v>15</v>
      </c>
      <c r="E1157" s="173">
        <v>42410</v>
      </c>
      <c r="F1157" s="174">
        <v>44.3688</v>
      </c>
      <c r="G1157" s="175" t="s">
        <v>19</v>
      </c>
      <c r="H1157" s="172" t="s">
        <v>20</v>
      </c>
      <c r="I1157" s="175">
        <v>1</v>
      </c>
      <c r="J1157" s="175" t="s">
        <v>18</v>
      </c>
      <c r="K1157" s="175" t="s">
        <v>57</v>
      </c>
      <c r="L1157" s="172" t="s">
        <v>56</v>
      </c>
    </row>
    <row r="1158" spans="1:12" x14ac:dyDescent="0.2">
      <c r="A1158" s="172" t="s">
        <v>12</v>
      </c>
      <c r="B1158" s="172" t="s">
        <v>13</v>
      </c>
      <c r="C1158" s="172" t="s">
        <v>21</v>
      </c>
      <c r="D1158" s="172" t="s">
        <v>15</v>
      </c>
      <c r="E1158" s="173">
        <v>42403</v>
      </c>
      <c r="F1158" s="174">
        <v>1.3275448999999999</v>
      </c>
      <c r="G1158" s="175" t="s">
        <v>16</v>
      </c>
      <c r="H1158" s="172" t="s">
        <v>17</v>
      </c>
      <c r="I1158" s="175">
        <v>1</v>
      </c>
      <c r="J1158" s="175" t="s">
        <v>18</v>
      </c>
      <c r="K1158" s="175" t="s">
        <v>57</v>
      </c>
      <c r="L1158" s="172" t="s">
        <v>56</v>
      </c>
    </row>
    <row r="1159" spans="1:12" x14ac:dyDescent="0.2">
      <c r="A1159" s="172" t="s">
        <v>12</v>
      </c>
      <c r="B1159" s="172" t="s">
        <v>13</v>
      </c>
      <c r="C1159" s="172" t="s">
        <v>21</v>
      </c>
      <c r="D1159" s="172" t="s">
        <v>15</v>
      </c>
      <c r="E1159" s="173">
        <v>42403</v>
      </c>
      <c r="F1159" s="174">
        <v>369.79559999999998</v>
      </c>
      <c r="G1159" s="175" t="s">
        <v>19</v>
      </c>
      <c r="H1159" s="172" t="s">
        <v>17</v>
      </c>
      <c r="I1159" s="175">
        <v>1</v>
      </c>
      <c r="J1159" s="175" t="s">
        <v>18</v>
      </c>
      <c r="K1159" s="175" t="s">
        <v>57</v>
      </c>
      <c r="L1159" s="172" t="s">
        <v>56</v>
      </c>
    </row>
    <row r="1160" spans="1:12" x14ac:dyDescent="0.2">
      <c r="A1160" s="172" t="s">
        <v>12</v>
      </c>
      <c r="B1160" s="172" t="s">
        <v>13</v>
      </c>
      <c r="C1160" s="172" t="s">
        <v>21</v>
      </c>
      <c r="D1160" s="172" t="s">
        <v>15</v>
      </c>
      <c r="E1160" s="173">
        <v>42403</v>
      </c>
      <c r="F1160" s="174">
        <v>0.6</v>
      </c>
      <c r="G1160" s="175" t="s">
        <v>16</v>
      </c>
      <c r="H1160" s="172" t="s">
        <v>20</v>
      </c>
      <c r="I1160" s="175">
        <v>1</v>
      </c>
      <c r="J1160" s="175" t="s">
        <v>18</v>
      </c>
      <c r="K1160" s="175" t="s">
        <v>57</v>
      </c>
      <c r="L1160" s="172" t="s">
        <v>56</v>
      </c>
    </row>
    <row r="1161" spans="1:12" x14ac:dyDescent="0.2">
      <c r="A1161" s="172" t="s">
        <v>12</v>
      </c>
      <c r="B1161" s="172" t="s">
        <v>13</v>
      </c>
      <c r="C1161" s="172" t="s">
        <v>21</v>
      </c>
      <c r="D1161" s="172" t="s">
        <v>15</v>
      </c>
      <c r="E1161" s="173">
        <v>42403</v>
      </c>
      <c r="F1161" s="174">
        <v>177.14159989999999</v>
      </c>
      <c r="G1161" s="175" t="s">
        <v>19</v>
      </c>
      <c r="H1161" s="172" t="s">
        <v>20</v>
      </c>
      <c r="I1161" s="175">
        <v>1</v>
      </c>
      <c r="J1161" s="175" t="s">
        <v>18</v>
      </c>
      <c r="K1161" s="175" t="s">
        <v>57</v>
      </c>
      <c r="L1161" s="172" t="s">
        <v>56</v>
      </c>
    </row>
    <row r="1162" spans="1:12" x14ac:dyDescent="0.2">
      <c r="A1162" s="172" t="s">
        <v>12</v>
      </c>
      <c r="B1162" s="172" t="s">
        <v>13</v>
      </c>
      <c r="C1162" s="172" t="s">
        <v>21</v>
      </c>
      <c r="D1162" s="172" t="s">
        <v>15</v>
      </c>
      <c r="E1162" s="173">
        <v>42396</v>
      </c>
      <c r="F1162" s="174">
        <v>0.48972599999999999</v>
      </c>
      <c r="G1162" s="175" t="s">
        <v>16</v>
      </c>
      <c r="H1162" s="172" t="s">
        <v>17</v>
      </c>
      <c r="I1162" s="175">
        <v>1</v>
      </c>
      <c r="J1162" s="175" t="s">
        <v>18</v>
      </c>
      <c r="K1162" s="175" t="s">
        <v>57</v>
      </c>
      <c r="L1162" s="172" t="s">
        <v>56</v>
      </c>
    </row>
    <row r="1163" spans="1:12" x14ac:dyDescent="0.2">
      <c r="A1163" s="172" t="s">
        <v>12</v>
      </c>
      <c r="B1163" s="172" t="s">
        <v>13</v>
      </c>
      <c r="C1163" s="172" t="s">
        <v>21</v>
      </c>
      <c r="D1163" s="172" t="s">
        <v>15</v>
      </c>
      <c r="E1163" s="173">
        <v>42396</v>
      </c>
      <c r="F1163" s="174">
        <v>119.26199990000001</v>
      </c>
      <c r="G1163" s="175" t="s">
        <v>19</v>
      </c>
      <c r="H1163" s="172" t="s">
        <v>17</v>
      </c>
      <c r="I1163" s="175">
        <v>1</v>
      </c>
      <c r="J1163" s="175" t="s">
        <v>18</v>
      </c>
      <c r="K1163" s="175" t="s">
        <v>57</v>
      </c>
      <c r="L1163" s="172" t="s">
        <v>56</v>
      </c>
    </row>
    <row r="1164" spans="1:12" x14ac:dyDescent="0.2">
      <c r="A1164" s="172" t="s">
        <v>12</v>
      </c>
      <c r="B1164" s="172" t="s">
        <v>13</v>
      </c>
      <c r="C1164" s="172" t="s">
        <v>21</v>
      </c>
      <c r="D1164" s="172" t="s">
        <v>15</v>
      </c>
      <c r="E1164" s="173">
        <v>42396</v>
      </c>
      <c r="F1164" s="174">
        <v>0.3</v>
      </c>
      <c r="G1164" s="175" t="s">
        <v>16</v>
      </c>
      <c r="H1164" s="172" t="s">
        <v>20</v>
      </c>
      <c r="I1164" s="175">
        <v>1</v>
      </c>
      <c r="J1164" s="175" t="s">
        <v>18</v>
      </c>
      <c r="K1164" s="175" t="s">
        <v>57</v>
      </c>
      <c r="L1164" s="172" t="s">
        <v>56</v>
      </c>
    </row>
    <row r="1165" spans="1:12" x14ac:dyDescent="0.2">
      <c r="A1165" s="172" t="s">
        <v>12</v>
      </c>
      <c r="B1165" s="172" t="s">
        <v>13</v>
      </c>
      <c r="C1165" s="172" t="s">
        <v>21</v>
      </c>
      <c r="D1165" s="172" t="s">
        <v>15</v>
      </c>
      <c r="E1165" s="173">
        <v>42396</v>
      </c>
      <c r="F1165" s="174">
        <v>77.561999900000004</v>
      </c>
      <c r="G1165" s="175" t="s">
        <v>19</v>
      </c>
      <c r="H1165" s="172" t="s">
        <v>20</v>
      </c>
      <c r="I1165" s="175">
        <v>1</v>
      </c>
      <c r="J1165" s="175" t="s">
        <v>18</v>
      </c>
      <c r="K1165" s="175" t="s">
        <v>57</v>
      </c>
      <c r="L1165" s="172" t="s">
        <v>56</v>
      </c>
    </row>
    <row r="1166" spans="1:12" x14ac:dyDescent="0.2">
      <c r="A1166" s="172" t="s">
        <v>12</v>
      </c>
      <c r="B1166" s="172" t="s">
        <v>13</v>
      </c>
      <c r="C1166" s="172" t="s">
        <v>21</v>
      </c>
      <c r="D1166" s="172" t="s">
        <v>15</v>
      </c>
      <c r="E1166" s="173">
        <v>42389</v>
      </c>
      <c r="F1166" s="174">
        <v>2.9057056999999999</v>
      </c>
      <c r="G1166" s="175" t="s">
        <v>16</v>
      </c>
      <c r="H1166" s="172" t="s">
        <v>17</v>
      </c>
      <c r="I1166" s="175">
        <v>1</v>
      </c>
      <c r="J1166" s="175" t="s">
        <v>18</v>
      </c>
      <c r="K1166" s="175" t="s">
        <v>57</v>
      </c>
      <c r="L1166" s="172" t="s">
        <v>56</v>
      </c>
    </row>
    <row r="1167" spans="1:12" x14ac:dyDescent="0.2">
      <c r="A1167" s="172" t="s">
        <v>12</v>
      </c>
      <c r="B1167" s="172" t="s">
        <v>13</v>
      </c>
      <c r="C1167" s="172" t="s">
        <v>21</v>
      </c>
      <c r="D1167" s="172" t="s">
        <v>15</v>
      </c>
      <c r="E1167" s="173">
        <v>42389</v>
      </c>
      <c r="F1167" s="174">
        <v>806.97839999999997</v>
      </c>
      <c r="G1167" s="175" t="s">
        <v>19</v>
      </c>
      <c r="H1167" s="172" t="s">
        <v>17</v>
      </c>
      <c r="I1167" s="175">
        <v>1</v>
      </c>
      <c r="J1167" s="175" t="s">
        <v>18</v>
      </c>
      <c r="K1167" s="175" t="s">
        <v>57</v>
      </c>
      <c r="L1167" s="172" t="s">
        <v>56</v>
      </c>
    </row>
    <row r="1168" spans="1:12" x14ac:dyDescent="0.2">
      <c r="A1168" s="172" t="s">
        <v>12</v>
      </c>
      <c r="B1168" s="172" t="s">
        <v>13</v>
      </c>
      <c r="C1168" s="172" t="s">
        <v>21</v>
      </c>
      <c r="D1168" s="172" t="s">
        <v>15</v>
      </c>
      <c r="E1168" s="173">
        <v>42389</v>
      </c>
      <c r="F1168" s="174">
        <v>0.9</v>
      </c>
      <c r="G1168" s="175" t="s">
        <v>16</v>
      </c>
      <c r="H1168" s="172" t="s">
        <v>20</v>
      </c>
      <c r="I1168" s="175">
        <v>1</v>
      </c>
      <c r="J1168" s="175" t="s">
        <v>18</v>
      </c>
      <c r="K1168" s="175" t="s">
        <v>57</v>
      </c>
      <c r="L1168" s="172" t="s">
        <v>56</v>
      </c>
    </row>
    <row r="1169" spans="1:12" x14ac:dyDescent="0.2">
      <c r="A1169" s="172" t="s">
        <v>12</v>
      </c>
      <c r="B1169" s="172" t="s">
        <v>13</v>
      </c>
      <c r="C1169" s="172" t="s">
        <v>21</v>
      </c>
      <c r="D1169" s="172" t="s">
        <v>15</v>
      </c>
      <c r="E1169" s="173">
        <v>42389</v>
      </c>
      <c r="F1169" s="174">
        <v>266.4629999</v>
      </c>
      <c r="G1169" s="175" t="s">
        <v>19</v>
      </c>
      <c r="H1169" s="172" t="s">
        <v>20</v>
      </c>
      <c r="I1169" s="175">
        <v>1</v>
      </c>
      <c r="J1169" s="175" t="s">
        <v>18</v>
      </c>
      <c r="K1169" s="175" t="s">
        <v>57</v>
      </c>
      <c r="L1169" s="172" t="s">
        <v>56</v>
      </c>
    </row>
    <row r="1170" spans="1:12" x14ac:dyDescent="0.2">
      <c r="A1170" s="172" t="s">
        <v>12</v>
      </c>
      <c r="B1170" s="172" t="s">
        <v>13</v>
      </c>
      <c r="C1170" s="172" t="s">
        <v>21</v>
      </c>
      <c r="D1170" s="172" t="s">
        <v>15</v>
      </c>
      <c r="E1170" s="173">
        <v>42382</v>
      </c>
      <c r="F1170" s="174">
        <v>0.27698630000000002</v>
      </c>
      <c r="G1170" s="175" t="s">
        <v>16</v>
      </c>
      <c r="H1170" s="172" t="s">
        <v>17</v>
      </c>
      <c r="I1170" s="175">
        <v>1</v>
      </c>
      <c r="J1170" s="175" t="s">
        <v>18</v>
      </c>
      <c r="K1170" s="175" t="s">
        <v>57</v>
      </c>
      <c r="L1170" s="172" t="s">
        <v>56</v>
      </c>
    </row>
    <row r="1171" spans="1:12" x14ac:dyDescent="0.2">
      <c r="A1171" s="172" t="s">
        <v>12</v>
      </c>
      <c r="B1171" s="172" t="s">
        <v>13</v>
      </c>
      <c r="C1171" s="172" t="s">
        <v>21</v>
      </c>
      <c r="D1171" s="172" t="s">
        <v>15</v>
      </c>
      <c r="E1171" s="173">
        <v>42382</v>
      </c>
      <c r="F1171" s="174">
        <v>84.317399899999998</v>
      </c>
      <c r="G1171" s="175" t="s">
        <v>19</v>
      </c>
      <c r="H1171" s="172" t="s">
        <v>17</v>
      </c>
      <c r="I1171" s="175">
        <v>1</v>
      </c>
      <c r="J1171" s="175" t="s">
        <v>18</v>
      </c>
      <c r="K1171" s="175" t="s">
        <v>57</v>
      </c>
      <c r="L1171" s="172" t="s">
        <v>56</v>
      </c>
    </row>
    <row r="1172" spans="1:12" x14ac:dyDescent="0.2">
      <c r="A1172" s="172" t="s">
        <v>12</v>
      </c>
      <c r="B1172" s="172" t="s">
        <v>13</v>
      </c>
      <c r="C1172" s="172" t="s">
        <v>21</v>
      </c>
      <c r="D1172" s="172" t="s">
        <v>15</v>
      </c>
      <c r="E1172" s="173">
        <v>42382</v>
      </c>
      <c r="F1172" s="174">
        <v>0.3</v>
      </c>
      <c r="G1172" s="175" t="s">
        <v>16</v>
      </c>
      <c r="H1172" s="172" t="s">
        <v>20</v>
      </c>
      <c r="I1172" s="175">
        <v>1</v>
      </c>
      <c r="J1172" s="175" t="s">
        <v>18</v>
      </c>
      <c r="K1172" s="175" t="s">
        <v>57</v>
      </c>
      <c r="L1172" s="172" t="s">
        <v>56</v>
      </c>
    </row>
    <row r="1173" spans="1:12" x14ac:dyDescent="0.2">
      <c r="A1173" s="172" t="s">
        <v>12</v>
      </c>
      <c r="B1173" s="172" t="s">
        <v>13</v>
      </c>
      <c r="C1173" s="172" t="s">
        <v>21</v>
      </c>
      <c r="D1173" s="172" t="s">
        <v>15</v>
      </c>
      <c r="E1173" s="173">
        <v>42382</v>
      </c>
      <c r="F1173" s="174">
        <v>94.825799900000007</v>
      </c>
      <c r="G1173" s="175" t="s">
        <v>19</v>
      </c>
      <c r="H1173" s="172" t="s">
        <v>20</v>
      </c>
      <c r="I1173" s="175">
        <v>1</v>
      </c>
      <c r="J1173" s="175" t="s">
        <v>18</v>
      </c>
      <c r="K1173" s="175" t="s">
        <v>57</v>
      </c>
      <c r="L1173" s="172" t="s">
        <v>56</v>
      </c>
    </row>
    <row r="1174" spans="1:12" x14ac:dyDescent="0.2">
      <c r="A1174" s="172" t="s">
        <v>12</v>
      </c>
      <c r="B1174" s="172" t="s">
        <v>13</v>
      </c>
      <c r="C1174" s="172" t="s">
        <v>21</v>
      </c>
      <c r="D1174" s="172" t="s">
        <v>15</v>
      </c>
      <c r="E1174" s="173">
        <v>42376</v>
      </c>
      <c r="F1174" s="174">
        <v>0.19743579999999999</v>
      </c>
      <c r="G1174" s="175" t="s">
        <v>16</v>
      </c>
      <c r="H1174" s="172" t="s">
        <v>17</v>
      </c>
      <c r="I1174" s="175">
        <v>1</v>
      </c>
      <c r="J1174" s="175" t="s">
        <v>18</v>
      </c>
      <c r="K1174" s="175" t="s">
        <v>57</v>
      </c>
      <c r="L1174" s="172" t="s">
        <v>56</v>
      </c>
    </row>
    <row r="1175" spans="1:12" x14ac:dyDescent="0.2">
      <c r="A1175" s="172" t="s">
        <v>12</v>
      </c>
      <c r="B1175" s="172" t="s">
        <v>13</v>
      </c>
      <c r="C1175" s="172" t="s">
        <v>21</v>
      </c>
      <c r="D1175" s="172" t="s">
        <v>15</v>
      </c>
      <c r="E1175" s="173">
        <v>42376</v>
      </c>
      <c r="F1175" s="174">
        <v>57.796199999999999</v>
      </c>
      <c r="G1175" s="175" t="s">
        <v>19</v>
      </c>
      <c r="H1175" s="172" t="s">
        <v>17</v>
      </c>
      <c r="I1175" s="175">
        <v>1</v>
      </c>
      <c r="J1175" s="175" t="s">
        <v>18</v>
      </c>
      <c r="K1175" s="175" t="s">
        <v>57</v>
      </c>
      <c r="L1175" s="172" t="s">
        <v>56</v>
      </c>
    </row>
    <row r="1176" spans="1:12" x14ac:dyDescent="0.2">
      <c r="A1176" s="172" t="s">
        <v>12</v>
      </c>
      <c r="B1176" s="172" t="s">
        <v>13</v>
      </c>
      <c r="C1176" s="172" t="s">
        <v>21</v>
      </c>
      <c r="D1176" s="172" t="s">
        <v>15</v>
      </c>
      <c r="E1176" s="173">
        <v>42376</v>
      </c>
      <c r="F1176" s="174">
        <v>0.1</v>
      </c>
      <c r="G1176" s="175" t="s">
        <v>16</v>
      </c>
      <c r="H1176" s="172" t="s">
        <v>20</v>
      </c>
      <c r="I1176" s="175">
        <v>1</v>
      </c>
      <c r="J1176" s="175" t="s">
        <v>18</v>
      </c>
      <c r="K1176" s="175" t="s">
        <v>57</v>
      </c>
      <c r="L1176" s="172" t="s">
        <v>56</v>
      </c>
    </row>
    <row r="1177" spans="1:12" x14ac:dyDescent="0.2">
      <c r="A1177" s="172" t="s">
        <v>12</v>
      </c>
      <c r="B1177" s="172" t="s">
        <v>13</v>
      </c>
      <c r="C1177" s="172" t="s">
        <v>21</v>
      </c>
      <c r="D1177" s="172" t="s">
        <v>15</v>
      </c>
      <c r="E1177" s="173">
        <v>42376</v>
      </c>
      <c r="F1177" s="174">
        <v>31.775400000000001</v>
      </c>
      <c r="G1177" s="175" t="s">
        <v>19</v>
      </c>
      <c r="H1177" s="172" t="s">
        <v>20</v>
      </c>
      <c r="I1177" s="175">
        <v>1</v>
      </c>
      <c r="J1177" s="175" t="s">
        <v>18</v>
      </c>
      <c r="K1177" s="175" t="s">
        <v>57</v>
      </c>
      <c r="L1177" s="172" t="s">
        <v>56</v>
      </c>
    </row>
    <row r="1178" spans="1:12" x14ac:dyDescent="0.2">
      <c r="A1178" s="172" t="s">
        <v>12</v>
      </c>
      <c r="B1178" s="172" t="s">
        <v>13</v>
      </c>
      <c r="C1178" s="172" t="s">
        <v>21</v>
      </c>
      <c r="D1178" s="172" t="s">
        <v>15</v>
      </c>
      <c r="E1178" s="173">
        <v>42367</v>
      </c>
      <c r="F1178" s="174">
        <v>1.9602968000000001</v>
      </c>
      <c r="G1178" s="175" t="s">
        <v>16</v>
      </c>
      <c r="H1178" s="172" t="s">
        <v>17</v>
      </c>
      <c r="I1178" s="175">
        <v>1</v>
      </c>
      <c r="J1178" s="175" t="s">
        <v>18</v>
      </c>
      <c r="K1178" s="175" t="s">
        <v>57</v>
      </c>
      <c r="L1178" s="172" t="s">
        <v>56</v>
      </c>
    </row>
    <row r="1179" spans="1:12" x14ac:dyDescent="0.2">
      <c r="A1179" s="172" t="s">
        <v>12</v>
      </c>
      <c r="B1179" s="172" t="s">
        <v>13</v>
      </c>
      <c r="C1179" s="172" t="s">
        <v>21</v>
      </c>
      <c r="D1179" s="172" t="s">
        <v>15</v>
      </c>
      <c r="E1179" s="173">
        <v>42367</v>
      </c>
      <c r="F1179" s="174">
        <v>881.20439999999996</v>
      </c>
      <c r="G1179" s="175" t="s">
        <v>19</v>
      </c>
      <c r="H1179" s="172" t="s">
        <v>17</v>
      </c>
      <c r="I1179" s="175">
        <v>1</v>
      </c>
      <c r="J1179" s="175" t="s">
        <v>18</v>
      </c>
      <c r="K1179" s="175" t="s">
        <v>57</v>
      </c>
      <c r="L1179" s="172" t="s">
        <v>56</v>
      </c>
    </row>
    <row r="1180" spans="1:12" x14ac:dyDescent="0.2">
      <c r="A1180" s="172" t="s">
        <v>12</v>
      </c>
      <c r="B1180" s="172" t="s">
        <v>13</v>
      </c>
      <c r="C1180" s="172" t="s">
        <v>21</v>
      </c>
      <c r="D1180" s="172" t="s">
        <v>15</v>
      </c>
      <c r="E1180" s="173">
        <v>42367</v>
      </c>
      <c r="F1180" s="174">
        <v>1.3</v>
      </c>
      <c r="G1180" s="175" t="s">
        <v>16</v>
      </c>
      <c r="H1180" s="172" t="s">
        <v>20</v>
      </c>
      <c r="I1180" s="175">
        <v>1</v>
      </c>
      <c r="J1180" s="175" t="s">
        <v>18</v>
      </c>
      <c r="K1180" s="175" t="s">
        <v>57</v>
      </c>
      <c r="L1180" s="172" t="s">
        <v>56</v>
      </c>
    </row>
    <row r="1181" spans="1:12" x14ac:dyDescent="0.2">
      <c r="A1181" s="172" t="s">
        <v>12</v>
      </c>
      <c r="B1181" s="172" t="s">
        <v>13</v>
      </c>
      <c r="C1181" s="172" t="s">
        <v>21</v>
      </c>
      <c r="D1181" s="172" t="s">
        <v>15</v>
      </c>
      <c r="E1181" s="173">
        <v>42367</v>
      </c>
      <c r="F1181" s="174">
        <v>488.9742</v>
      </c>
      <c r="G1181" s="175" t="s">
        <v>19</v>
      </c>
      <c r="H1181" s="172" t="s">
        <v>20</v>
      </c>
      <c r="I1181" s="175">
        <v>1</v>
      </c>
      <c r="J1181" s="175" t="s">
        <v>18</v>
      </c>
      <c r="K1181" s="175" t="s">
        <v>57</v>
      </c>
      <c r="L1181" s="172" t="s">
        <v>56</v>
      </c>
    </row>
    <row r="1182" spans="1:12" x14ac:dyDescent="0.2">
      <c r="A1182" s="172" t="s">
        <v>12</v>
      </c>
      <c r="B1182" s="172" t="s">
        <v>13</v>
      </c>
      <c r="C1182" s="172" t="s">
        <v>21</v>
      </c>
      <c r="D1182" s="172" t="s">
        <v>15</v>
      </c>
      <c r="E1182" s="173">
        <v>42358</v>
      </c>
      <c r="F1182" s="174">
        <v>0.81691170000000002</v>
      </c>
      <c r="G1182" s="175" t="s">
        <v>16</v>
      </c>
      <c r="H1182" s="172" t="s">
        <v>17</v>
      </c>
      <c r="I1182" s="175">
        <v>1</v>
      </c>
      <c r="J1182" s="175" t="s">
        <v>18</v>
      </c>
      <c r="K1182" s="175" t="s">
        <v>57</v>
      </c>
      <c r="L1182" s="172" t="s">
        <v>56</v>
      </c>
    </row>
    <row r="1183" spans="1:12" x14ac:dyDescent="0.2">
      <c r="A1183" s="172" t="s">
        <v>12</v>
      </c>
      <c r="B1183" s="172" t="s">
        <v>13</v>
      </c>
      <c r="C1183" s="172" t="s">
        <v>21</v>
      </c>
      <c r="D1183" s="172" t="s">
        <v>15</v>
      </c>
      <c r="E1183" s="173">
        <v>42358</v>
      </c>
      <c r="F1183" s="174">
        <v>277.97219999999999</v>
      </c>
      <c r="G1183" s="175" t="s">
        <v>19</v>
      </c>
      <c r="H1183" s="172" t="s">
        <v>17</v>
      </c>
      <c r="I1183" s="175">
        <v>1</v>
      </c>
      <c r="J1183" s="175" t="s">
        <v>18</v>
      </c>
      <c r="K1183" s="175" t="s">
        <v>57</v>
      </c>
      <c r="L1183" s="172" t="s">
        <v>56</v>
      </c>
    </row>
    <row r="1184" spans="1:12" x14ac:dyDescent="0.2">
      <c r="A1184" s="172" t="s">
        <v>12</v>
      </c>
      <c r="B1184" s="172" t="s">
        <v>13</v>
      </c>
      <c r="C1184" s="172" t="s">
        <v>21</v>
      </c>
      <c r="D1184" s="172" t="s">
        <v>15</v>
      </c>
      <c r="E1184" s="173">
        <v>42358</v>
      </c>
      <c r="F1184" s="174">
        <v>0.4</v>
      </c>
      <c r="G1184" s="175" t="s">
        <v>16</v>
      </c>
      <c r="H1184" s="172" t="s">
        <v>20</v>
      </c>
      <c r="I1184" s="175">
        <v>1</v>
      </c>
      <c r="J1184" s="175" t="s">
        <v>18</v>
      </c>
      <c r="K1184" s="175" t="s">
        <v>57</v>
      </c>
      <c r="L1184" s="172" t="s">
        <v>56</v>
      </c>
    </row>
    <row r="1185" spans="1:12" x14ac:dyDescent="0.2">
      <c r="A1185" s="172" t="s">
        <v>12</v>
      </c>
      <c r="B1185" s="172" t="s">
        <v>13</v>
      </c>
      <c r="C1185" s="172" t="s">
        <v>21</v>
      </c>
      <c r="D1185" s="172" t="s">
        <v>15</v>
      </c>
      <c r="E1185" s="173">
        <v>42358</v>
      </c>
      <c r="F1185" s="174">
        <v>143.7816</v>
      </c>
      <c r="G1185" s="175" t="s">
        <v>19</v>
      </c>
      <c r="H1185" s="172" t="s">
        <v>20</v>
      </c>
      <c r="I1185" s="175">
        <v>1</v>
      </c>
      <c r="J1185" s="175" t="s">
        <v>18</v>
      </c>
      <c r="K1185" s="175" t="s">
        <v>57</v>
      </c>
      <c r="L1185" s="172" t="s">
        <v>56</v>
      </c>
    </row>
    <row r="1186" spans="1:12" x14ac:dyDescent="0.2">
      <c r="A1186" s="172" t="s">
        <v>12</v>
      </c>
      <c r="B1186" s="172" t="s">
        <v>13</v>
      </c>
      <c r="C1186" s="172" t="s">
        <v>21</v>
      </c>
      <c r="D1186" s="172" t="s">
        <v>15</v>
      </c>
      <c r="E1186" s="173">
        <v>42354</v>
      </c>
      <c r="F1186" s="174">
        <v>0.25894159999999999</v>
      </c>
      <c r="G1186" s="175" t="s">
        <v>16</v>
      </c>
      <c r="H1186" s="172" t="s">
        <v>17</v>
      </c>
      <c r="I1186" s="175">
        <v>1</v>
      </c>
      <c r="J1186" s="175" t="s">
        <v>18</v>
      </c>
      <c r="K1186" s="175" t="s">
        <v>57</v>
      </c>
      <c r="L1186" s="172" t="s">
        <v>56</v>
      </c>
    </row>
    <row r="1187" spans="1:12" x14ac:dyDescent="0.2">
      <c r="A1187" s="172" t="s">
        <v>12</v>
      </c>
      <c r="B1187" s="172" t="s">
        <v>13</v>
      </c>
      <c r="C1187" s="172" t="s">
        <v>21</v>
      </c>
      <c r="D1187" s="172" t="s">
        <v>15</v>
      </c>
      <c r="E1187" s="173">
        <v>42354</v>
      </c>
      <c r="F1187" s="174">
        <v>118.34459990000001</v>
      </c>
      <c r="G1187" s="175" t="s">
        <v>19</v>
      </c>
      <c r="H1187" s="172" t="s">
        <v>17</v>
      </c>
      <c r="I1187" s="175">
        <v>1</v>
      </c>
      <c r="J1187" s="175" t="s">
        <v>18</v>
      </c>
      <c r="K1187" s="175" t="s">
        <v>57</v>
      </c>
      <c r="L1187" s="172" t="s">
        <v>56</v>
      </c>
    </row>
    <row r="1188" spans="1:12" x14ac:dyDescent="0.2">
      <c r="A1188" s="172" t="s">
        <v>12</v>
      </c>
      <c r="B1188" s="172" t="s">
        <v>13</v>
      </c>
      <c r="C1188" s="172" t="s">
        <v>21</v>
      </c>
      <c r="D1188" s="172" t="s">
        <v>15</v>
      </c>
      <c r="E1188" s="173">
        <v>42354</v>
      </c>
      <c r="F1188" s="174">
        <v>0.2</v>
      </c>
      <c r="G1188" s="175" t="s">
        <v>16</v>
      </c>
      <c r="H1188" s="172" t="s">
        <v>20</v>
      </c>
      <c r="I1188" s="175">
        <v>1</v>
      </c>
      <c r="J1188" s="175" t="s">
        <v>18</v>
      </c>
      <c r="K1188" s="175" t="s">
        <v>57</v>
      </c>
      <c r="L1188" s="172" t="s">
        <v>56</v>
      </c>
    </row>
    <row r="1189" spans="1:12" x14ac:dyDescent="0.2">
      <c r="A1189" s="172" t="s">
        <v>12</v>
      </c>
      <c r="B1189" s="172" t="s">
        <v>13</v>
      </c>
      <c r="C1189" s="172" t="s">
        <v>21</v>
      </c>
      <c r="D1189" s="172" t="s">
        <v>15</v>
      </c>
      <c r="E1189" s="173">
        <v>42354</v>
      </c>
      <c r="F1189" s="174">
        <v>73.225199900000007</v>
      </c>
      <c r="G1189" s="175" t="s">
        <v>19</v>
      </c>
      <c r="H1189" s="172" t="s">
        <v>20</v>
      </c>
      <c r="I1189" s="175">
        <v>1</v>
      </c>
      <c r="J1189" s="175" t="s">
        <v>18</v>
      </c>
      <c r="K1189" s="175" t="s">
        <v>57</v>
      </c>
      <c r="L1189" s="172" t="s">
        <v>56</v>
      </c>
    </row>
    <row r="1190" spans="1:12" x14ac:dyDescent="0.2">
      <c r="A1190" s="172" t="s">
        <v>12</v>
      </c>
      <c r="B1190" s="172" t="s">
        <v>13</v>
      </c>
      <c r="C1190" s="172" t="s">
        <v>21</v>
      </c>
      <c r="D1190" s="172" t="s">
        <v>15</v>
      </c>
      <c r="E1190" s="173">
        <v>42347</v>
      </c>
      <c r="F1190" s="174">
        <v>0.58610269999999998</v>
      </c>
      <c r="G1190" s="175" t="s">
        <v>16</v>
      </c>
      <c r="H1190" s="172" t="s">
        <v>17</v>
      </c>
      <c r="I1190" s="175">
        <v>1</v>
      </c>
      <c r="J1190" s="175" t="s">
        <v>18</v>
      </c>
      <c r="K1190" s="175" t="s">
        <v>57</v>
      </c>
      <c r="L1190" s="172" t="s">
        <v>56</v>
      </c>
    </row>
    <row r="1191" spans="1:12" x14ac:dyDescent="0.2">
      <c r="A1191" s="172" t="s">
        <v>12</v>
      </c>
      <c r="B1191" s="172" t="s">
        <v>13</v>
      </c>
      <c r="C1191" s="172" t="s">
        <v>21</v>
      </c>
      <c r="D1191" s="172" t="s">
        <v>15</v>
      </c>
      <c r="E1191" s="173">
        <v>42347</v>
      </c>
      <c r="F1191" s="174">
        <v>161.79599999999999</v>
      </c>
      <c r="G1191" s="175" t="s">
        <v>19</v>
      </c>
      <c r="H1191" s="172" t="s">
        <v>17</v>
      </c>
      <c r="I1191" s="175">
        <v>1</v>
      </c>
      <c r="J1191" s="175" t="s">
        <v>18</v>
      </c>
      <c r="K1191" s="175" t="s">
        <v>57</v>
      </c>
      <c r="L1191" s="172" t="s">
        <v>56</v>
      </c>
    </row>
    <row r="1192" spans="1:12" x14ac:dyDescent="0.2">
      <c r="A1192" s="172" t="s">
        <v>12</v>
      </c>
      <c r="B1192" s="172" t="s">
        <v>13</v>
      </c>
      <c r="C1192" s="172" t="s">
        <v>21</v>
      </c>
      <c r="D1192" s="172" t="s">
        <v>15</v>
      </c>
      <c r="E1192" s="173">
        <v>42347</v>
      </c>
      <c r="F1192" s="174">
        <v>0.1</v>
      </c>
      <c r="G1192" s="175" t="s">
        <v>16</v>
      </c>
      <c r="H1192" s="172" t="s">
        <v>20</v>
      </c>
      <c r="I1192" s="175">
        <v>1</v>
      </c>
      <c r="J1192" s="175" t="s">
        <v>18</v>
      </c>
      <c r="K1192" s="175" t="s">
        <v>57</v>
      </c>
      <c r="L1192" s="172" t="s">
        <v>56</v>
      </c>
    </row>
    <row r="1193" spans="1:12" x14ac:dyDescent="0.2">
      <c r="A1193" s="172" t="s">
        <v>12</v>
      </c>
      <c r="B1193" s="172" t="s">
        <v>13</v>
      </c>
      <c r="C1193" s="172" t="s">
        <v>21</v>
      </c>
      <c r="D1193" s="172" t="s">
        <v>15</v>
      </c>
      <c r="E1193" s="173">
        <v>42347</v>
      </c>
      <c r="F1193" s="174">
        <v>29.3568</v>
      </c>
      <c r="G1193" s="175" t="s">
        <v>19</v>
      </c>
      <c r="H1193" s="172" t="s">
        <v>20</v>
      </c>
      <c r="I1193" s="175">
        <v>1</v>
      </c>
      <c r="J1193" s="175" t="s">
        <v>18</v>
      </c>
      <c r="K1193" s="175" t="s">
        <v>57</v>
      </c>
      <c r="L1193" s="172" t="s">
        <v>56</v>
      </c>
    </row>
    <row r="1194" spans="1:12" ht="11.25" customHeight="1" x14ac:dyDescent="0.2">
      <c r="A1194" s="172" t="s">
        <v>12</v>
      </c>
      <c r="B1194" s="172" t="s">
        <v>13</v>
      </c>
      <c r="C1194" s="172" t="s">
        <v>21</v>
      </c>
      <c r="D1194" s="172" t="s">
        <v>15</v>
      </c>
      <c r="E1194" s="173">
        <v>42340</v>
      </c>
      <c r="F1194" s="179">
        <v>3.9768299999999999E-2</v>
      </c>
      <c r="G1194" s="175" t="s">
        <v>16</v>
      </c>
      <c r="H1194" s="172" t="s">
        <v>17</v>
      </c>
      <c r="I1194" s="175">
        <v>1</v>
      </c>
      <c r="J1194" s="175" t="s">
        <v>18</v>
      </c>
      <c r="K1194" s="175" t="s">
        <v>57</v>
      </c>
      <c r="L1194" s="172" t="s">
        <v>56</v>
      </c>
    </row>
    <row r="1195" spans="1:12" ht="11.25" customHeight="1" x14ac:dyDescent="0.2">
      <c r="A1195" s="172" t="s">
        <v>12</v>
      </c>
      <c r="B1195" s="172" t="s">
        <v>13</v>
      </c>
      <c r="C1195" s="172" t="s">
        <v>21</v>
      </c>
      <c r="D1195" s="172" t="s">
        <v>15</v>
      </c>
      <c r="E1195" s="173">
        <v>42340</v>
      </c>
      <c r="F1195" s="174">
        <v>17.180399999999999</v>
      </c>
      <c r="G1195" s="175" t="s">
        <v>19</v>
      </c>
      <c r="H1195" s="172" t="s">
        <v>17</v>
      </c>
      <c r="I1195" s="175">
        <v>1</v>
      </c>
      <c r="J1195" s="175" t="s">
        <v>18</v>
      </c>
      <c r="K1195" s="175" t="s">
        <v>57</v>
      </c>
      <c r="L1195" s="172" t="s">
        <v>56</v>
      </c>
    </row>
    <row r="1196" spans="1:12" ht="11.25" customHeight="1" x14ac:dyDescent="0.2">
      <c r="A1196" s="172" t="s">
        <v>12</v>
      </c>
      <c r="B1196" s="172" t="s">
        <v>13</v>
      </c>
      <c r="C1196" s="172" t="s">
        <v>21</v>
      </c>
      <c r="D1196" s="172" t="s">
        <v>15</v>
      </c>
      <c r="E1196" s="173">
        <v>42340</v>
      </c>
      <c r="F1196" s="174">
        <v>0.2</v>
      </c>
      <c r="G1196" s="175" t="s">
        <v>16</v>
      </c>
      <c r="H1196" s="172" t="s">
        <v>20</v>
      </c>
      <c r="I1196" s="175">
        <v>1</v>
      </c>
      <c r="J1196" s="175" t="s">
        <v>18</v>
      </c>
      <c r="K1196" s="175" t="s">
        <v>57</v>
      </c>
      <c r="L1196" s="172" t="s">
        <v>56</v>
      </c>
    </row>
    <row r="1197" spans="1:12" x14ac:dyDescent="0.2">
      <c r="A1197" s="172" t="s">
        <v>12</v>
      </c>
      <c r="B1197" s="172" t="s">
        <v>13</v>
      </c>
      <c r="C1197" s="172" t="s">
        <v>21</v>
      </c>
      <c r="D1197" s="172" t="s">
        <v>15</v>
      </c>
      <c r="E1197" s="173">
        <v>42340</v>
      </c>
      <c r="F1197" s="174">
        <v>72.224400000000003</v>
      </c>
      <c r="G1197" s="175" t="s">
        <v>19</v>
      </c>
      <c r="H1197" s="172" t="s">
        <v>20</v>
      </c>
      <c r="I1197" s="175">
        <v>1</v>
      </c>
      <c r="J1197" s="175" t="s">
        <v>18</v>
      </c>
      <c r="K1197" s="175" t="s">
        <v>57</v>
      </c>
      <c r="L1197" s="172" t="s">
        <v>56</v>
      </c>
    </row>
    <row r="1198" spans="1:12" x14ac:dyDescent="0.2">
      <c r="A1198" s="172" t="s">
        <v>12</v>
      </c>
      <c r="B1198" s="172" t="s">
        <v>13</v>
      </c>
      <c r="C1198" s="172" t="s">
        <v>21</v>
      </c>
      <c r="D1198" s="172" t="s">
        <v>15</v>
      </c>
      <c r="E1198" s="173">
        <v>42331</v>
      </c>
      <c r="F1198" s="179">
        <v>5.7971000000000003E-3</v>
      </c>
      <c r="G1198" s="175" t="s">
        <v>16</v>
      </c>
      <c r="H1198" s="172" t="s">
        <v>17</v>
      </c>
      <c r="I1198" s="175">
        <v>1</v>
      </c>
      <c r="J1198" s="175" t="s">
        <v>18</v>
      </c>
      <c r="K1198" s="175" t="s">
        <v>57</v>
      </c>
      <c r="L1198" s="172" t="s">
        <v>56</v>
      </c>
    </row>
    <row r="1199" spans="1:12" x14ac:dyDescent="0.2">
      <c r="A1199" s="172" t="s">
        <v>12</v>
      </c>
      <c r="B1199" s="172" t="s">
        <v>13</v>
      </c>
      <c r="C1199" s="172" t="s">
        <v>21</v>
      </c>
      <c r="D1199" s="172" t="s">
        <v>15</v>
      </c>
      <c r="E1199" s="173">
        <v>42331</v>
      </c>
      <c r="F1199" s="179">
        <v>1.6679999999999999</v>
      </c>
      <c r="G1199" s="175" t="s">
        <v>19</v>
      </c>
      <c r="H1199" s="172" t="s">
        <v>17</v>
      </c>
      <c r="I1199" s="175">
        <v>1</v>
      </c>
      <c r="J1199" s="175" t="s">
        <v>18</v>
      </c>
      <c r="K1199" s="175" t="s">
        <v>57</v>
      </c>
      <c r="L1199" s="172" t="s">
        <v>56</v>
      </c>
    </row>
    <row r="1200" spans="1:12" x14ac:dyDescent="0.2">
      <c r="A1200" s="172" t="s">
        <v>12</v>
      </c>
      <c r="B1200" s="172" t="s">
        <v>13</v>
      </c>
      <c r="C1200" s="172" t="s">
        <v>21</v>
      </c>
      <c r="D1200" s="172" t="s">
        <v>15</v>
      </c>
      <c r="E1200" s="173">
        <v>42331</v>
      </c>
      <c r="F1200" s="174">
        <v>1.1000000000000001</v>
      </c>
      <c r="G1200" s="175" t="s">
        <v>16</v>
      </c>
      <c r="H1200" s="172" t="s">
        <v>20</v>
      </c>
      <c r="I1200" s="175">
        <v>1</v>
      </c>
      <c r="J1200" s="175" t="s">
        <v>18</v>
      </c>
      <c r="K1200" s="175" t="s">
        <v>57</v>
      </c>
      <c r="L1200" s="172" t="s">
        <v>56</v>
      </c>
    </row>
    <row r="1201" spans="1:12" x14ac:dyDescent="0.2">
      <c r="A1201" s="172" t="s">
        <v>12</v>
      </c>
      <c r="B1201" s="172" t="s">
        <v>13</v>
      </c>
      <c r="C1201" s="172" t="s">
        <v>21</v>
      </c>
      <c r="D1201" s="172" t="s">
        <v>15</v>
      </c>
      <c r="E1201" s="173">
        <v>42331</v>
      </c>
      <c r="F1201" s="174">
        <v>339.43799999999999</v>
      </c>
      <c r="G1201" s="175" t="s">
        <v>19</v>
      </c>
      <c r="H1201" s="172" t="s">
        <v>20</v>
      </c>
      <c r="I1201" s="175">
        <v>1</v>
      </c>
      <c r="J1201" s="175" t="s">
        <v>18</v>
      </c>
      <c r="K1201" s="175" t="s">
        <v>57</v>
      </c>
      <c r="L1201" s="172" t="s">
        <v>56</v>
      </c>
    </row>
    <row r="1202" spans="1:12" x14ac:dyDescent="0.2">
      <c r="A1202" s="172" t="s">
        <v>12</v>
      </c>
      <c r="B1202" s="172" t="s">
        <v>13</v>
      </c>
      <c r="C1202" s="172" t="s">
        <v>21</v>
      </c>
      <c r="D1202" s="172" t="s">
        <v>15</v>
      </c>
      <c r="E1202" s="173">
        <v>42326</v>
      </c>
      <c r="F1202" s="174">
        <v>0.94538599999999995</v>
      </c>
      <c r="G1202" s="175" t="s">
        <v>16</v>
      </c>
      <c r="H1202" s="172" t="s">
        <v>17</v>
      </c>
      <c r="I1202" s="175">
        <v>1</v>
      </c>
      <c r="J1202" s="175" t="s">
        <v>18</v>
      </c>
      <c r="K1202" s="175" t="s">
        <v>57</v>
      </c>
      <c r="L1202" s="172" t="s">
        <v>56</v>
      </c>
    </row>
    <row r="1203" spans="1:12" x14ac:dyDescent="0.2">
      <c r="A1203" s="172" t="s">
        <v>12</v>
      </c>
      <c r="B1203" s="172" t="s">
        <v>13</v>
      </c>
      <c r="C1203" s="172" t="s">
        <v>21</v>
      </c>
      <c r="D1203" s="172" t="s">
        <v>15</v>
      </c>
      <c r="E1203" s="173">
        <v>42326</v>
      </c>
      <c r="F1203" s="174">
        <v>418.66800000000001</v>
      </c>
      <c r="G1203" s="175" t="s">
        <v>19</v>
      </c>
      <c r="H1203" s="172" t="s">
        <v>17</v>
      </c>
      <c r="I1203" s="175">
        <v>1</v>
      </c>
      <c r="J1203" s="175" t="s">
        <v>18</v>
      </c>
      <c r="K1203" s="175" t="s">
        <v>57</v>
      </c>
      <c r="L1203" s="172" t="s">
        <v>56</v>
      </c>
    </row>
    <row r="1204" spans="1:12" x14ac:dyDescent="0.2">
      <c r="A1204" s="172" t="s">
        <v>12</v>
      </c>
      <c r="B1204" s="172" t="s">
        <v>13</v>
      </c>
      <c r="C1204" s="172" t="s">
        <v>21</v>
      </c>
      <c r="D1204" s="172" t="s">
        <v>15</v>
      </c>
      <c r="E1204" s="173">
        <v>42326</v>
      </c>
      <c r="F1204" s="174">
        <v>0.2</v>
      </c>
      <c r="G1204" s="175" t="s">
        <v>16</v>
      </c>
      <c r="H1204" s="172" t="s">
        <v>20</v>
      </c>
      <c r="I1204" s="175">
        <v>1</v>
      </c>
      <c r="J1204" s="175" t="s">
        <v>18</v>
      </c>
      <c r="K1204" s="175" t="s">
        <v>57</v>
      </c>
      <c r="L1204" s="172" t="s">
        <v>56</v>
      </c>
    </row>
    <row r="1205" spans="1:12" x14ac:dyDescent="0.2">
      <c r="A1205" s="172" t="s">
        <v>12</v>
      </c>
      <c r="B1205" s="172" t="s">
        <v>13</v>
      </c>
      <c r="C1205" s="172" t="s">
        <v>21</v>
      </c>
      <c r="D1205" s="172" t="s">
        <v>15</v>
      </c>
      <c r="E1205" s="173">
        <v>42326</v>
      </c>
      <c r="F1205" s="174">
        <v>72.224400000000003</v>
      </c>
      <c r="G1205" s="175" t="s">
        <v>19</v>
      </c>
      <c r="H1205" s="172" t="s">
        <v>20</v>
      </c>
      <c r="I1205" s="175">
        <v>1</v>
      </c>
      <c r="J1205" s="175" t="s">
        <v>18</v>
      </c>
      <c r="K1205" s="175" t="s">
        <v>57</v>
      </c>
      <c r="L1205" s="172" t="s">
        <v>56</v>
      </c>
    </row>
    <row r="1206" spans="1:12" x14ac:dyDescent="0.2">
      <c r="A1206" s="172" t="s">
        <v>12</v>
      </c>
      <c r="B1206" s="172" t="s">
        <v>13</v>
      </c>
      <c r="C1206" s="172" t="s">
        <v>21</v>
      </c>
      <c r="D1206" s="172" t="s">
        <v>15</v>
      </c>
      <c r="E1206" s="173">
        <v>42319</v>
      </c>
      <c r="F1206" s="177">
        <v>29.7632653</v>
      </c>
      <c r="G1206" s="175" t="s">
        <v>16</v>
      </c>
      <c r="H1206" s="172" t="s">
        <v>17</v>
      </c>
      <c r="I1206" s="175">
        <v>1</v>
      </c>
      <c r="J1206" s="175" t="s">
        <v>18</v>
      </c>
      <c r="K1206" s="175" t="s">
        <v>57</v>
      </c>
      <c r="L1206" s="172" t="s">
        <v>56</v>
      </c>
    </row>
    <row r="1207" spans="1:12" x14ac:dyDescent="0.2">
      <c r="A1207" s="172" t="s">
        <v>12</v>
      </c>
      <c r="B1207" s="172" t="s">
        <v>13</v>
      </c>
      <c r="C1207" s="172" t="s">
        <v>21</v>
      </c>
      <c r="D1207" s="172" t="s">
        <v>15</v>
      </c>
      <c r="E1207" s="173">
        <v>42319</v>
      </c>
      <c r="F1207" s="177">
        <v>4865.2223999999997</v>
      </c>
      <c r="G1207" s="181" t="s">
        <v>19</v>
      </c>
      <c r="H1207" s="182" t="s">
        <v>17</v>
      </c>
      <c r="I1207" s="175">
        <v>1</v>
      </c>
      <c r="J1207" s="175" t="s">
        <v>18</v>
      </c>
      <c r="K1207" s="175" t="s">
        <v>57</v>
      </c>
      <c r="L1207" s="172" t="s">
        <v>56</v>
      </c>
    </row>
    <row r="1208" spans="1:12" x14ac:dyDescent="0.2">
      <c r="A1208" s="172" t="s">
        <v>12</v>
      </c>
      <c r="B1208" s="172" t="s">
        <v>13</v>
      </c>
      <c r="C1208" s="172" t="s">
        <v>21</v>
      </c>
      <c r="D1208" s="172" t="s">
        <v>15</v>
      </c>
      <c r="E1208" s="173">
        <v>42319</v>
      </c>
      <c r="F1208" s="177">
        <v>0.2</v>
      </c>
      <c r="G1208" s="175" t="s">
        <v>16</v>
      </c>
      <c r="H1208" s="172" t="s">
        <v>20</v>
      </c>
      <c r="I1208" s="175">
        <v>1</v>
      </c>
      <c r="J1208" s="175" t="s">
        <v>18</v>
      </c>
      <c r="K1208" s="175" t="s">
        <v>57</v>
      </c>
      <c r="L1208" s="172" t="s">
        <v>56</v>
      </c>
    </row>
    <row r="1209" spans="1:12" x14ac:dyDescent="0.2">
      <c r="A1209" s="172" t="s">
        <v>12</v>
      </c>
      <c r="B1209" s="172" t="s">
        <v>13</v>
      </c>
      <c r="C1209" s="172" t="s">
        <v>21</v>
      </c>
      <c r="D1209" s="172" t="s">
        <v>15</v>
      </c>
      <c r="E1209" s="173">
        <v>42319</v>
      </c>
      <c r="F1209" s="177">
        <v>35.027999999999999</v>
      </c>
      <c r="G1209" s="175" t="s">
        <v>19</v>
      </c>
      <c r="H1209" s="172" t="s">
        <v>20</v>
      </c>
      <c r="I1209" s="175">
        <v>1</v>
      </c>
      <c r="J1209" s="175" t="s">
        <v>18</v>
      </c>
      <c r="K1209" s="175" t="s">
        <v>57</v>
      </c>
      <c r="L1209" s="172" t="s">
        <v>56</v>
      </c>
    </row>
    <row r="1210" spans="1:12" x14ac:dyDescent="0.2">
      <c r="A1210" s="172" t="s">
        <v>12</v>
      </c>
      <c r="B1210" s="172" t="s">
        <v>13</v>
      </c>
      <c r="C1210" s="172" t="s">
        <v>21</v>
      </c>
      <c r="D1210" s="172" t="s">
        <v>15</v>
      </c>
      <c r="E1210" s="173">
        <v>42311</v>
      </c>
      <c r="F1210" s="174">
        <v>0.96562499999999996</v>
      </c>
      <c r="G1210" s="175" t="s">
        <v>16</v>
      </c>
      <c r="H1210" s="172" t="s">
        <v>17</v>
      </c>
      <c r="I1210" s="175">
        <v>1</v>
      </c>
      <c r="J1210" s="175" t="s">
        <v>18</v>
      </c>
      <c r="K1210" s="175" t="s">
        <v>57</v>
      </c>
      <c r="L1210" s="172" t="s">
        <v>56</v>
      </c>
    </row>
    <row r="1211" spans="1:12" x14ac:dyDescent="0.2">
      <c r="A1211" s="172" t="s">
        <v>12</v>
      </c>
      <c r="B1211" s="172" t="s">
        <v>13</v>
      </c>
      <c r="C1211" s="172" t="s">
        <v>21</v>
      </c>
      <c r="D1211" s="172" t="s">
        <v>15</v>
      </c>
      <c r="E1211" s="173">
        <v>42311</v>
      </c>
      <c r="F1211" s="174">
        <v>154.62360000000001</v>
      </c>
      <c r="G1211" s="175" t="s">
        <v>19</v>
      </c>
      <c r="H1211" s="172" t="s">
        <v>17</v>
      </c>
      <c r="I1211" s="175">
        <v>1</v>
      </c>
      <c r="J1211" s="175" t="s">
        <v>18</v>
      </c>
      <c r="K1211" s="175" t="s">
        <v>57</v>
      </c>
      <c r="L1211" s="172" t="s">
        <v>56</v>
      </c>
    </row>
    <row r="1212" spans="1:12" x14ac:dyDescent="0.2">
      <c r="A1212" s="172" t="s">
        <v>12</v>
      </c>
      <c r="B1212" s="172" t="s">
        <v>13</v>
      </c>
      <c r="C1212" s="172" t="s">
        <v>21</v>
      </c>
      <c r="D1212" s="172" t="s">
        <v>15</v>
      </c>
      <c r="E1212" s="173">
        <v>42311</v>
      </c>
      <c r="F1212" s="174">
        <v>0.5</v>
      </c>
      <c r="G1212" s="175" t="s">
        <v>16</v>
      </c>
      <c r="H1212" s="172" t="s">
        <v>20</v>
      </c>
      <c r="I1212" s="175">
        <v>1</v>
      </c>
      <c r="J1212" s="175" t="s">
        <v>18</v>
      </c>
      <c r="K1212" s="175" t="s">
        <v>57</v>
      </c>
      <c r="L1212" s="172" t="s">
        <v>56</v>
      </c>
    </row>
    <row r="1213" spans="1:12" x14ac:dyDescent="0.2">
      <c r="A1213" s="172" t="s">
        <v>12</v>
      </c>
      <c r="B1213" s="172" t="s">
        <v>13</v>
      </c>
      <c r="C1213" s="172" t="s">
        <v>21</v>
      </c>
      <c r="D1213" s="172" t="s">
        <v>15</v>
      </c>
      <c r="E1213" s="173">
        <v>42311</v>
      </c>
      <c r="F1213" s="174">
        <v>85.067999999999998</v>
      </c>
      <c r="G1213" s="175" t="s">
        <v>19</v>
      </c>
      <c r="H1213" s="172" t="s">
        <v>20</v>
      </c>
      <c r="I1213" s="175">
        <v>1</v>
      </c>
      <c r="J1213" s="175" t="s">
        <v>18</v>
      </c>
      <c r="K1213" s="175" t="s">
        <v>57</v>
      </c>
      <c r="L1213" s="172" t="s">
        <v>56</v>
      </c>
    </row>
    <row r="1214" spans="1:12" x14ac:dyDescent="0.2">
      <c r="A1214" s="172" t="s">
        <v>12</v>
      </c>
      <c r="B1214" s="172" t="s">
        <v>13</v>
      </c>
      <c r="C1214" s="172" t="s">
        <v>21</v>
      </c>
      <c r="D1214" s="172" t="s">
        <v>15</v>
      </c>
      <c r="E1214" s="173">
        <v>42296</v>
      </c>
      <c r="F1214" s="174">
        <v>7.4894736000000002</v>
      </c>
      <c r="G1214" s="175" t="s">
        <v>16</v>
      </c>
      <c r="H1214" s="172" t="s">
        <v>17</v>
      </c>
      <c r="I1214" s="175">
        <v>1</v>
      </c>
      <c r="J1214" s="175" t="s">
        <v>18</v>
      </c>
      <c r="K1214" s="175" t="s">
        <v>57</v>
      </c>
      <c r="L1214" s="172" t="s">
        <v>56</v>
      </c>
    </row>
    <row r="1215" spans="1:12" x14ac:dyDescent="0.2">
      <c r="A1215" s="172" t="s">
        <v>12</v>
      </c>
      <c r="B1215" s="172" t="s">
        <v>13</v>
      </c>
      <c r="C1215" s="172" t="s">
        <v>21</v>
      </c>
      <c r="D1215" s="172" t="s">
        <v>15</v>
      </c>
      <c r="E1215" s="173">
        <v>42296</v>
      </c>
      <c r="F1215" s="174">
        <v>1068.1037999</v>
      </c>
      <c r="G1215" s="175" t="s">
        <v>19</v>
      </c>
      <c r="H1215" s="172" t="s">
        <v>17</v>
      </c>
      <c r="I1215" s="175">
        <v>1</v>
      </c>
      <c r="J1215" s="175" t="s">
        <v>18</v>
      </c>
      <c r="K1215" s="175" t="s">
        <v>57</v>
      </c>
      <c r="L1215" s="172" t="s">
        <v>56</v>
      </c>
    </row>
    <row r="1216" spans="1:12" x14ac:dyDescent="0.2">
      <c r="A1216" s="172" t="s">
        <v>12</v>
      </c>
      <c r="B1216" s="172" t="s">
        <v>13</v>
      </c>
      <c r="C1216" s="172" t="s">
        <v>21</v>
      </c>
      <c r="D1216" s="172" t="s">
        <v>15</v>
      </c>
      <c r="E1216" s="173">
        <v>42296</v>
      </c>
      <c r="F1216" s="174">
        <v>0.5</v>
      </c>
      <c r="G1216" s="175" t="s">
        <v>16</v>
      </c>
      <c r="H1216" s="172" t="s">
        <v>20</v>
      </c>
      <c r="I1216" s="175">
        <v>1</v>
      </c>
      <c r="J1216" s="175" t="s">
        <v>18</v>
      </c>
      <c r="K1216" s="175" t="s">
        <v>57</v>
      </c>
      <c r="L1216" s="172" t="s">
        <v>56</v>
      </c>
    </row>
    <row r="1217" spans="1:12" x14ac:dyDescent="0.2">
      <c r="A1217" s="172" t="s">
        <v>12</v>
      </c>
      <c r="B1217" s="172" t="s">
        <v>13</v>
      </c>
      <c r="C1217" s="172" t="s">
        <v>21</v>
      </c>
      <c r="D1217" s="172" t="s">
        <v>15</v>
      </c>
      <c r="E1217" s="173">
        <v>42296</v>
      </c>
      <c r="F1217" s="174">
        <v>76.311000000000007</v>
      </c>
      <c r="G1217" s="175" t="s">
        <v>19</v>
      </c>
      <c r="H1217" s="172" t="s">
        <v>20</v>
      </c>
      <c r="I1217" s="175">
        <v>1</v>
      </c>
      <c r="J1217" s="175" t="s">
        <v>18</v>
      </c>
      <c r="K1217" s="175" t="s">
        <v>57</v>
      </c>
      <c r="L1217" s="172" t="s">
        <v>56</v>
      </c>
    </row>
    <row r="1218" spans="1:12" x14ac:dyDescent="0.2">
      <c r="A1218" s="172" t="s">
        <v>12</v>
      </c>
      <c r="B1218" s="172" t="s">
        <v>13</v>
      </c>
      <c r="C1218" s="172" t="s">
        <v>21</v>
      </c>
      <c r="D1218" s="172" t="s">
        <v>15</v>
      </c>
      <c r="E1218" s="173">
        <v>42291</v>
      </c>
      <c r="F1218" s="174">
        <v>0.54125000000000001</v>
      </c>
      <c r="G1218" s="175" t="s">
        <v>16</v>
      </c>
      <c r="H1218" s="172" t="s">
        <v>17</v>
      </c>
      <c r="I1218" s="175">
        <v>1</v>
      </c>
      <c r="J1218" s="175" t="s">
        <v>18</v>
      </c>
      <c r="K1218" s="175" t="s">
        <v>57</v>
      </c>
      <c r="L1218" s="172" t="s">
        <v>56</v>
      </c>
    </row>
    <row r="1219" spans="1:12" x14ac:dyDescent="0.2">
      <c r="A1219" s="172" t="s">
        <v>12</v>
      </c>
      <c r="B1219" s="172" t="s">
        <v>13</v>
      </c>
      <c r="C1219" s="172" t="s">
        <v>21</v>
      </c>
      <c r="D1219" s="172" t="s">
        <v>15</v>
      </c>
      <c r="E1219" s="173">
        <v>42291</v>
      </c>
      <c r="F1219" s="174">
        <v>72.224400000000003</v>
      </c>
      <c r="G1219" s="175" t="s">
        <v>19</v>
      </c>
      <c r="H1219" s="172" t="s">
        <v>17</v>
      </c>
      <c r="I1219" s="175">
        <v>1</v>
      </c>
      <c r="J1219" s="175" t="s">
        <v>18</v>
      </c>
      <c r="K1219" s="175" t="s">
        <v>57</v>
      </c>
      <c r="L1219" s="172" t="s">
        <v>56</v>
      </c>
    </row>
    <row r="1220" spans="1:12" x14ac:dyDescent="0.2">
      <c r="A1220" s="172" t="s">
        <v>12</v>
      </c>
      <c r="B1220" s="172" t="s">
        <v>13</v>
      </c>
      <c r="C1220" s="172" t="s">
        <v>21</v>
      </c>
      <c r="D1220" s="172" t="s">
        <v>15</v>
      </c>
      <c r="E1220" s="173">
        <v>42291</v>
      </c>
      <c r="F1220" s="174">
        <v>0.2</v>
      </c>
      <c r="G1220" s="175" t="s">
        <v>16</v>
      </c>
      <c r="H1220" s="172" t="s">
        <v>20</v>
      </c>
      <c r="I1220" s="175">
        <v>1</v>
      </c>
      <c r="J1220" s="175" t="s">
        <v>18</v>
      </c>
      <c r="K1220" s="175" t="s">
        <v>57</v>
      </c>
      <c r="L1220" s="172" t="s">
        <v>56</v>
      </c>
    </row>
    <row r="1221" spans="1:12" x14ac:dyDescent="0.2">
      <c r="A1221" s="172" t="s">
        <v>12</v>
      </c>
      <c r="B1221" s="172" t="s">
        <v>13</v>
      </c>
      <c r="C1221" s="172" t="s">
        <v>21</v>
      </c>
      <c r="D1221" s="172" t="s">
        <v>15</v>
      </c>
      <c r="E1221" s="173">
        <v>42291</v>
      </c>
      <c r="F1221" s="174">
        <v>28.856400000000001</v>
      </c>
      <c r="G1221" s="175" t="s">
        <v>19</v>
      </c>
      <c r="H1221" s="172" t="s">
        <v>20</v>
      </c>
      <c r="I1221" s="175">
        <v>1</v>
      </c>
      <c r="J1221" s="175" t="s">
        <v>18</v>
      </c>
      <c r="K1221" s="175" t="s">
        <v>57</v>
      </c>
      <c r="L1221" s="172" t="s">
        <v>56</v>
      </c>
    </row>
    <row r="1222" spans="1:12" x14ac:dyDescent="0.2">
      <c r="A1222" s="172" t="s">
        <v>12</v>
      </c>
      <c r="B1222" s="172" t="s">
        <v>13</v>
      </c>
      <c r="C1222" s="172" t="s">
        <v>21</v>
      </c>
      <c r="D1222" s="172" t="s">
        <v>15</v>
      </c>
      <c r="E1222" s="173">
        <v>42284</v>
      </c>
      <c r="F1222" s="174">
        <v>0.35614030000000002</v>
      </c>
      <c r="G1222" s="175" t="s">
        <v>16</v>
      </c>
      <c r="H1222" s="172" t="s">
        <v>17</v>
      </c>
      <c r="I1222" s="175">
        <v>1</v>
      </c>
      <c r="J1222" s="175" t="s">
        <v>18</v>
      </c>
      <c r="K1222" s="175" t="s">
        <v>57</v>
      </c>
      <c r="L1222" s="172" t="s">
        <v>56</v>
      </c>
    </row>
    <row r="1223" spans="1:12" x14ac:dyDescent="0.2">
      <c r="A1223" s="172" t="s">
        <v>12</v>
      </c>
      <c r="B1223" s="172" t="s">
        <v>13</v>
      </c>
      <c r="C1223" s="172" t="s">
        <v>21</v>
      </c>
      <c r="D1223" s="172" t="s">
        <v>15</v>
      </c>
      <c r="E1223" s="173">
        <v>42284</v>
      </c>
      <c r="F1223" s="174">
        <v>50.790599999999998</v>
      </c>
      <c r="G1223" s="175" t="s">
        <v>19</v>
      </c>
      <c r="H1223" s="172" t="s">
        <v>17</v>
      </c>
      <c r="I1223" s="175">
        <v>1</v>
      </c>
      <c r="J1223" s="175" t="s">
        <v>18</v>
      </c>
      <c r="K1223" s="175" t="s">
        <v>57</v>
      </c>
      <c r="L1223" s="172" t="s">
        <v>56</v>
      </c>
    </row>
    <row r="1224" spans="1:12" x14ac:dyDescent="0.2">
      <c r="A1224" s="172" t="s">
        <v>12</v>
      </c>
      <c r="B1224" s="172" t="s">
        <v>13</v>
      </c>
      <c r="C1224" s="172" t="s">
        <v>21</v>
      </c>
      <c r="D1224" s="172" t="s">
        <v>15</v>
      </c>
      <c r="E1224" s="173">
        <v>42284</v>
      </c>
      <c r="F1224" s="174">
        <v>0.02</v>
      </c>
      <c r="G1224" s="175" t="s">
        <v>16</v>
      </c>
      <c r="H1224" s="172" t="s">
        <v>20</v>
      </c>
      <c r="I1224" s="175">
        <v>1</v>
      </c>
      <c r="J1224" s="175" t="s">
        <v>18</v>
      </c>
      <c r="K1224" s="175" t="s">
        <v>57</v>
      </c>
      <c r="L1224" s="172" t="s">
        <v>56</v>
      </c>
    </row>
    <row r="1225" spans="1:12" x14ac:dyDescent="0.2">
      <c r="A1225" s="172" t="s">
        <v>12</v>
      </c>
      <c r="B1225" s="172" t="s">
        <v>13</v>
      </c>
      <c r="C1225" s="172" t="s">
        <v>21</v>
      </c>
      <c r="D1225" s="172" t="s">
        <v>15</v>
      </c>
      <c r="E1225" s="173">
        <v>42284</v>
      </c>
      <c r="F1225" s="174">
        <v>3.0023998999999999</v>
      </c>
      <c r="G1225" s="175" t="s">
        <v>19</v>
      </c>
      <c r="H1225" s="172" t="s">
        <v>20</v>
      </c>
      <c r="I1225" s="175">
        <v>1</v>
      </c>
      <c r="J1225" s="175" t="s">
        <v>18</v>
      </c>
      <c r="K1225" s="175" t="s">
        <v>57</v>
      </c>
      <c r="L1225" s="172" t="s">
        <v>56</v>
      </c>
    </row>
    <row r="1226" spans="1:12" x14ac:dyDescent="0.2">
      <c r="A1226" s="172" t="s">
        <v>12</v>
      </c>
      <c r="B1226" s="172" t="s">
        <v>13</v>
      </c>
      <c r="C1226" s="172" t="s">
        <v>21</v>
      </c>
      <c r="D1226" s="172" t="s">
        <v>15</v>
      </c>
      <c r="E1226" s="173">
        <v>42278</v>
      </c>
      <c r="F1226" s="174">
        <v>1.3842857</v>
      </c>
      <c r="G1226" s="175" t="s">
        <v>16</v>
      </c>
      <c r="H1226" s="172" t="s">
        <v>17</v>
      </c>
      <c r="I1226" s="175">
        <v>1</v>
      </c>
      <c r="J1226" s="175" t="s">
        <v>18</v>
      </c>
      <c r="K1226" s="175" t="s">
        <v>57</v>
      </c>
      <c r="L1226" s="172" t="s">
        <v>56</v>
      </c>
    </row>
    <row r="1227" spans="1:12" x14ac:dyDescent="0.2">
      <c r="A1227" s="172" t="s">
        <v>12</v>
      </c>
      <c r="B1227" s="172" t="s">
        <v>13</v>
      </c>
      <c r="C1227" s="172" t="s">
        <v>21</v>
      </c>
      <c r="D1227" s="172" t="s">
        <v>15</v>
      </c>
      <c r="E1227" s="173">
        <v>42278</v>
      </c>
      <c r="F1227" s="174">
        <v>202.03649999999999</v>
      </c>
      <c r="G1227" s="175" t="s">
        <v>19</v>
      </c>
      <c r="H1227" s="172" t="s">
        <v>17</v>
      </c>
      <c r="I1227" s="175">
        <v>1</v>
      </c>
      <c r="J1227" s="175" t="s">
        <v>18</v>
      </c>
      <c r="K1227" s="175" t="s">
        <v>57</v>
      </c>
      <c r="L1227" s="172" t="s">
        <v>56</v>
      </c>
    </row>
    <row r="1228" spans="1:12" x14ac:dyDescent="0.2">
      <c r="A1228" s="172" t="s">
        <v>12</v>
      </c>
      <c r="B1228" s="172" t="s">
        <v>13</v>
      </c>
      <c r="C1228" s="172" t="s">
        <v>21</v>
      </c>
      <c r="D1228" s="172" t="s">
        <v>15</v>
      </c>
      <c r="E1228" s="173">
        <v>42278</v>
      </c>
      <c r="F1228" s="174">
        <v>1.41</v>
      </c>
      <c r="G1228" s="175" t="s">
        <v>16</v>
      </c>
      <c r="H1228" s="172" t="s">
        <v>20</v>
      </c>
      <c r="I1228" s="175">
        <v>1</v>
      </c>
      <c r="J1228" s="175" t="s">
        <v>18</v>
      </c>
      <c r="K1228" s="175" t="s">
        <v>57</v>
      </c>
      <c r="L1228" s="172" t="s">
        <v>56</v>
      </c>
    </row>
    <row r="1229" spans="1:12" x14ac:dyDescent="0.2">
      <c r="A1229" s="172" t="s">
        <v>12</v>
      </c>
      <c r="B1229" s="172" t="s">
        <v>13</v>
      </c>
      <c r="C1229" s="172" t="s">
        <v>21</v>
      </c>
      <c r="D1229" s="172" t="s">
        <v>15</v>
      </c>
      <c r="E1229" s="173">
        <v>42278</v>
      </c>
      <c r="F1229" s="174">
        <v>217.54889990000001</v>
      </c>
      <c r="G1229" s="175" t="s">
        <v>19</v>
      </c>
      <c r="H1229" s="172" t="s">
        <v>20</v>
      </c>
      <c r="I1229" s="175">
        <v>1</v>
      </c>
      <c r="J1229" s="175" t="s">
        <v>18</v>
      </c>
      <c r="K1229" s="175" t="s">
        <v>57</v>
      </c>
      <c r="L1229" s="172" t="s">
        <v>56</v>
      </c>
    </row>
    <row r="1230" spans="1:12" x14ac:dyDescent="0.2">
      <c r="A1230" s="172" t="s">
        <v>12</v>
      </c>
      <c r="B1230" s="172" t="s">
        <v>13</v>
      </c>
      <c r="C1230" s="172" t="s">
        <v>21</v>
      </c>
      <c r="D1230" s="172" t="s">
        <v>15</v>
      </c>
      <c r="E1230" s="173">
        <v>42263</v>
      </c>
      <c r="F1230" s="174">
        <v>1.6652849000000001</v>
      </c>
      <c r="G1230" s="175" t="s">
        <v>16</v>
      </c>
      <c r="H1230" s="172" t="s">
        <v>17</v>
      </c>
      <c r="I1230" s="175">
        <v>1</v>
      </c>
      <c r="J1230" s="175" t="s">
        <v>18</v>
      </c>
      <c r="K1230" s="175" t="s">
        <v>57</v>
      </c>
      <c r="L1230" s="172" t="s">
        <v>56</v>
      </c>
    </row>
    <row r="1231" spans="1:12" x14ac:dyDescent="0.2">
      <c r="A1231" s="172" t="s">
        <v>12</v>
      </c>
      <c r="B1231" s="172" t="s">
        <v>13</v>
      </c>
      <c r="C1231" s="172" t="s">
        <v>21</v>
      </c>
      <c r="D1231" s="172" t="s">
        <v>15</v>
      </c>
      <c r="E1231" s="173">
        <v>42263</v>
      </c>
      <c r="F1231" s="174">
        <v>268.04759999999999</v>
      </c>
      <c r="G1231" s="175" t="s">
        <v>19</v>
      </c>
      <c r="H1231" s="172" t="s">
        <v>17</v>
      </c>
      <c r="I1231" s="175">
        <v>1</v>
      </c>
      <c r="J1231" s="175" t="s">
        <v>18</v>
      </c>
      <c r="K1231" s="175" t="s">
        <v>57</v>
      </c>
      <c r="L1231" s="172" t="s">
        <v>56</v>
      </c>
    </row>
    <row r="1232" spans="1:12" x14ac:dyDescent="0.2">
      <c r="A1232" s="172" t="s">
        <v>12</v>
      </c>
      <c r="B1232" s="172" t="s">
        <v>13</v>
      </c>
      <c r="C1232" s="172" t="s">
        <v>21</v>
      </c>
      <c r="D1232" s="172" t="s">
        <v>15</v>
      </c>
      <c r="E1232" s="173">
        <v>42263</v>
      </c>
      <c r="F1232" s="174">
        <v>0.7</v>
      </c>
      <c r="G1232" s="175" t="s">
        <v>16</v>
      </c>
      <c r="H1232" s="172" t="s">
        <v>20</v>
      </c>
      <c r="I1232" s="175">
        <v>1</v>
      </c>
      <c r="J1232" s="175" t="s">
        <v>18</v>
      </c>
      <c r="K1232" s="175" t="s">
        <v>57</v>
      </c>
      <c r="L1232" s="172" t="s">
        <v>56</v>
      </c>
    </row>
    <row r="1233" spans="1:12" x14ac:dyDescent="0.2">
      <c r="A1233" s="172" t="s">
        <v>12</v>
      </c>
      <c r="B1233" s="172" t="s">
        <v>13</v>
      </c>
      <c r="C1233" s="172" t="s">
        <v>21</v>
      </c>
      <c r="D1233" s="172" t="s">
        <v>15</v>
      </c>
      <c r="E1233" s="173">
        <v>42263</v>
      </c>
      <c r="F1233" s="174">
        <v>130.77119999999999</v>
      </c>
      <c r="G1233" s="175" t="s">
        <v>19</v>
      </c>
      <c r="H1233" s="172" t="s">
        <v>20</v>
      </c>
      <c r="I1233" s="175">
        <v>1</v>
      </c>
      <c r="J1233" s="175" t="s">
        <v>18</v>
      </c>
      <c r="K1233" s="175" t="s">
        <v>57</v>
      </c>
      <c r="L1233" s="172" t="s">
        <v>56</v>
      </c>
    </row>
    <row r="1234" spans="1:12" x14ac:dyDescent="0.2">
      <c r="A1234" s="172" t="s">
        <v>12</v>
      </c>
      <c r="B1234" s="172" t="s">
        <v>13</v>
      </c>
      <c r="C1234" s="172" t="s">
        <v>21</v>
      </c>
      <c r="D1234" s="172" t="s">
        <v>15</v>
      </c>
      <c r="E1234" s="173">
        <v>42256</v>
      </c>
      <c r="F1234" s="174">
        <v>0.29649120000000001</v>
      </c>
      <c r="G1234" s="175" t="s">
        <v>16</v>
      </c>
      <c r="H1234" s="172" t="s">
        <v>17</v>
      </c>
      <c r="I1234" s="175">
        <v>1</v>
      </c>
      <c r="J1234" s="175" t="s">
        <v>18</v>
      </c>
      <c r="K1234" s="175" t="s">
        <v>57</v>
      </c>
      <c r="L1234" s="172" t="s">
        <v>56</v>
      </c>
    </row>
    <row r="1235" spans="1:12" x14ac:dyDescent="0.2">
      <c r="A1235" s="172" t="s">
        <v>12</v>
      </c>
      <c r="B1235" s="172" t="s">
        <v>13</v>
      </c>
      <c r="C1235" s="172" t="s">
        <v>21</v>
      </c>
      <c r="D1235" s="172" t="s">
        <v>15</v>
      </c>
      <c r="E1235" s="173">
        <v>42256</v>
      </c>
      <c r="F1235" s="174">
        <v>42.283799899999998</v>
      </c>
      <c r="G1235" s="175" t="s">
        <v>19</v>
      </c>
      <c r="H1235" s="172" t="s">
        <v>17</v>
      </c>
      <c r="I1235" s="175">
        <v>1</v>
      </c>
      <c r="J1235" s="175" t="s">
        <v>18</v>
      </c>
      <c r="K1235" s="175" t="s">
        <v>57</v>
      </c>
      <c r="L1235" s="172" t="s">
        <v>56</v>
      </c>
    </row>
    <row r="1236" spans="1:12" x14ac:dyDescent="0.2">
      <c r="A1236" s="172" t="s">
        <v>12</v>
      </c>
      <c r="B1236" s="172" t="s">
        <v>13</v>
      </c>
      <c r="C1236" s="172" t="s">
        <v>21</v>
      </c>
      <c r="D1236" s="172" t="s">
        <v>15</v>
      </c>
      <c r="E1236" s="173">
        <v>42256</v>
      </c>
      <c r="F1236" s="174">
        <v>0.19999990000000001</v>
      </c>
      <c r="G1236" s="175" t="s">
        <v>16</v>
      </c>
      <c r="H1236" s="172" t="s">
        <v>20</v>
      </c>
      <c r="I1236" s="175">
        <v>1</v>
      </c>
      <c r="J1236" s="175" t="s">
        <v>18</v>
      </c>
      <c r="K1236" s="175" t="s">
        <v>57</v>
      </c>
      <c r="L1236" s="172" t="s">
        <v>56</v>
      </c>
    </row>
    <row r="1237" spans="1:12" x14ac:dyDescent="0.2">
      <c r="A1237" s="172" t="s">
        <v>12</v>
      </c>
      <c r="B1237" s="172" t="s">
        <v>13</v>
      </c>
      <c r="C1237" s="172" t="s">
        <v>21</v>
      </c>
      <c r="D1237" s="172" t="s">
        <v>15</v>
      </c>
      <c r="E1237" s="173">
        <v>42256</v>
      </c>
      <c r="F1237" s="174">
        <v>33.193199999999997</v>
      </c>
      <c r="G1237" s="175" t="s">
        <v>19</v>
      </c>
      <c r="H1237" s="172" t="s">
        <v>20</v>
      </c>
      <c r="I1237" s="175">
        <v>1</v>
      </c>
      <c r="J1237" s="175" t="s">
        <v>18</v>
      </c>
      <c r="K1237" s="175" t="s">
        <v>57</v>
      </c>
      <c r="L1237" s="172" t="s">
        <v>56</v>
      </c>
    </row>
    <row r="1238" spans="1:12" x14ac:dyDescent="0.2">
      <c r="A1238" s="172" t="s">
        <v>12</v>
      </c>
      <c r="B1238" s="172" t="s">
        <v>13</v>
      </c>
      <c r="C1238" s="172" t="s">
        <v>21</v>
      </c>
      <c r="D1238" s="172" t="s">
        <v>15</v>
      </c>
      <c r="E1238" s="173">
        <v>42249</v>
      </c>
      <c r="F1238" s="174">
        <v>0.31925130000000002</v>
      </c>
      <c r="G1238" s="175" t="s">
        <v>16</v>
      </c>
      <c r="H1238" s="172" t="s">
        <v>17</v>
      </c>
      <c r="I1238" s="175">
        <v>1</v>
      </c>
      <c r="J1238" s="175" t="s">
        <v>18</v>
      </c>
      <c r="K1238" s="175" t="s">
        <v>57</v>
      </c>
      <c r="L1238" s="172" t="s">
        <v>56</v>
      </c>
    </row>
    <row r="1239" spans="1:12" x14ac:dyDescent="0.2">
      <c r="A1239" s="172" t="s">
        <v>12</v>
      </c>
      <c r="B1239" s="172" t="s">
        <v>13</v>
      </c>
      <c r="C1239" s="172" t="s">
        <v>21</v>
      </c>
      <c r="D1239" s="172" t="s">
        <v>15</v>
      </c>
      <c r="E1239" s="173">
        <v>42249</v>
      </c>
      <c r="F1239" s="174">
        <v>49.789799899999998</v>
      </c>
      <c r="G1239" s="175" t="s">
        <v>19</v>
      </c>
      <c r="H1239" s="172" t="s">
        <v>17</v>
      </c>
      <c r="I1239" s="175">
        <v>1</v>
      </c>
      <c r="J1239" s="175" t="s">
        <v>18</v>
      </c>
      <c r="K1239" s="175" t="s">
        <v>57</v>
      </c>
      <c r="L1239" s="172" t="s">
        <v>56</v>
      </c>
    </row>
    <row r="1240" spans="1:12" x14ac:dyDescent="0.2">
      <c r="A1240" s="172" t="s">
        <v>12</v>
      </c>
      <c r="B1240" s="172" t="s">
        <v>13</v>
      </c>
      <c r="C1240" s="172" t="s">
        <v>21</v>
      </c>
      <c r="D1240" s="172" t="s">
        <v>15</v>
      </c>
      <c r="E1240" s="173">
        <v>42249</v>
      </c>
      <c r="F1240" s="174">
        <v>0.1</v>
      </c>
      <c r="G1240" s="175" t="s">
        <v>16</v>
      </c>
      <c r="H1240" s="172" t="s">
        <v>20</v>
      </c>
      <c r="I1240" s="175">
        <v>1</v>
      </c>
      <c r="J1240" s="175" t="s">
        <v>18</v>
      </c>
      <c r="K1240" s="175" t="s">
        <v>57</v>
      </c>
      <c r="L1240" s="172" t="s">
        <v>56</v>
      </c>
    </row>
    <row r="1241" spans="1:12" x14ac:dyDescent="0.2">
      <c r="A1241" s="172" t="s">
        <v>12</v>
      </c>
      <c r="B1241" s="172" t="s">
        <v>13</v>
      </c>
      <c r="C1241" s="172" t="s">
        <v>21</v>
      </c>
      <c r="D1241" s="172" t="s">
        <v>15</v>
      </c>
      <c r="E1241" s="173">
        <v>42249</v>
      </c>
      <c r="F1241" s="174">
        <v>17.2638</v>
      </c>
      <c r="G1241" s="175" t="s">
        <v>19</v>
      </c>
      <c r="H1241" s="172" t="s">
        <v>20</v>
      </c>
      <c r="I1241" s="175">
        <v>1</v>
      </c>
      <c r="J1241" s="175" t="s">
        <v>18</v>
      </c>
      <c r="K1241" s="175" t="s">
        <v>57</v>
      </c>
      <c r="L1241" s="172" t="s">
        <v>56</v>
      </c>
    </row>
    <row r="1242" spans="1:12" x14ac:dyDescent="0.2">
      <c r="A1242" s="172" t="s">
        <v>12</v>
      </c>
      <c r="B1242" s="172" t="s">
        <v>13</v>
      </c>
      <c r="C1242" s="172" t="s">
        <v>21</v>
      </c>
      <c r="D1242" s="172" t="s">
        <v>15</v>
      </c>
      <c r="E1242" s="173">
        <v>42242</v>
      </c>
      <c r="F1242" s="174">
        <v>0.81759159999999997</v>
      </c>
      <c r="G1242" s="175" t="s">
        <v>16</v>
      </c>
      <c r="H1242" s="172" t="s">
        <v>17</v>
      </c>
      <c r="I1242" s="175">
        <v>1</v>
      </c>
      <c r="J1242" s="175" t="s">
        <v>18</v>
      </c>
      <c r="K1242" s="175" t="s">
        <v>57</v>
      </c>
      <c r="L1242" s="172" t="s">
        <v>56</v>
      </c>
    </row>
    <row r="1243" spans="1:12" x14ac:dyDescent="0.2">
      <c r="A1243" s="172" t="s">
        <v>12</v>
      </c>
      <c r="B1243" s="172" t="s">
        <v>13</v>
      </c>
      <c r="C1243" s="172" t="s">
        <v>21</v>
      </c>
      <c r="D1243" s="172" t="s">
        <v>15</v>
      </c>
      <c r="E1243" s="173">
        <v>42242</v>
      </c>
      <c r="F1243" s="174">
        <v>130.23743999999999</v>
      </c>
      <c r="G1243" s="175" t="s">
        <v>19</v>
      </c>
      <c r="H1243" s="172" t="s">
        <v>17</v>
      </c>
      <c r="I1243" s="175">
        <v>1</v>
      </c>
      <c r="J1243" s="175" t="s">
        <v>18</v>
      </c>
      <c r="K1243" s="175" t="s">
        <v>57</v>
      </c>
      <c r="L1243" s="172" t="s">
        <v>56</v>
      </c>
    </row>
    <row r="1244" spans="1:12" x14ac:dyDescent="0.2">
      <c r="A1244" s="172" t="s">
        <v>12</v>
      </c>
      <c r="B1244" s="172" t="s">
        <v>13</v>
      </c>
      <c r="C1244" s="172" t="s">
        <v>21</v>
      </c>
      <c r="D1244" s="172" t="s">
        <v>15</v>
      </c>
      <c r="E1244" s="173">
        <v>42242</v>
      </c>
      <c r="F1244" s="174">
        <v>0.55000000000000004</v>
      </c>
      <c r="G1244" s="175" t="s">
        <v>16</v>
      </c>
      <c r="H1244" s="172" t="s">
        <v>20</v>
      </c>
      <c r="I1244" s="175">
        <v>1</v>
      </c>
      <c r="J1244" s="175" t="s">
        <v>18</v>
      </c>
      <c r="K1244" s="175" t="s">
        <v>57</v>
      </c>
      <c r="L1244" s="172" t="s">
        <v>56</v>
      </c>
    </row>
    <row r="1245" spans="1:12" x14ac:dyDescent="0.2">
      <c r="A1245" s="172" t="s">
        <v>12</v>
      </c>
      <c r="B1245" s="172" t="s">
        <v>13</v>
      </c>
      <c r="C1245" s="172" t="s">
        <v>21</v>
      </c>
      <c r="D1245" s="172" t="s">
        <v>15</v>
      </c>
      <c r="E1245" s="173">
        <v>42242</v>
      </c>
      <c r="F1245" s="174">
        <v>102.7488</v>
      </c>
      <c r="G1245" s="175" t="s">
        <v>19</v>
      </c>
      <c r="H1245" s="172" t="s">
        <v>20</v>
      </c>
      <c r="I1245" s="175">
        <v>1</v>
      </c>
      <c r="J1245" s="175" t="s">
        <v>18</v>
      </c>
      <c r="K1245" s="175" t="s">
        <v>57</v>
      </c>
      <c r="L1245" s="172" t="s">
        <v>56</v>
      </c>
    </row>
    <row r="1246" spans="1:12" x14ac:dyDescent="0.2">
      <c r="A1246" s="172" t="s">
        <v>12</v>
      </c>
      <c r="B1246" s="172" t="s">
        <v>13</v>
      </c>
      <c r="C1246" s="172" t="s">
        <v>21</v>
      </c>
      <c r="D1246" s="172" t="s">
        <v>15</v>
      </c>
      <c r="E1246" s="173">
        <v>42234</v>
      </c>
      <c r="F1246" s="174">
        <v>0.45119989999999999</v>
      </c>
      <c r="G1246" s="175" t="s">
        <v>16</v>
      </c>
      <c r="H1246" s="172" t="s">
        <v>17</v>
      </c>
      <c r="I1246" s="175">
        <v>1</v>
      </c>
      <c r="J1246" s="175" t="s">
        <v>18</v>
      </c>
      <c r="K1246" s="175" t="s">
        <v>57</v>
      </c>
      <c r="L1246" s="172" t="s">
        <v>56</v>
      </c>
    </row>
    <row r="1247" spans="1:12" x14ac:dyDescent="0.2">
      <c r="A1247" s="172" t="s">
        <v>12</v>
      </c>
      <c r="B1247" s="172" t="s">
        <v>13</v>
      </c>
      <c r="C1247" s="172" t="s">
        <v>21</v>
      </c>
      <c r="D1247" s="172" t="s">
        <v>15</v>
      </c>
      <c r="E1247" s="173">
        <v>42234</v>
      </c>
      <c r="F1247" s="174">
        <v>94.075199900000001</v>
      </c>
      <c r="G1247" s="175" t="s">
        <v>19</v>
      </c>
      <c r="H1247" s="172" t="s">
        <v>17</v>
      </c>
      <c r="I1247" s="175">
        <v>1</v>
      </c>
      <c r="J1247" s="175" t="s">
        <v>18</v>
      </c>
      <c r="K1247" s="175" t="s">
        <v>57</v>
      </c>
      <c r="L1247" s="172" t="s">
        <v>56</v>
      </c>
    </row>
    <row r="1248" spans="1:12" x14ac:dyDescent="0.2">
      <c r="A1248" s="172" t="s">
        <v>12</v>
      </c>
      <c r="B1248" s="172" t="s">
        <v>13</v>
      </c>
      <c r="C1248" s="172" t="s">
        <v>21</v>
      </c>
      <c r="D1248" s="172" t="s">
        <v>15</v>
      </c>
      <c r="E1248" s="173">
        <v>42234</v>
      </c>
      <c r="F1248" s="174">
        <v>0.02</v>
      </c>
      <c r="G1248" s="175" t="s">
        <v>16</v>
      </c>
      <c r="H1248" s="172" t="s">
        <v>20</v>
      </c>
      <c r="I1248" s="175">
        <v>1</v>
      </c>
      <c r="J1248" s="175" t="s">
        <v>18</v>
      </c>
      <c r="K1248" s="175" t="s">
        <v>57</v>
      </c>
      <c r="L1248" s="172" t="s">
        <v>56</v>
      </c>
    </row>
    <row r="1249" spans="1:12" x14ac:dyDescent="0.2">
      <c r="A1249" s="172" t="s">
        <v>12</v>
      </c>
      <c r="B1249" s="172" t="s">
        <v>13</v>
      </c>
      <c r="C1249" s="172" t="s">
        <v>21</v>
      </c>
      <c r="D1249" s="172" t="s">
        <v>15</v>
      </c>
      <c r="E1249" s="173">
        <v>42234</v>
      </c>
      <c r="F1249" s="174">
        <v>4.4535600000000004</v>
      </c>
      <c r="G1249" s="175" t="s">
        <v>19</v>
      </c>
      <c r="H1249" s="172" t="s">
        <v>20</v>
      </c>
      <c r="I1249" s="175">
        <v>1</v>
      </c>
      <c r="J1249" s="175" t="s">
        <v>18</v>
      </c>
      <c r="K1249" s="175" t="s">
        <v>57</v>
      </c>
      <c r="L1249" s="172" t="s">
        <v>56</v>
      </c>
    </row>
    <row r="1250" spans="1:12" x14ac:dyDescent="0.2">
      <c r="A1250" s="172" t="s">
        <v>12</v>
      </c>
      <c r="B1250" s="172" t="s">
        <v>13</v>
      </c>
      <c r="C1250" s="172" t="s">
        <v>21</v>
      </c>
      <c r="D1250" s="172" t="s">
        <v>15</v>
      </c>
      <c r="E1250" s="173">
        <v>42228</v>
      </c>
      <c r="F1250" s="174">
        <v>1.5766519000000001</v>
      </c>
      <c r="G1250" s="175" t="s">
        <v>16</v>
      </c>
      <c r="H1250" s="172" t="s">
        <v>17</v>
      </c>
      <c r="I1250" s="175">
        <v>1</v>
      </c>
      <c r="J1250" s="175" t="s">
        <v>18</v>
      </c>
      <c r="K1250" s="175" t="s">
        <v>57</v>
      </c>
      <c r="L1250" s="172" t="s">
        <v>56</v>
      </c>
    </row>
    <row r="1251" spans="1:12" x14ac:dyDescent="0.2">
      <c r="A1251" s="172" t="s">
        <v>12</v>
      </c>
      <c r="B1251" s="172" t="s">
        <v>13</v>
      </c>
      <c r="C1251" s="172" t="s">
        <v>21</v>
      </c>
      <c r="D1251" s="172" t="s">
        <v>15</v>
      </c>
      <c r="E1251" s="173">
        <v>42228</v>
      </c>
      <c r="F1251" s="174">
        <v>298.48860000000002</v>
      </c>
      <c r="G1251" s="175" t="s">
        <v>19</v>
      </c>
      <c r="H1251" s="172" t="s">
        <v>17</v>
      </c>
      <c r="I1251" s="175">
        <v>1</v>
      </c>
      <c r="J1251" s="175" t="s">
        <v>18</v>
      </c>
      <c r="K1251" s="175" t="s">
        <v>57</v>
      </c>
      <c r="L1251" s="172" t="s">
        <v>56</v>
      </c>
    </row>
    <row r="1252" spans="1:12" x14ac:dyDescent="0.2">
      <c r="A1252" s="172" t="s">
        <v>12</v>
      </c>
      <c r="B1252" s="172" t="s">
        <v>13</v>
      </c>
      <c r="C1252" s="172" t="s">
        <v>21</v>
      </c>
      <c r="D1252" s="172" t="s">
        <v>15</v>
      </c>
      <c r="E1252" s="173">
        <v>42228</v>
      </c>
      <c r="F1252" s="174">
        <v>0.4</v>
      </c>
      <c r="G1252" s="175" t="s">
        <v>16</v>
      </c>
      <c r="H1252" s="172" t="s">
        <v>20</v>
      </c>
      <c r="I1252" s="175">
        <v>1</v>
      </c>
      <c r="J1252" s="175" t="s">
        <v>18</v>
      </c>
      <c r="K1252" s="175" t="s">
        <v>57</v>
      </c>
      <c r="L1252" s="172" t="s">
        <v>56</v>
      </c>
    </row>
    <row r="1253" spans="1:12" x14ac:dyDescent="0.2">
      <c r="A1253" s="172" t="s">
        <v>12</v>
      </c>
      <c r="B1253" s="172" t="s">
        <v>13</v>
      </c>
      <c r="C1253" s="172" t="s">
        <v>21</v>
      </c>
      <c r="D1253" s="172" t="s">
        <v>15</v>
      </c>
      <c r="E1253" s="173">
        <v>42228</v>
      </c>
      <c r="F1253" s="174">
        <v>84.734399999999994</v>
      </c>
      <c r="G1253" s="175" t="s">
        <v>19</v>
      </c>
      <c r="H1253" s="172" t="s">
        <v>20</v>
      </c>
      <c r="I1253" s="175">
        <v>1</v>
      </c>
      <c r="J1253" s="175" t="s">
        <v>18</v>
      </c>
      <c r="K1253" s="175" t="s">
        <v>57</v>
      </c>
      <c r="L1253" s="172" t="s">
        <v>56</v>
      </c>
    </row>
    <row r="1254" spans="1:12" x14ac:dyDescent="0.2">
      <c r="A1254" s="172" t="s">
        <v>12</v>
      </c>
      <c r="B1254" s="172" t="s">
        <v>13</v>
      </c>
      <c r="C1254" s="172" t="s">
        <v>21</v>
      </c>
      <c r="D1254" s="172" t="s">
        <v>15</v>
      </c>
      <c r="E1254" s="173">
        <v>42221</v>
      </c>
      <c r="F1254" s="174">
        <v>0.56226410000000004</v>
      </c>
      <c r="G1254" s="175" t="s">
        <v>16</v>
      </c>
      <c r="H1254" s="172" t="s">
        <v>17</v>
      </c>
      <c r="I1254" s="175">
        <v>1</v>
      </c>
      <c r="J1254" s="175" t="s">
        <v>18</v>
      </c>
      <c r="K1254" s="175" t="s">
        <v>57</v>
      </c>
      <c r="L1254" s="172" t="s">
        <v>56</v>
      </c>
    </row>
    <row r="1255" spans="1:12" x14ac:dyDescent="0.2">
      <c r="A1255" s="172" t="s">
        <v>12</v>
      </c>
      <c r="B1255" s="172" t="s">
        <v>13</v>
      </c>
      <c r="C1255" s="172" t="s">
        <v>21</v>
      </c>
      <c r="D1255" s="172" t="s">
        <v>15</v>
      </c>
      <c r="E1255" s="173">
        <v>42221</v>
      </c>
      <c r="F1255" s="174">
        <v>99.412800000000004</v>
      </c>
      <c r="G1255" s="175" t="s">
        <v>19</v>
      </c>
      <c r="H1255" s="172" t="s">
        <v>17</v>
      </c>
      <c r="I1255" s="175">
        <v>1</v>
      </c>
      <c r="J1255" s="175" t="s">
        <v>18</v>
      </c>
      <c r="K1255" s="175" t="s">
        <v>57</v>
      </c>
      <c r="L1255" s="172" t="s">
        <v>56</v>
      </c>
    </row>
    <row r="1256" spans="1:12" x14ac:dyDescent="0.2">
      <c r="A1256" s="172" t="s">
        <v>12</v>
      </c>
      <c r="B1256" s="172" t="s">
        <v>13</v>
      </c>
      <c r="C1256" s="172" t="s">
        <v>21</v>
      </c>
      <c r="D1256" s="172" t="s">
        <v>15</v>
      </c>
      <c r="E1256" s="173">
        <v>42221</v>
      </c>
      <c r="F1256" s="174">
        <v>0.2</v>
      </c>
      <c r="G1256" s="175" t="s">
        <v>16</v>
      </c>
      <c r="H1256" s="172" t="s">
        <v>20</v>
      </c>
      <c r="I1256" s="175">
        <v>1</v>
      </c>
      <c r="J1256" s="175" t="s">
        <v>18</v>
      </c>
      <c r="K1256" s="175" t="s">
        <v>57</v>
      </c>
      <c r="L1256" s="172" t="s">
        <v>56</v>
      </c>
    </row>
    <row r="1257" spans="1:12" x14ac:dyDescent="0.2">
      <c r="A1257" s="172" t="s">
        <v>12</v>
      </c>
      <c r="B1257" s="172" t="s">
        <v>13</v>
      </c>
      <c r="C1257" s="172" t="s">
        <v>21</v>
      </c>
      <c r="D1257" s="172" t="s">
        <v>15</v>
      </c>
      <c r="E1257" s="173">
        <v>42221</v>
      </c>
      <c r="F1257" s="174">
        <v>39.031199999999998</v>
      </c>
      <c r="G1257" s="175" t="s">
        <v>19</v>
      </c>
      <c r="H1257" s="172" t="s">
        <v>20</v>
      </c>
      <c r="I1257" s="175">
        <v>1</v>
      </c>
      <c r="J1257" s="175" t="s">
        <v>18</v>
      </c>
      <c r="K1257" s="175" t="s">
        <v>57</v>
      </c>
      <c r="L1257" s="172" t="s">
        <v>56</v>
      </c>
    </row>
    <row r="1258" spans="1:12" x14ac:dyDescent="0.2">
      <c r="A1258" s="172" t="s">
        <v>12</v>
      </c>
      <c r="B1258" s="172" t="s">
        <v>13</v>
      </c>
      <c r="C1258" s="172" t="s">
        <v>21</v>
      </c>
      <c r="D1258" s="172" t="s">
        <v>15</v>
      </c>
      <c r="E1258" s="173">
        <v>42212</v>
      </c>
      <c r="F1258" s="174">
        <v>0.94341079999999999</v>
      </c>
      <c r="G1258" s="175" t="s">
        <v>16</v>
      </c>
      <c r="H1258" s="172" t="s">
        <v>17</v>
      </c>
      <c r="I1258" s="175">
        <v>1</v>
      </c>
      <c r="J1258" s="175" t="s">
        <v>18</v>
      </c>
      <c r="K1258" s="175" t="s">
        <v>57</v>
      </c>
      <c r="L1258" s="172" t="s">
        <v>56</v>
      </c>
    </row>
    <row r="1259" spans="1:12" x14ac:dyDescent="0.2">
      <c r="A1259" s="172" t="s">
        <v>12</v>
      </c>
      <c r="B1259" s="172" t="s">
        <v>13</v>
      </c>
      <c r="C1259" s="172" t="s">
        <v>21</v>
      </c>
      <c r="D1259" s="172" t="s">
        <v>15</v>
      </c>
      <c r="E1259" s="173">
        <v>42212</v>
      </c>
      <c r="F1259" s="174">
        <v>202.9956</v>
      </c>
      <c r="G1259" s="175" t="s">
        <v>19</v>
      </c>
      <c r="H1259" s="172" t="s">
        <v>17</v>
      </c>
      <c r="I1259" s="175">
        <v>1</v>
      </c>
      <c r="J1259" s="175" t="s">
        <v>18</v>
      </c>
      <c r="K1259" s="175" t="s">
        <v>57</v>
      </c>
      <c r="L1259" s="172" t="s">
        <v>56</v>
      </c>
    </row>
    <row r="1260" spans="1:12" x14ac:dyDescent="0.2">
      <c r="A1260" s="172" t="s">
        <v>12</v>
      </c>
      <c r="B1260" s="172" t="s">
        <v>13</v>
      </c>
      <c r="C1260" s="172" t="s">
        <v>21</v>
      </c>
      <c r="D1260" s="172" t="s">
        <v>15</v>
      </c>
      <c r="E1260" s="173">
        <v>42212</v>
      </c>
      <c r="F1260" s="174">
        <v>0.2</v>
      </c>
      <c r="G1260" s="175" t="s">
        <v>16</v>
      </c>
      <c r="H1260" s="172" t="s">
        <v>20</v>
      </c>
      <c r="I1260" s="175">
        <v>1</v>
      </c>
      <c r="J1260" s="175" t="s">
        <v>18</v>
      </c>
      <c r="K1260" s="175" t="s">
        <v>57</v>
      </c>
      <c r="L1260" s="172" t="s">
        <v>56</v>
      </c>
    </row>
    <row r="1261" spans="1:12" x14ac:dyDescent="0.2">
      <c r="A1261" s="172" t="s">
        <v>12</v>
      </c>
      <c r="B1261" s="172" t="s">
        <v>13</v>
      </c>
      <c r="C1261" s="172" t="s">
        <v>21</v>
      </c>
      <c r="D1261" s="172" t="s">
        <v>15</v>
      </c>
      <c r="E1261" s="173">
        <v>42212</v>
      </c>
      <c r="F1261" s="174">
        <v>46.036799999999999</v>
      </c>
      <c r="G1261" s="175" t="s">
        <v>19</v>
      </c>
      <c r="H1261" s="172" t="s">
        <v>20</v>
      </c>
      <c r="I1261" s="175">
        <v>1</v>
      </c>
      <c r="J1261" s="175" t="s">
        <v>18</v>
      </c>
      <c r="K1261" s="175" t="s">
        <v>57</v>
      </c>
      <c r="L1261" s="172" t="s">
        <v>56</v>
      </c>
    </row>
    <row r="1262" spans="1:12" x14ac:dyDescent="0.2">
      <c r="A1262" s="172" t="s">
        <v>12</v>
      </c>
      <c r="B1262" s="172" t="s">
        <v>13</v>
      </c>
      <c r="C1262" s="172" t="s">
        <v>21</v>
      </c>
      <c r="D1262" s="172" t="s">
        <v>15</v>
      </c>
      <c r="E1262" s="173">
        <v>42207</v>
      </c>
      <c r="F1262" s="174">
        <v>0.48047129999999999</v>
      </c>
      <c r="G1262" s="175" t="s">
        <v>16</v>
      </c>
      <c r="H1262" s="172" t="s">
        <v>17</v>
      </c>
      <c r="I1262" s="175">
        <v>1</v>
      </c>
      <c r="J1262" s="175" t="s">
        <v>18</v>
      </c>
      <c r="K1262" s="175" t="s">
        <v>57</v>
      </c>
      <c r="L1262" s="172" t="s">
        <v>56</v>
      </c>
    </row>
    <row r="1263" spans="1:12" x14ac:dyDescent="0.2">
      <c r="A1263" s="172" t="s">
        <v>12</v>
      </c>
      <c r="B1263" s="172" t="s">
        <v>13</v>
      </c>
      <c r="C1263" s="172" t="s">
        <v>21</v>
      </c>
      <c r="D1263" s="172" t="s">
        <v>15</v>
      </c>
      <c r="E1263" s="173">
        <v>42207</v>
      </c>
      <c r="F1263" s="174">
        <v>119.01179999999999</v>
      </c>
      <c r="G1263" s="175" t="s">
        <v>19</v>
      </c>
      <c r="H1263" s="172" t="s">
        <v>17</v>
      </c>
      <c r="I1263" s="175">
        <v>1</v>
      </c>
      <c r="J1263" s="175" t="s">
        <v>18</v>
      </c>
      <c r="K1263" s="175" t="s">
        <v>57</v>
      </c>
      <c r="L1263" s="172" t="s">
        <v>56</v>
      </c>
    </row>
    <row r="1264" spans="1:12" x14ac:dyDescent="0.2">
      <c r="A1264" s="172" t="s">
        <v>12</v>
      </c>
      <c r="B1264" s="172" t="s">
        <v>13</v>
      </c>
      <c r="C1264" s="172" t="s">
        <v>21</v>
      </c>
      <c r="D1264" s="172" t="s">
        <v>15</v>
      </c>
      <c r="E1264" s="173">
        <v>42207</v>
      </c>
      <c r="F1264" s="174">
        <v>0.3</v>
      </c>
      <c r="G1264" s="175" t="s">
        <v>16</v>
      </c>
      <c r="H1264" s="172" t="s">
        <v>20</v>
      </c>
      <c r="I1264" s="175">
        <v>1</v>
      </c>
      <c r="J1264" s="175" t="s">
        <v>18</v>
      </c>
      <c r="K1264" s="175" t="s">
        <v>57</v>
      </c>
      <c r="L1264" s="172" t="s">
        <v>56</v>
      </c>
    </row>
    <row r="1265" spans="1:12" x14ac:dyDescent="0.2">
      <c r="A1265" s="172" t="s">
        <v>12</v>
      </c>
      <c r="B1265" s="172" t="s">
        <v>13</v>
      </c>
      <c r="C1265" s="172" t="s">
        <v>21</v>
      </c>
      <c r="D1265" s="172" t="s">
        <v>15</v>
      </c>
      <c r="E1265" s="173">
        <v>42207</v>
      </c>
      <c r="F1265" s="174">
        <v>79.063199999999995</v>
      </c>
      <c r="G1265" s="175" t="s">
        <v>19</v>
      </c>
      <c r="H1265" s="172" t="s">
        <v>20</v>
      </c>
      <c r="I1265" s="175">
        <v>1</v>
      </c>
      <c r="J1265" s="175" t="s">
        <v>18</v>
      </c>
      <c r="K1265" s="175" t="s">
        <v>57</v>
      </c>
      <c r="L1265" s="172" t="s">
        <v>56</v>
      </c>
    </row>
    <row r="1266" spans="1:12" x14ac:dyDescent="0.2">
      <c r="A1266" s="172" t="s">
        <v>12</v>
      </c>
      <c r="B1266" s="172" t="s">
        <v>13</v>
      </c>
      <c r="C1266" s="172" t="s">
        <v>21</v>
      </c>
      <c r="D1266" s="172" t="s">
        <v>15</v>
      </c>
      <c r="E1266" s="173">
        <v>42200</v>
      </c>
      <c r="F1266" s="174">
        <v>3.4208219</v>
      </c>
      <c r="G1266" s="175" t="s">
        <v>16</v>
      </c>
      <c r="H1266" s="172" t="s">
        <v>17</v>
      </c>
      <c r="I1266" s="175">
        <v>1</v>
      </c>
      <c r="J1266" s="175" t="s">
        <v>18</v>
      </c>
      <c r="K1266" s="175" t="s">
        <v>57</v>
      </c>
      <c r="L1266" s="172" t="s">
        <v>56</v>
      </c>
    </row>
    <row r="1267" spans="1:12" x14ac:dyDescent="0.2">
      <c r="A1267" s="172" t="s">
        <v>12</v>
      </c>
      <c r="B1267" s="172" t="s">
        <v>13</v>
      </c>
      <c r="C1267" s="172" t="s">
        <v>21</v>
      </c>
      <c r="D1267" s="172" t="s">
        <v>15</v>
      </c>
      <c r="E1267" s="173">
        <v>42200</v>
      </c>
      <c r="F1267" s="174">
        <v>1041.3324</v>
      </c>
      <c r="G1267" s="175" t="s">
        <v>19</v>
      </c>
      <c r="H1267" s="172" t="s">
        <v>17</v>
      </c>
      <c r="I1267" s="175">
        <v>1</v>
      </c>
      <c r="J1267" s="175" t="s">
        <v>18</v>
      </c>
      <c r="K1267" s="175" t="s">
        <v>57</v>
      </c>
      <c r="L1267" s="172" t="s">
        <v>56</v>
      </c>
    </row>
    <row r="1268" spans="1:12" x14ac:dyDescent="0.2">
      <c r="A1268" s="172" t="s">
        <v>12</v>
      </c>
      <c r="B1268" s="172" t="s">
        <v>13</v>
      </c>
      <c r="C1268" s="172" t="s">
        <v>21</v>
      </c>
      <c r="D1268" s="172" t="s">
        <v>15</v>
      </c>
      <c r="E1268" s="173">
        <v>42200</v>
      </c>
      <c r="F1268" s="174">
        <v>0.6</v>
      </c>
      <c r="G1268" s="175" t="s">
        <v>16</v>
      </c>
      <c r="H1268" s="172" t="s">
        <v>20</v>
      </c>
      <c r="I1268" s="175">
        <v>1</v>
      </c>
      <c r="J1268" s="175" t="s">
        <v>18</v>
      </c>
      <c r="K1268" s="175" t="s">
        <v>57</v>
      </c>
      <c r="L1268" s="172" t="s">
        <v>56</v>
      </c>
    </row>
    <row r="1269" spans="1:12" x14ac:dyDescent="0.2">
      <c r="A1269" s="172" t="s">
        <v>12</v>
      </c>
      <c r="B1269" s="172" t="s">
        <v>13</v>
      </c>
      <c r="C1269" s="172" t="s">
        <v>21</v>
      </c>
      <c r="D1269" s="172" t="s">
        <v>15</v>
      </c>
      <c r="E1269" s="173">
        <v>42200</v>
      </c>
      <c r="F1269" s="174">
        <v>189.65159990000001</v>
      </c>
      <c r="G1269" s="175" t="s">
        <v>19</v>
      </c>
      <c r="H1269" s="172" t="s">
        <v>20</v>
      </c>
      <c r="I1269" s="175">
        <v>1</v>
      </c>
      <c r="J1269" s="175" t="s">
        <v>18</v>
      </c>
      <c r="K1269" s="175" t="s">
        <v>57</v>
      </c>
      <c r="L1269" s="172" t="s">
        <v>56</v>
      </c>
    </row>
    <row r="1270" spans="1:12" x14ac:dyDescent="0.2">
      <c r="A1270" s="172" t="s">
        <v>12</v>
      </c>
      <c r="B1270" s="172" t="s">
        <v>13</v>
      </c>
      <c r="C1270" s="172" t="s">
        <v>21</v>
      </c>
      <c r="D1270" s="172" t="s">
        <v>15</v>
      </c>
      <c r="E1270" s="173">
        <v>42193</v>
      </c>
      <c r="F1270" s="174">
        <v>0.51008129999999996</v>
      </c>
      <c r="G1270" s="175" t="s">
        <v>16</v>
      </c>
      <c r="H1270" s="172" t="s">
        <v>17</v>
      </c>
      <c r="I1270" s="175">
        <v>1</v>
      </c>
      <c r="J1270" s="175" t="s">
        <v>18</v>
      </c>
      <c r="K1270" s="175" t="s">
        <v>57</v>
      </c>
      <c r="L1270" s="172" t="s">
        <v>56</v>
      </c>
    </row>
    <row r="1271" spans="1:12" x14ac:dyDescent="0.2">
      <c r="A1271" s="172" t="s">
        <v>12</v>
      </c>
      <c r="B1271" s="172" t="s">
        <v>13</v>
      </c>
      <c r="C1271" s="172" t="s">
        <v>21</v>
      </c>
      <c r="D1271" s="172" t="s">
        <v>15</v>
      </c>
      <c r="E1271" s="173">
        <v>42193</v>
      </c>
      <c r="F1271" s="174">
        <v>261.6257999</v>
      </c>
      <c r="G1271" s="175" t="s">
        <v>19</v>
      </c>
      <c r="H1271" s="172" t="s">
        <v>17</v>
      </c>
      <c r="I1271" s="175">
        <v>1</v>
      </c>
      <c r="J1271" s="175" t="s">
        <v>18</v>
      </c>
      <c r="K1271" s="175" t="s">
        <v>57</v>
      </c>
      <c r="L1271" s="172" t="s">
        <v>56</v>
      </c>
    </row>
    <row r="1272" spans="1:12" x14ac:dyDescent="0.2">
      <c r="A1272" s="172" t="s">
        <v>12</v>
      </c>
      <c r="B1272" s="172" t="s">
        <v>13</v>
      </c>
      <c r="C1272" s="172" t="s">
        <v>21</v>
      </c>
      <c r="D1272" s="172" t="s">
        <v>15</v>
      </c>
      <c r="E1272" s="173">
        <v>42193</v>
      </c>
      <c r="F1272" s="174">
        <v>0.2</v>
      </c>
      <c r="G1272" s="175" t="s">
        <v>16</v>
      </c>
      <c r="H1272" s="172" t="s">
        <v>20</v>
      </c>
      <c r="I1272" s="175">
        <v>1</v>
      </c>
      <c r="J1272" s="175" t="s">
        <v>18</v>
      </c>
      <c r="K1272" s="175" t="s">
        <v>57</v>
      </c>
      <c r="L1272" s="172" t="s">
        <v>56</v>
      </c>
    </row>
    <row r="1273" spans="1:12" x14ac:dyDescent="0.2">
      <c r="A1273" s="172" t="s">
        <v>12</v>
      </c>
      <c r="B1273" s="172" t="s">
        <v>13</v>
      </c>
      <c r="C1273" s="172" t="s">
        <v>21</v>
      </c>
      <c r="D1273" s="172" t="s">
        <v>15</v>
      </c>
      <c r="E1273" s="173">
        <v>42193</v>
      </c>
      <c r="F1273" s="174">
        <v>73.391999999999996</v>
      </c>
      <c r="G1273" s="175" t="s">
        <v>19</v>
      </c>
      <c r="H1273" s="172" t="s">
        <v>20</v>
      </c>
      <c r="I1273" s="175">
        <v>1</v>
      </c>
      <c r="J1273" s="175" t="s">
        <v>18</v>
      </c>
      <c r="K1273" s="175" t="s">
        <v>57</v>
      </c>
      <c r="L1273" s="172" t="s">
        <v>56</v>
      </c>
    </row>
    <row r="1274" spans="1:12" x14ac:dyDescent="0.2">
      <c r="A1274" s="172" t="s">
        <v>12</v>
      </c>
      <c r="B1274" s="172" t="s">
        <v>13</v>
      </c>
      <c r="C1274" s="172" t="s">
        <v>21</v>
      </c>
      <c r="D1274" s="172" t="s">
        <v>15</v>
      </c>
      <c r="E1274" s="173">
        <v>42186</v>
      </c>
      <c r="F1274" s="174">
        <v>0.18419749999999999</v>
      </c>
      <c r="G1274" s="175" t="s">
        <v>16</v>
      </c>
      <c r="H1274" s="172" t="s">
        <v>17</v>
      </c>
      <c r="I1274" s="175">
        <v>1</v>
      </c>
      <c r="J1274" s="175" t="s">
        <v>18</v>
      </c>
      <c r="K1274" s="175" t="s">
        <v>57</v>
      </c>
      <c r="L1274" s="172" t="s">
        <v>56</v>
      </c>
    </row>
    <row r="1275" spans="1:12" x14ac:dyDescent="0.2">
      <c r="A1275" s="172" t="s">
        <v>12</v>
      </c>
      <c r="B1275" s="172" t="s">
        <v>13</v>
      </c>
      <c r="C1275" s="172" t="s">
        <v>21</v>
      </c>
      <c r="D1275" s="172" t="s">
        <v>15</v>
      </c>
      <c r="E1275" s="173">
        <v>42186</v>
      </c>
      <c r="F1275" s="174">
        <v>62.216399899999999</v>
      </c>
      <c r="G1275" s="175" t="s">
        <v>19</v>
      </c>
      <c r="H1275" s="172" t="s">
        <v>17</v>
      </c>
      <c r="I1275" s="175">
        <v>1</v>
      </c>
      <c r="J1275" s="175" t="s">
        <v>18</v>
      </c>
      <c r="K1275" s="175" t="s">
        <v>57</v>
      </c>
      <c r="L1275" s="172" t="s">
        <v>56</v>
      </c>
    </row>
    <row r="1276" spans="1:12" x14ac:dyDescent="0.2">
      <c r="A1276" s="172" t="s">
        <v>12</v>
      </c>
      <c r="B1276" s="172" t="s">
        <v>13</v>
      </c>
      <c r="C1276" s="172" t="s">
        <v>21</v>
      </c>
      <c r="D1276" s="172" t="s">
        <v>15</v>
      </c>
      <c r="E1276" s="173">
        <v>42186</v>
      </c>
      <c r="F1276" s="174">
        <v>0.1</v>
      </c>
      <c r="G1276" s="175" t="s">
        <v>16</v>
      </c>
      <c r="H1276" s="172" t="s">
        <v>20</v>
      </c>
      <c r="I1276" s="175">
        <v>1</v>
      </c>
      <c r="J1276" s="175" t="s">
        <v>18</v>
      </c>
      <c r="K1276" s="175" t="s">
        <v>57</v>
      </c>
      <c r="L1276" s="172" t="s">
        <v>56</v>
      </c>
    </row>
    <row r="1277" spans="1:12" x14ac:dyDescent="0.2">
      <c r="A1277" s="172" t="s">
        <v>12</v>
      </c>
      <c r="B1277" s="172" t="s">
        <v>13</v>
      </c>
      <c r="C1277" s="172" t="s">
        <v>21</v>
      </c>
      <c r="D1277" s="172" t="s">
        <v>15</v>
      </c>
      <c r="E1277" s="173">
        <v>42186</v>
      </c>
      <c r="F1277" s="174">
        <v>36.028799999999997</v>
      </c>
      <c r="G1277" s="175" t="s">
        <v>19</v>
      </c>
      <c r="H1277" s="172" t="s">
        <v>20</v>
      </c>
      <c r="I1277" s="175">
        <v>1</v>
      </c>
      <c r="J1277" s="175" t="s">
        <v>18</v>
      </c>
      <c r="K1277" s="175" t="s">
        <v>57</v>
      </c>
      <c r="L1277" s="172" t="s">
        <v>56</v>
      </c>
    </row>
    <row r="1278" spans="1:12" x14ac:dyDescent="0.2">
      <c r="A1278" s="172" t="s">
        <v>12</v>
      </c>
      <c r="B1278" s="172" t="s">
        <v>13</v>
      </c>
      <c r="C1278" s="172" t="s">
        <v>21</v>
      </c>
      <c r="D1278" s="172" t="s">
        <v>15</v>
      </c>
      <c r="E1278" s="173">
        <v>42172</v>
      </c>
      <c r="F1278" s="174">
        <v>0.3144149</v>
      </c>
      <c r="G1278" s="175" t="s">
        <v>16</v>
      </c>
      <c r="H1278" s="172" t="s">
        <v>17</v>
      </c>
      <c r="I1278" s="175">
        <v>1</v>
      </c>
      <c r="J1278" s="175" t="s">
        <v>18</v>
      </c>
      <c r="K1278" s="175" t="s">
        <v>57</v>
      </c>
      <c r="L1278" s="172" t="s">
        <v>56</v>
      </c>
    </row>
    <row r="1279" spans="1:12" x14ac:dyDescent="0.2">
      <c r="A1279" s="172" t="s">
        <v>12</v>
      </c>
      <c r="B1279" s="172" t="s">
        <v>13</v>
      </c>
      <c r="C1279" s="172" t="s">
        <v>21</v>
      </c>
      <c r="D1279" s="172" t="s">
        <v>15</v>
      </c>
      <c r="E1279" s="173">
        <v>42172</v>
      </c>
      <c r="F1279" s="174">
        <v>168.08436</v>
      </c>
      <c r="G1279" s="175" t="s">
        <v>19</v>
      </c>
      <c r="H1279" s="172" t="s">
        <v>17</v>
      </c>
      <c r="I1279" s="175">
        <v>1</v>
      </c>
      <c r="J1279" s="175" t="s">
        <v>18</v>
      </c>
      <c r="K1279" s="175" t="s">
        <v>57</v>
      </c>
      <c r="L1279" s="172" t="s">
        <v>56</v>
      </c>
    </row>
    <row r="1280" spans="1:12" x14ac:dyDescent="0.2">
      <c r="A1280" s="172" t="s">
        <v>12</v>
      </c>
      <c r="B1280" s="172" t="s">
        <v>13</v>
      </c>
      <c r="C1280" s="172" t="s">
        <v>21</v>
      </c>
      <c r="D1280" s="172" t="s">
        <v>15</v>
      </c>
      <c r="E1280" s="173">
        <v>42172</v>
      </c>
      <c r="F1280" s="174">
        <v>0.02</v>
      </c>
      <c r="G1280" s="175" t="s">
        <v>16</v>
      </c>
      <c r="H1280" s="172" t="s">
        <v>20</v>
      </c>
      <c r="I1280" s="175">
        <v>1</v>
      </c>
      <c r="J1280" s="175" t="s">
        <v>18</v>
      </c>
      <c r="K1280" s="175" t="s">
        <v>57</v>
      </c>
      <c r="L1280" s="172" t="s">
        <v>56</v>
      </c>
    </row>
    <row r="1281" spans="1:12" x14ac:dyDescent="0.2">
      <c r="A1281" s="172" t="s">
        <v>12</v>
      </c>
      <c r="B1281" s="172" t="s">
        <v>13</v>
      </c>
      <c r="C1281" s="172" t="s">
        <v>21</v>
      </c>
      <c r="D1281" s="172" t="s">
        <v>15</v>
      </c>
      <c r="E1281" s="173">
        <v>42172</v>
      </c>
      <c r="F1281" s="174">
        <v>7.2891599999999999</v>
      </c>
      <c r="G1281" s="175" t="s">
        <v>19</v>
      </c>
      <c r="H1281" s="172" t="s">
        <v>20</v>
      </c>
      <c r="I1281" s="175">
        <v>1</v>
      </c>
      <c r="J1281" s="175" t="s">
        <v>18</v>
      </c>
      <c r="K1281" s="175" t="s">
        <v>57</v>
      </c>
      <c r="L1281" s="172" t="s">
        <v>56</v>
      </c>
    </row>
    <row r="1282" spans="1:12" x14ac:dyDescent="0.2">
      <c r="A1282" s="172" t="s">
        <v>12</v>
      </c>
      <c r="B1282" s="172" t="s">
        <v>13</v>
      </c>
      <c r="C1282" s="172" t="s">
        <v>21</v>
      </c>
      <c r="D1282" s="172" t="s">
        <v>15</v>
      </c>
      <c r="E1282" s="173">
        <v>42165</v>
      </c>
      <c r="F1282" s="174">
        <v>0.16574800000000001</v>
      </c>
      <c r="G1282" s="175" t="s">
        <v>16</v>
      </c>
      <c r="H1282" s="172" t="s">
        <v>17</v>
      </c>
      <c r="I1282" s="175">
        <v>1</v>
      </c>
      <c r="J1282" s="175" t="s">
        <v>18</v>
      </c>
      <c r="K1282" s="175" t="s">
        <v>57</v>
      </c>
      <c r="L1282" s="172" t="s">
        <v>56</v>
      </c>
    </row>
    <row r="1283" spans="1:12" x14ac:dyDescent="0.2">
      <c r="A1283" s="172" t="s">
        <v>12</v>
      </c>
      <c r="B1283" s="172" t="s">
        <v>13</v>
      </c>
      <c r="C1283" s="172" t="s">
        <v>21</v>
      </c>
      <c r="D1283" s="172" t="s">
        <v>15</v>
      </c>
      <c r="E1283" s="173">
        <v>42165</v>
      </c>
      <c r="F1283" s="174">
        <v>35.111400000000003</v>
      </c>
      <c r="G1283" s="175" t="s">
        <v>19</v>
      </c>
      <c r="H1283" s="172" t="s">
        <v>17</v>
      </c>
      <c r="I1283" s="175">
        <v>1</v>
      </c>
      <c r="J1283" s="175" t="s">
        <v>18</v>
      </c>
      <c r="K1283" s="175" t="s">
        <v>57</v>
      </c>
      <c r="L1283" s="172" t="s">
        <v>56</v>
      </c>
    </row>
    <row r="1284" spans="1:12" x14ac:dyDescent="0.2">
      <c r="A1284" s="172" t="s">
        <v>12</v>
      </c>
      <c r="B1284" s="172" t="s">
        <v>13</v>
      </c>
      <c r="C1284" s="172" t="s">
        <v>21</v>
      </c>
      <c r="D1284" s="172" t="s">
        <v>15</v>
      </c>
      <c r="E1284" s="173">
        <v>42165</v>
      </c>
      <c r="F1284" s="174">
        <v>0.2</v>
      </c>
      <c r="G1284" s="175" t="s">
        <v>16</v>
      </c>
      <c r="H1284" s="172" t="s">
        <v>20</v>
      </c>
      <c r="I1284" s="175">
        <v>1</v>
      </c>
      <c r="J1284" s="175" t="s">
        <v>18</v>
      </c>
      <c r="K1284" s="175" t="s">
        <v>57</v>
      </c>
      <c r="L1284" s="172" t="s">
        <v>56</v>
      </c>
    </row>
    <row r="1285" spans="1:12" x14ac:dyDescent="0.2">
      <c r="A1285" s="172" t="s">
        <v>12</v>
      </c>
      <c r="B1285" s="172" t="s">
        <v>13</v>
      </c>
      <c r="C1285" s="172" t="s">
        <v>21</v>
      </c>
      <c r="D1285" s="172" t="s">
        <v>15</v>
      </c>
      <c r="E1285" s="173">
        <v>42165</v>
      </c>
      <c r="F1285" s="174">
        <v>45.369599999999998</v>
      </c>
      <c r="G1285" s="175" t="s">
        <v>19</v>
      </c>
      <c r="H1285" s="172" t="s">
        <v>20</v>
      </c>
      <c r="I1285" s="175">
        <v>1</v>
      </c>
      <c r="J1285" s="175" t="s">
        <v>18</v>
      </c>
      <c r="K1285" s="175" t="s">
        <v>57</v>
      </c>
      <c r="L1285" s="172" t="s">
        <v>56</v>
      </c>
    </row>
    <row r="1286" spans="1:12" x14ac:dyDescent="0.2">
      <c r="A1286" s="172" t="s">
        <v>12</v>
      </c>
      <c r="B1286" s="172" t="s">
        <v>13</v>
      </c>
      <c r="C1286" s="172" t="s">
        <v>21</v>
      </c>
      <c r="D1286" s="172" t="s">
        <v>15</v>
      </c>
      <c r="E1286" s="173">
        <v>42158</v>
      </c>
      <c r="F1286" s="174">
        <v>0.33421050000000002</v>
      </c>
      <c r="G1286" s="175" t="s">
        <v>16</v>
      </c>
      <c r="H1286" s="172" t="s">
        <v>17</v>
      </c>
      <c r="I1286" s="175">
        <v>1</v>
      </c>
      <c r="J1286" s="175" t="s">
        <v>18</v>
      </c>
      <c r="K1286" s="175" t="s">
        <v>57</v>
      </c>
      <c r="L1286" s="172" t="s">
        <v>56</v>
      </c>
    </row>
    <row r="1287" spans="1:12" x14ac:dyDescent="0.2">
      <c r="A1287" s="172" t="s">
        <v>12</v>
      </c>
      <c r="B1287" s="172" t="s">
        <v>13</v>
      </c>
      <c r="C1287" s="172" t="s">
        <v>21</v>
      </c>
      <c r="D1287" s="172" t="s">
        <v>15</v>
      </c>
      <c r="E1287" s="173">
        <v>42158</v>
      </c>
      <c r="F1287" s="174">
        <v>63.550799900000001</v>
      </c>
      <c r="G1287" s="175" t="s">
        <v>19</v>
      </c>
      <c r="H1287" s="172" t="s">
        <v>17</v>
      </c>
      <c r="I1287" s="175">
        <v>1</v>
      </c>
      <c r="J1287" s="175" t="s">
        <v>18</v>
      </c>
      <c r="K1287" s="175" t="s">
        <v>57</v>
      </c>
      <c r="L1287" s="172" t="s">
        <v>56</v>
      </c>
    </row>
    <row r="1288" spans="1:12" x14ac:dyDescent="0.2">
      <c r="A1288" s="172" t="s">
        <v>12</v>
      </c>
      <c r="B1288" s="172" t="s">
        <v>13</v>
      </c>
      <c r="C1288" s="172" t="s">
        <v>21</v>
      </c>
      <c r="D1288" s="172" t="s">
        <v>15</v>
      </c>
      <c r="E1288" s="173">
        <v>42158</v>
      </c>
      <c r="F1288" s="174">
        <v>1.9</v>
      </c>
      <c r="G1288" s="175" t="s">
        <v>16</v>
      </c>
      <c r="H1288" s="172" t="s">
        <v>20</v>
      </c>
      <c r="I1288" s="175">
        <v>1</v>
      </c>
      <c r="J1288" s="175" t="s">
        <v>18</v>
      </c>
      <c r="K1288" s="175" t="s">
        <v>57</v>
      </c>
      <c r="L1288" s="172" t="s">
        <v>56</v>
      </c>
    </row>
    <row r="1289" spans="1:12" x14ac:dyDescent="0.2">
      <c r="A1289" s="172" t="s">
        <v>12</v>
      </c>
      <c r="B1289" s="172" t="s">
        <v>13</v>
      </c>
      <c r="C1289" s="172" t="s">
        <v>21</v>
      </c>
      <c r="D1289" s="172" t="s">
        <v>15</v>
      </c>
      <c r="E1289" s="173">
        <v>42158</v>
      </c>
      <c r="F1289" s="174">
        <v>378.71939989999998</v>
      </c>
      <c r="G1289" s="175" t="s">
        <v>19</v>
      </c>
      <c r="H1289" s="172" t="s">
        <v>20</v>
      </c>
      <c r="I1289" s="175">
        <v>1</v>
      </c>
      <c r="J1289" s="175" t="s">
        <v>18</v>
      </c>
      <c r="K1289" s="175" t="s">
        <v>57</v>
      </c>
      <c r="L1289" s="172" t="s">
        <v>56</v>
      </c>
    </row>
    <row r="1290" spans="1:12" x14ac:dyDescent="0.2">
      <c r="A1290" s="172" t="s">
        <v>12</v>
      </c>
      <c r="B1290" s="172" t="s">
        <v>13</v>
      </c>
      <c r="C1290" s="172" t="s">
        <v>21</v>
      </c>
      <c r="D1290" s="172" t="s">
        <v>15</v>
      </c>
      <c r="E1290" s="173">
        <v>42151</v>
      </c>
      <c r="F1290" s="174">
        <v>5.0999999999999996</v>
      </c>
      <c r="G1290" s="175" t="s">
        <v>16</v>
      </c>
      <c r="H1290" s="172" t="s">
        <v>17</v>
      </c>
      <c r="I1290" s="175">
        <v>1</v>
      </c>
      <c r="J1290" s="175" t="s">
        <v>18</v>
      </c>
      <c r="K1290" s="175" t="s">
        <v>57</v>
      </c>
      <c r="L1290" s="172" t="s">
        <v>56</v>
      </c>
    </row>
    <row r="1291" spans="1:12" x14ac:dyDescent="0.2">
      <c r="A1291" s="172" t="s">
        <v>12</v>
      </c>
      <c r="B1291" s="172" t="s">
        <v>13</v>
      </c>
      <c r="C1291" s="172" t="s">
        <v>21</v>
      </c>
      <c r="D1291" s="172" t="s">
        <v>15</v>
      </c>
      <c r="E1291" s="173">
        <v>42151</v>
      </c>
      <c r="F1291" s="174">
        <v>1186.1148000000001</v>
      </c>
      <c r="G1291" s="175" t="s">
        <v>19</v>
      </c>
      <c r="H1291" s="172" t="s">
        <v>17</v>
      </c>
      <c r="I1291" s="175">
        <v>1</v>
      </c>
      <c r="J1291" s="175" t="s">
        <v>18</v>
      </c>
      <c r="K1291" s="175" t="s">
        <v>57</v>
      </c>
      <c r="L1291" s="172" t="s">
        <v>56</v>
      </c>
    </row>
    <row r="1292" spans="1:12" x14ac:dyDescent="0.2">
      <c r="A1292" s="172" t="s">
        <v>12</v>
      </c>
      <c r="B1292" s="172" t="s">
        <v>13</v>
      </c>
      <c r="C1292" s="172" t="s">
        <v>21</v>
      </c>
      <c r="D1292" s="172" t="s">
        <v>15</v>
      </c>
      <c r="E1292" s="173">
        <v>42151</v>
      </c>
      <c r="F1292" s="174">
        <v>1.3</v>
      </c>
      <c r="G1292" s="175" t="s">
        <v>16</v>
      </c>
      <c r="H1292" s="172" t="s">
        <v>20</v>
      </c>
      <c r="I1292" s="175">
        <v>1</v>
      </c>
      <c r="J1292" s="175" t="s">
        <v>18</v>
      </c>
      <c r="K1292" s="175" t="s">
        <v>57</v>
      </c>
      <c r="L1292" s="172" t="s">
        <v>56</v>
      </c>
    </row>
    <row r="1293" spans="1:12" x14ac:dyDescent="0.2">
      <c r="A1293" s="172" t="s">
        <v>12</v>
      </c>
      <c r="B1293" s="172" t="s">
        <v>13</v>
      </c>
      <c r="C1293" s="172" t="s">
        <v>21</v>
      </c>
      <c r="D1293" s="172" t="s">
        <v>15</v>
      </c>
      <c r="E1293" s="173">
        <v>42151</v>
      </c>
      <c r="F1293" s="174">
        <v>323.09160000000003</v>
      </c>
      <c r="G1293" s="175" t="s">
        <v>19</v>
      </c>
      <c r="H1293" s="172" t="s">
        <v>20</v>
      </c>
      <c r="I1293" s="175">
        <v>1</v>
      </c>
      <c r="J1293" s="175" t="s">
        <v>18</v>
      </c>
      <c r="K1293" s="175" t="s">
        <v>57</v>
      </c>
      <c r="L1293" s="172" t="s">
        <v>56</v>
      </c>
    </row>
    <row r="1294" spans="1:12" x14ac:dyDescent="0.2">
      <c r="A1294" s="172" t="s">
        <v>12</v>
      </c>
      <c r="B1294" s="172" t="s">
        <v>13</v>
      </c>
      <c r="C1294" s="172" t="s">
        <v>21</v>
      </c>
      <c r="D1294" s="172" t="s">
        <v>15</v>
      </c>
      <c r="E1294" s="173">
        <v>42144</v>
      </c>
      <c r="F1294" s="174">
        <v>1.9</v>
      </c>
      <c r="G1294" s="175" t="s">
        <v>16</v>
      </c>
      <c r="H1294" s="172" t="s">
        <v>17</v>
      </c>
      <c r="I1294" s="175">
        <v>1</v>
      </c>
      <c r="J1294" s="175" t="s">
        <v>18</v>
      </c>
      <c r="K1294" s="175" t="s">
        <v>57</v>
      </c>
      <c r="L1294" s="172" t="s">
        <v>56</v>
      </c>
    </row>
    <row r="1295" spans="1:12" x14ac:dyDescent="0.2">
      <c r="A1295" s="172" t="s">
        <v>12</v>
      </c>
      <c r="B1295" s="172" t="s">
        <v>13</v>
      </c>
      <c r="C1295" s="172" t="s">
        <v>21</v>
      </c>
      <c r="D1295" s="172" t="s">
        <v>15</v>
      </c>
      <c r="E1295" s="173">
        <v>42144</v>
      </c>
      <c r="F1295" s="174">
        <v>318.75479999999999</v>
      </c>
      <c r="G1295" s="175" t="s">
        <v>19</v>
      </c>
      <c r="H1295" s="172" t="s">
        <v>17</v>
      </c>
      <c r="I1295" s="175">
        <v>1</v>
      </c>
      <c r="J1295" s="175" t="s">
        <v>18</v>
      </c>
      <c r="K1295" s="175" t="s">
        <v>57</v>
      </c>
      <c r="L1295" s="172" t="s">
        <v>56</v>
      </c>
    </row>
    <row r="1296" spans="1:12" x14ac:dyDescent="0.2">
      <c r="A1296" s="172" t="s">
        <v>12</v>
      </c>
      <c r="B1296" s="172" t="s">
        <v>13</v>
      </c>
      <c r="C1296" s="172" t="s">
        <v>21</v>
      </c>
      <c r="D1296" s="172" t="s">
        <v>15</v>
      </c>
      <c r="E1296" s="173">
        <v>42144</v>
      </c>
      <c r="F1296" s="174">
        <v>1.8</v>
      </c>
      <c r="G1296" s="175" t="s">
        <v>16</v>
      </c>
      <c r="H1296" s="172" t="s">
        <v>20</v>
      </c>
      <c r="I1296" s="175">
        <v>1</v>
      </c>
      <c r="J1296" s="175" t="s">
        <v>18</v>
      </c>
      <c r="K1296" s="175" t="s">
        <v>57</v>
      </c>
      <c r="L1296" s="172" t="s">
        <v>56</v>
      </c>
    </row>
    <row r="1297" spans="1:12" x14ac:dyDescent="0.2">
      <c r="A1297" s="172" t="s">
        <v>12</v>
      </c>
      <c r="B1297" s="172" t="s">
        <v>13</v>
      </c>
      <c r="C1297" s="172" t="s">
        <v>21</v>
      </c>
      <c r="D1297" s="172" t="s">
        <v>15</v>
      </c>
      <c r="E1297" s="173">
        <v>42144</v>
      </c>
      <c r="F1297" s="174">
        <v>333.26639999999998</v>
      </c>
      <c r="G1297" s="175" t="s">
        <v>19</v>
      </c>
      <c r="H1297" s="172" t="s">
        <v>20</v>
      </c>
      <c r="I1297" s="175">
        <v>1</v>
      </c>
      <c r="J1297" s="175" t="s">
        <v>18</v>
      </c>
      <c r="K1297" s="175" t="s">
        <v>57</v>
      </c>
      <c r="L1297" s="172" t="s">
        <v>56</v>
      </c>
    </row>
    <row r="1298" spans="1:12" x14ac:dyDescent="0.2">
      <c r="A1298" s="172" t="s">
        <v>12</v>
      </c>
      <c r="B1298" s="172" t="s">
        <v>13</v>
      </c>
      <c r="C1298" s="172" t="s">
        <v>21</v>
      </c>
      <c r="D1298" s="172" t="s">
        <v>15</v>
      </c>
      <c r="E1298" s="173">
        <v>42136</v>
      </c>
      <c r="F1298" s="174">
        <v>1.2</v>
      </c>
      <c r="G1298" s="175" t="s">
        <v>16</v>
      </c>
      <c r="H1298" s="172" t="s">
        <v>17</v>
      </c>
      <c r="I1298" s="175">
        <v>1</v>
      </c>
      <c r="J1298" s="175" t="s">
        <v>18</v>
      </c>
      <c r="K1298" s="175" t="s">
        <v>57</v>
      </c>
      <c r="L1298" s="172" t="s">
        <v>56</v>
      </c>
    </row>
    <row r="1299" spans="1:12" x14ac:dyDescent="0.2">
      <c r="A1299" s="172" t="s">
        <v>12</v>
      </c>
      <c r="B1299" s="172" t="s">
        <v>13</v>
      </c>
      <c r="C1299" s="172" t="s">
        <v>21</v>
      </c>
      <c r="D1299" s="172" t="s">
        <v>15</v>
      </c>
      <c r="E1299" s="173">
        <v>42136</v>
      </c>
      <c r="F1299" s="174">
        <v>223.34520000000001</v>
      </c>
      <c r="G1299" s="175" t="s">
        <v>19</v>
      </c>
      <c r="H1299" s="172" t="s">
        <v>17</v>
      </c>
      <c r="I1299" s="175">
        <v>1</v>
      </c>
      <c r="J1299" s="175" t="s">
        <v>18</v>
      </c>
      <c r="K1299" s="175" t="s">
        <v>57</v>
      </c>
      <c r="L1299" s="172" t="s">
        <v>56</v>
      </c>
    </row>
    <row r="1300" spans="1:12" x14ac:dyDescent="0.2">
      <c r="A1300" s="172" t="s">
        <v>12</v>
      </c>
      <c r="B1300" s="172" t="s">
        <v>13</v>
      </c>
      <c r="C1300" s="172" t="s">
        <v>21</v>
      </c>
      <c r="D1300" s="172" t="s">
        <v>15</v>
      </c>
      <c r="E1300" s="173">
        <v>42136</v>
      </c>
      <c r="F1300" s="174">
        <v>1.6</v>
      </c>
      <c r="G1300" s="175" t="s">
        <v>16</v>
      </c>
      <c r="H1300" s="172" t="s">
        <v>20</v>
      </c>
      <c r="I1300" s="175">
        <v>1</v>
      </c>
      <c r="J1300" s="175" t="s">
        <v>18</v>
      </c>
      <c r="K1300" s="175" t="s">
        <v>57</v>
      </c>
      <c r="L1300" s="172" t="s">
        <v>56</v>
      </c>
    </row>
    <row r="1301" spans="1:12" x14ac:dyDescent="0.2">
      <c r="A1301" s="172" t="s">
        <v>12</v>
      </c>
      <c r="B1301" s="172" t="s">
        <v>13</v>
      </c>
      <c r="C1301" s="172" t="s">
        <v>21</v>
      </c>
      <c r="D1301" s="172" t="s">
        <v>15</v>
      </c>
      <c r="E1301" s="173">
        <v>42136</v>
      </c>
      <c r="F1301" s="174">
        <v>322.9248</v>
      </c>
      <c r="G1301" s="175" t="s">
        <v>19</v>
      </c>
      <c r="H1301" s="172" t="s">
        <v>20</v>
      </c>
      <c r="I1301" s="175">
        <v>1</v>
      </c>
      <c r="J1301" s="175" t="s">
        <v>18</v>
      </c>
      <c r="K1301" s="175" t="s">
        <v>57</v>
      </c>
      <c r="L1301" s="172" t="s">
        <v>56</v>
      </c>
    </row>
    <row r="1302" spans="1:12" x14ac:dyDescent="0.2">
      <c r="A1302" s="172" t="s">
        <v>12</v>
      </c>
      <c r="B1302" s="172" t="s">
        <v>13</v>
      </c>
      <c r="C1302" s="172" t="s">
        <v>21</v>
      </c>
      <c r="D1302" s="172" t="s">
        <v>15</v>
      </c>
      <c r="E1302" s="173">
        <v>42130</v>
      </c>
      <c r="F1302" s="174">
        <v>1.3</v>
      </c>
      <c r="G1302" s="175" t="s">
        <v>16</v>
      </c>
      <c r="H1302" s="172" t="s">
        <v>17</v>
      </c>
      <c r="I1302" s="175">
        <v>1</v>
      </c>
      <c r="J1302" s="175" t="s">
        <v>18</v>
      </c>
      <c r="K1302" s="175" t="s">
        <v>57</v>
      </c>
      <c r="L1302" s="172" t="s">
        <v>56</v>
      </c>
    </row>
    <row r="1303" spans="1:12" x14ac:dyDescent="0.2">
      <c r="A1303" s="172" t="s">
        <v>12</v>
      </c>
      <c r="B1303" s="172" t="s">
        <v>13</v>
      </c>
      <c r="C1303" s="172" t="s">
        <v>21</v>
      </c>
      <c r="D1303" s="172" t="s">
        <v>15</v>
      </c>
      <c r="E1303" s="173">
        <v>42130</v>
      </c>
      <c r="F1303" s="174">
        <v>277.80540000000002</v>
      </c>
      <c r="G1303" s="175" t="s">
        <v>19</v>
      </c>
      <c r="H1303" s="172" t="s">
        <v>17</v>
      </c>
      <c r="I1303" s="175">
        <v>1</v>
      </c>
      <c r="J1303" s="175" t="s">
        <v>18</v>
      </c>
      <c r="K1303" s="175" t="s">
        <v>57</v>
      </c>
      <c r="L1303" s="172" t="s">
        <v>56</v>
      </c>
    </row>
    <row r="1304" spans="1:12" x14ac:dyDescent="0.2">
      <c r="A1304" s="172" t="s">
        <v>12</v>
      </c>
      <c r="B1304" s="172" t="s">
        <v>13</v>
      </c>
      <c r="C1304" s="172" t="s">
        <v>21</v>
      </c>
      <c r="D1304" s="172" t="s">
        <v>15</v>
      </c>
      <c r="E1304" s="173">
        <v>42130</v>
      </c>
      <c r="F1304" s="174">
        <v>1.2</v>
      </c>
      <c r="G1304" s="175" t="s">
        <v>16</v>
      </c>
      <c r="H1304" s="172" t="s">
        <v>20</v>
      </c>
      <c r="I1304" s="175">
        <v>1</v>
      </c>
      <c r="J1304" s="175" t="s">
        <v>18</v>
      </c>
      <c r="K1304" s="175" t="s">
        <v>57</v>
      </c>
      <c r="L1304" s="172" t="s">
        <v>56</v>
      </c>
    </row>
    <row r="1305" spans="1:12" x14ac:dyDescent="0.2">
      <c r="A1305" s="172" t="s">
        <v>12</v>
      </c>
      <c r="B1305" s="172" t="s">
        <v>13</v>
      </c>
      <c r="C1305" s="172" t="s">
        <v>21</v>
      </c>
      <c r="D1305" s="172" t="s">
        <v>15</v>
      </c>
      <c r="E1305" s="173">
        <v>42130</v>
      </c>
      <c r="F1305" s="174">
        <v>265.21199999999999</v>
      </c>
      <c r="G1305" s="175" t="s">
        <v>19</v>
      </c>
      <c r="H1305" s="172" t="s">
        <v>20</v>
      </c>
      <c r="I1305" s="175">
        <v>1</v>
      </c>
      <c r="J1305" s="175" t="s">
        <v>18</v>
      </c>
      <c r="K1305" s="175" t="s">
        <v>57</v>
      </c>
      <c r="L1305" s="172" t="s">
        <v>56</v>
      </c>
    </row>
    <row r="1306" spans="1:12" x14ac:dyDescent="0.2">
      <c r="A1306" s="172" t="s">
        <v>12</v>
      </c>
      <c r="B1306" s="172" t="s">
        <v>13</v>
      </c>
      <c r="C1306" s="172" t="s">
        <v>21</v>
      </c>
      <c r="D1306" s="172" t="s">
        <v>15</v>
      </c>
      <c r="E1306" s="173">
        <v>42122</v>
      </c>
      <c r="F1306" s="174">
        <v>2.7</v>
      </c>
      <c r="G1306" s="175" t="s">
        <v>16</v>
      </c>
      <c r="H1306" s="172" t="s">
        <v>17</v>
      </c>
      <c r="I1306" s="175">
        <v>1</v>
      </c>
      <c r="J1306" s="175" t="s">
        <v>18</v>
      </c>
      <c r="K1306" s="175" t="s">
        <v>57</v>
      </c>
      <c r="L1306" s="172" t="s">
        <v>56</v>
      </c>
    </row>
    <row r="1307" spans="1:12" x14ac:dyDescent="0.2">
      <c r="A1307" s="172" t="s">
        <v>12</v>
      </c>
      <c r="B1307" s="172" t="s">
        <v>13</v>
      </c>
      <c r="C1307" s="172" t="s">
        <v>21</v>
      </c>
      <c r="D1307" s="172" t="s">
        <v>15</v>
      </c>
      <c r="E1307" s="173">
        <v>42122</v>
      </c>
      <c r="F1307" s="174">
        <v>452.6952</v>
      </c>
      <c r="G1307" s="175" t="s">
        <v>19</v>
      </c>
      <c r="H1307" s="172" t="s">
        <v>17</v>
      </c>
      <c r="I1307" s="175">
        <v>1</v>
      </c>
      <c r="J1307" s="175" t="s">
        <v>18</v>
      </c>
      <c r="K1307" s="175" t="s">
        <v>57</v>
      </c>
      <c r="L1307" s="172" t="s">
        <v>56</v>
      </c>
    </row>
    <row r="1308" spans="1:12" x14ac:dyDescent="0.2">
      <c r="A1308" s="172" t="s">
        <v>12</v>
      </c>
      <c r="B1308" s="172" t="s">
        <v>13</v>
      </c>
      <c r="C1308" s="172" t="s">
        <v>21</v>
      </c>
      <c r="D1308" s="172" t="s">
        <v>15</v>
      </c>
      <c r="E1308" s="173">
        <v>42122</v>
      </c>
      <c r="F1308" s="174">
        <v>2.2000000000000002</v>
      </c>
      <c r="G1308" s="175" t="s">
        <v>16</v>
      </c>
      <c r="H1308" s="172" t="s">
        <v>20</v>
      </c>
      <c r="I1308" s="175">
        <v>1</v>
      </c>
      <c r="J1308" s="175" t="s">
        <v>18</v>
      </c>
      <c r="K1308" s="175" t="s">
        <v>57</v>
      </c>
      <c r="L1308" s="172" t="s">
        <v>56</v>
      </c>
    </row>
    <row r="1309" spans="1:12" x14ac:dyDescent="0.2">
      <c r="A1309" s="172" t="s">
        <v>12</v>
      </c>
      <c r="B1309" s="172" t="s">
        <v>13</v>
      </c>
      <c r="C1309" s="172" t="s">
        <v>21</v>
      </c>
      <c r="D1309" s="172" t="s">
        <v>15</v>
      </c>
      <c r="E1309" s="173">
        <v>42122</v>
      </c>
      <c r="F1309" s="174">
        <v>398.15159999999997</v>
      </c>
      <c r="G1309" s="175" t="s">
        <v>19</v>
      </c>
      <c r="H1309" s="172" t="s">
        <v>20</v>
      </c>
      <c r="I1309" s="175">
        <v>1</v>
      </c>
      <c r="J1309" s="175" t="s">
        <v>18</v>
      </c>
      <c r="K1309" s="175" t="s">
        <v>57</v>
      </c>
      <c r="L1309" s="172" t="s">
        <v>56</v>
      </c>
    </row>
    <row r="1310" spans="1:12" x14ac:dyDescent="0.2">
      <c r="A1310" s="172" t="s">
        <v>12</v>
      </c>
      <c r="B1310" s="172" t="s">
        <v>13</v>
      </c>
      <c r="C1310" s="172" t="s">
        <v>21</v>
      </c>
      <c r="D1310" s="172" t="s">
        <v>15</v>
      </c>
      <c r="E1310" s="173">
        <v>42116</v>
      </c>
      <c r="F1310" s="174">
        <v>1.3</v>
      </c>
      <c r="G1310" s="175" t="s">
        <v>16</v>
      </c>
      <c r="H1310" s="172" t="s">
        <v>17</v>
      </c>
      <c r="I1310" s="175">
        <v>1</v>
      </c>
      <c r="J1310" s="175" t="s">
        <v>18</v>
      </c>
      <c r="K1310" s="175" t="s">
        <v>57</v>
      </c>
      <c r="L1310" s="172" t="s">
        <v>56</v>
      </c>
    </row>
    <row r="1311" spans="1:12" x14ac:dyDescent="0.2">
      <c r="A1311" s="172" t="s">
        <v>12</v>
      </c>
      <c r="B1311" s="172" t="s">
        <v>13</v>
      </c>
      <c r="C1311" s="172" t="s">
        <v>21</v>
      </c>
      <c r="D1311" s="172" t="s">
        <v>15</v>
      </c>
      <c r="E1311" s="173">
        <v>42116</v>
      </c>
      <c r="F1311" s="174">
        <v>219.8424</v>
      </c>
      <c r="G1311" s="175" t="s">
        <v>19</v>
      </c>
      <c r="H1311" s="172" t="s">
        <v>17</v>
      </c>
      <c r="I1311" s="175">
        <v>1</v>
      </c>
      <c r="J1311" s="175" t="s">
        <v>18</v>
      </c>
      <c r="K1311" s="175" t="s">
        <v>57</v>
      </c>
      <c r="L1311" s="172" t="s">
        <v>56</v>
      </c>
    </row>
    <row r="1312" spans="1:12" x14ac:dyDescent="0.2">
      <c r="A1312" s="172" t="s">
        <v>12</v>
      </c>
      <c r="B1312" s="172" t="s">
        <v>13</v>
      </c>
      <c r="C1312" s="172" t="s">
        <v>21</v>
      </c>
      <c r="D1312" s="172" t="s">
        <v>15</v>
      </c>
      <c r="E1312" s="173">
        <v>42116</v>
      </c>
      <c r="F1312" s="174">
        <v>0.7</v>
      </c>
      <c r="G1312" s="175" t="s">
        <v>16</v>
      </c>
      <c r="H1312" s="172" t="s">
        <v>20</v>
      </c>
      <c r="I1312" s="175">
        <v>1</v>
      </c>
      <c r="J1312" s="175" t="s">
        <v>18</v>
      </c>
      <c r="K1312" s="175" t="s">
        <v>57</v>
      </c>
      <c r="L1312" s="172" t="s">
        <v>56</v>
      </c>
    </row>
    <row r="1313" spans="1:12" x14ac:dyDescent="0.2">
      <c r="A1313" s="172" t="s">
        <v>12</v>
      </c>
      <c r="B1313" s="172" t="s">
        <v>13</v>
      </c>
      <c r="C1313" s="172" t="s">
        <v>21</v>
      </c>
      <c r="D1313" s="172" t="s">
        <v>15</v>
      </c>
      <c r="E1313" s="173">
        <v>42116</v>
      </c>
      <c r="F1313" s="174">
        <v>123.76560000000001</v>
      </c>
      <c r="G1313" s="175" t="s">
        <v>19</v>
      </c>
      <c r="H1313" s="172" t="s">
        <v>20</v>
      </c>
      <c r="I1313" s="175">
        <v>1</v>
      </c>
      <c r="J1313" s="175" t="s">
        <v>18</v>
      </c>
      <c r="K1313" s="175" t="s">
        <v>57</v>
      </c>
      <c r="L1313" s="172" t="s">
        <v>56</v>
      </c>
    </row>
    <row r="1314" spans="1:12" x14ac:dyDescent="0.2">
      <c r="A1314" s="172" t="s">
        <v>12</v>
      </c>
      <c r="B1314" s="172" t="s">
        <v>13</v>
      </c>
      <c r="C1314" s="172" t="s">
        <v>21</v>
      </c>
      <c r="D1314" s="172" t="s">
        <v>15</v>
      </c>
      <c r="E1314" s="173">
        <v>42110</v>
      </c>
      <c r="F1314" s="174">
        <v>5.2</v>
      </c>
      <c r="G1314" s="175" t="s">
        <v>16</v>
      </c>
      <c r="H1314" s="172" t="s">
        <v>17</v>
      </c>
      <c r="I1314" s="175">
        <v>1</v>
      </c>
      <c r="J1314" s="175" t="s">
        <v>18</v>
      </c>
      <c r="K1314" s="175" t="s">
        <v>57</v>
      </c>
      <c r="L1314" s="172" t="s">
        <v>56</v>
      </c>
    </row>
    <row r="1315" spans="1:12" x14ac:dyDescent="0.2">
      <c r="A1315" s="172" t="s">
        <v>12</v>
      </c>
      <c r="B1315" s="172" t="s">
        <v>13</v>
      </c>
      <c r="C1315" s="172" t="s">
        <v>21</v>
      </c>
      <c r="D1315" s="172" t="s">
        <v>15</v>
      </c>
      <c r="E1315" s="173">
        <v>42110</v>
      </c>
      <c r="F1315" s="174">
        <v>878.70240000000001</v>
      </c>
      <c r="G1315" s="175" t="s">
        <v>19</v>
      </c>
      <c r="H1315" s="172" t="s">
        <v>17</v>
      </c>
      <c r="I1315" s="175">
        <v>1</v>
      </c>
      <c r="J1315" s="175" t="s">
        <v>18</v>
      </c>
      <c r="K1315" s="175" t="s">
        <v>57</v>
      </c>
      <c r="L1315" s="172" t="s">
        <v>56</v>
      </c>
    </row>
    <row r="1316" spans="1:12" x14ac:dyDescent="0.2">
      <c r="A1316" s="172" t="s">
        <v>12</v>
      </c>
      <c r="B1316" s="172" t="s">
        <v>13</v>
      </c>
      <c r="C1316" s="172" t="s">
        <v>21</v>
      </c>
      <c r="D1316" s="172" t="s">
        <v>15</v>
      </c>
      <c r="E1316" s="173">
        <v>42110</v>
      </c>
      <c r="F1316" s="174">
        <v>4.2</v>
      </c>
      <c r="G1316" s="175" t="s">
        <v>16</v>
      </c>
      <c r="H1316" s="172" t="s">
        <v>20</v>
      </c>
      <c r="I1316" s="175">
        <v>1</v>
      </c>
      <c r="J1316" s="175" t="s">
        <v>18</v>
      </c>
      <c r="K1316" s="175" t="s">
        <v>57</v>
      </c>
      <c r="L1316" s="172" t="s">
        <v>56</v>
      </c>
    </row>
    <row r="1317" spans="1:12" x14ac:dyDescent="0.2">
      <c r="A1317" s="172" t="s">
        <v>12</v>
      </c>
      <c r="B1317" s="172" t="s">
        <v>13</v>
      </c>
      <c r="C1317" s="172" t="s">
        <v>21</v>
      </c>
      <c r="D1317" s="172" t="s">
        <v>15</v>
      </c>
      <c r="E1317" s="173">
        <v>42110</v>
      </c>
      <c r="F1317" s="174">
        <v>714.57119999999998</v>
      </c>
      <c r="G1317" s="175" t="s">
        <v>19</v>
      </c>
      <c r="H1317" s="172" t="s">
        <v>20</v>
      </c>
      <c r="I1317" s="175">
        <v>1</v>
      </c>
      <c r="J1317" s="175" t="s">
        <v>18</v>
      </c>
      <c r="K1317" s="175" t="s">
        <v>57</v>
      </c>
      <c r="L1317" s="172" t="s">
        <v>56</v>
      </c>
    </row>
    <row r="1318" spans="1:12" x14ac:dyDescent="0.2">
      <c r="A1318" s="172" t="s">
        <v>12</v>
      </c>
      <c r="B1318" s="172" t="s">
        <v>13</v>
      </c>
      <c r="C1318" s="172" t="s">
        <v>21</v>
      </c>
      <c r="D1318" s="172" t="s">
        <v>15</v>
      </c>
      <c r="E1318" s="173">
        <v>42102</v>
      </c>
      <c r="F1318" s="174">
        <v>3.3</v>
      </c>
      <c r="G1318" s="175" t="s">
        <v>16</v>
      </c>
      <c r="H1318" s="172" t="s">
        <v>17</v>
      </c>
      <c r="I1318" s="175">
        <v>1</v>
      </c>
      <c r="J1318" s="175" t="s">
        <v>18</v>
      </c>
      <c r="K1318" s="175" t="s">
        <v>57</v>
      </c>
      <c r="L1318" s="172" t="s">
        <v>56</v>
      </c>
    </row>
    <row r="1319" spans="1:12" x14ac:dyDescent="0.2">
      <c r="A1319" s="172" t="s">
        <v>12</v>
      </c>
      <c r="B1319" s="172" t="s">
        <v>13</v>
      </c>
      <c r="C1319" s="172" t="s">
        <v>21</v>
      </c>
      <c r="D1319" s="172" t="s">
        <v>15</v>
      </c>
      <c r="E1319" s="173">
        <v>42102</v>
      </c>
      <c r="F1319" s="174">
        <v>554.52660000000003</v>
      </c>
      <c r="G1319" s="175" t="s">
        <v>19</v>
      </c>
      <c r="H1319" s="172" t="s">
        <v>17</v>
      </c>
      <c r="I1319" s="175">
        <v>1</v>
      </c>
      <c r="J1319" s="175" t="s">
        <v>18</v>
      </c>
      <c r="K1319" s="175" t="s">
        <v>57</v>
      </c>
      <c r="L1319" s="172" t="s">
        <v>56</v>
      </c>
    </row>
    <row r="1320" spans="1:12" x14ac:dyDescent="0.2">
      <c r="A1320" s="172" t="s">
        <v>12</v>
      </c>
      <c r="B1320" s="172" t="s">
        <v>13</v>
      </c>
      <c r="C1320" s="172" t="s">
        <v>21</v>
      </c>
      <c r="D1320" s="172" t="s">
        <v>15</v>
      </c>
      <c r="E1320" s="173">
        <v>42102</v>
      </c>
      <c r="F1320" s="174">
        <v>1.2</v>
      </c>
      <c r="G1320" s="175" t="s">
        <v>16</v>
      </c>
      <c r="H1320" s="172" t="s">
        <v>20</v>
      </c>
      <c r="I1320" s="175">
        <v>1</v>
      </c>
      <c r="J1320" s="175" t="s">
        <v>18</v>
      </c>
      <c r="K1320" s="175" t="s">
        <v>57</v>
      </c>
      <c r="L1320" s="172" t="s">
        <v>56</v>
      </c>
    </row>
    <row r="1321" spans="1:12" x14ac:dyDescent="0.2">
      <c r="A1321" s="172" t="s">
        <v>12</v>
      </c>
      <c r="B1321" s="172" t="s">
        <v>13</v>
      </c>
      <c r="C1321" s="172" t="s">
        <v>21</v>
      </c>
      <c r="D1321" s="172" t="s">
        <v>15</v>
      </c>
      <c r="E1321" s="173">
        <v>42102</v>
      </c>
      <c r="F1321" s="174">
        <v>209.16720000000001</v>
      </c>
      <c r="G1321" s="175" t="s">
        <v>19</v>
      </c>
      <c r="H1321" s="172" t="s">
        <v>20</v>
      </c>
      <c r="I1321" s="175">
        <v>1</v>
      </c>
      <c r="J1321" s="175" t="s">
        <v>18</v>
      </c>
      <c r="K1321" s="175" t="s">
        <v>57</v>
      </c>
      <c r="L1321" s="172" t="s">
        <v>56</v>
      </c>
    </row>
    <row r="1322" spans="1:12" x14ac:dyDescent="0.2">
      <c r="A1322" s="172" t="s">
        <v>12</v>
      </c>
      <c r="B1322" s="172" t="s">
        <v>13</v>
      </c>
      <c r="C1322" s="172" t="s">
        <v>21</v>
      </c>
      <c r="D1322" s="172" t="s">
        <v>15</v>
      </c>
      <c r="E1322" s="173">
        <v>42095</v>
      </c>
      <c r="F1322" s="174">
        <v>7.1</v>
      </c>
      <c r="G1322" s="175" t="s">
        <v>16</v>
      </c>
      <c r="H1322" s="172" t="s">
        <v>17</v>
      </c>
      <c r="I1322" s="175">
        <v>1</v>
      </c>
      <c r="J1322" s="175" t="s">
        <v>18</v>
      </c>
      <c r="K1322" s="175" t="s">
        <v>57</v>
      </c>
      <c r="L1322" s="172" t="s">
        <v>56</v>
      </c>
    </row>
    <row r="1323" spans="1:12" x14ac:dyDescent="0.2">
      <c r="A1323" s="172" t="s">
        <v>12</v>
      </c>
      <c r="B1323" s="172" t="s">
        <v>13</v>
      </c>
      <c r="C1323" s="172" t="s">
        <v>21</v>
      </c>
      <c r="D1323" s="172" t="s">
        <v>15</v>
      </c>
      <c r="E1323" s="173">
        <v>42095</v>
      </c>
      <c r="F1323" s="174">
        <v>1394.3646000000001</v>
      </c>
      <c r="G1323" s="175" t="s">
        <v>19</v>
      </c>
      <c r="H1323" s="172" t="s">
        <v>17</v>
      </c>
      <c r="I1323" s="175">
        <v>1</v>
      </c>
      <c r="J1323" s="175" t="s">
        <v>18</v>
      </c>
      <c r="K1323" s="175" t="s">
        <v>57</v>
      </c>
      <c r="L1323" s="172" t="s">
        <v>56</v>
      </c>
    </row>
    <row r="1324" spans="1:12" x14ac:dyDescent="0.2">
      <c r="A1324" s="172" t="s">
        <v>12</v>
      </c>
      <c r="B1324" s="172" t="s">
        <v>13</v>
      </c>
      <c r="C1324" s="172" t="s">
        <v>21</v>
      </c>
      <c r="D1324" s="172" t="s">
        <v>15</v>
      </c>
      <c r="E1324" s="173">
        <v>42095</v>
      </c>
      <c r="F1324" s="174">
        <v>5.5</v>
      </c>
      <c r="G1324" s="175" t="s">
        <v>16</v>
      </c>
      <c r="H1324" s="172" t="s">
        <v>20</v>
      </c>
      <c r="I1324" s="175">
        <v>1</v>
      </c>
      <c r="J1324" s="175" t="s">
        <v>18</v>
      </c>
      <c r="K1324" s="175" t="s">
        <v>57</v>
      </c>
      <c r="L1324" s="172" t="s">
        <v>56</v>
      </c>
    </row>
    <row r="1325" spans="1:12" x14ac:dyDescent="0.2">
      <c r="A1325" s="172" t="s">
        <v>12</v>
      </c>
      <c r="B1325" s="172" t="s">
        <v>13</v>
      </c>
      <c r="C1325" s="172" t="s">
        <v>21</v>
      </c>
      <c r="D1325" s="172" t="s">
        <v>15</v>
      </c>
      <c r="E1325" s="173">
        <v>42095</v>
      </c>
      <c r="F1325" s="174">
        <v>1110.0540000000001</v>
      </c>
      <c r="G1325" s="175" t="s">
        <v>19</v>
      </c>
      <c r="H1325" s="172" t="s">
        <v>20</v>
      </c>
      <c r="I1325" s="175">
        <v>1</v>
      </c>
      <c r="J1325" s="175" t="s">
        <v>18</v>
      </c>
      <c r="K1325" s="175" t="s">
        <v>57</v>
      </c>
      <c r="L1325" s="172" t="s">
        <v>56</v>
      </c>
    </row>
    <row r="1326" spans="1:12" x14ac:dyDescent="0.2">
      <c r="A1326" s="172" t="s">
        <v>12</v>
      </c>
      <c r="B1326" s="172" t="s">
        <v>13</v>
      </c>
      <c r="C1326" s="172" t="s">
        <v>21</v>
      </c>
      <c r="D1326" s="172" t="s">
        <v>15</v>
      </c>
      <c r="E1326" s="173">
        <v>42089</v>
      </c>
      <c r="F1326" s="174">
        <v>1</v>
      </c>
      <c r="G1326" s="175" t="s">
        <v>16</v>
      </c>
      <c r="H1326" s="172" t="s">
        <v>17</v>
      </c>
      <c r="I1326" s="175">
        <v>1</v>
      </c>
      <c r="J1326" s="175" t="s">
        <v>18</v>
      </c>
      <c r="K1326" s="175" t="s">
        <v>57</v>
      </c>
      <c r="L1326" s="172" t="s">
        <v>56</v>
      </c>
    </row>
    <row r="1327" spans="1:12" x14ac:dyDescent="0.2">
      <c r="A1327" s="172" t="s">
        <v>12</v>
      </c>
      <c r="B1327" s="172" t="s">
        <v>13</v>
      </c>
      <c r="C1327" s="172" t="s">
        <v>21</v>
      </c>
      <c r="D1327" s="172" t="s">
        <v>15</v>
      </c>
      <c r="E1327" s="173">
        <v>42089</v>
      </c>
      <c r="F1327" s="174">
        <v>189.4014</v>
      </c>
      <c r="G1327" s="175" t="s">
        <v>19</v>
      </c>
      <c r="H1327" s="172" t="s">
        <v>17</v>
      </c>
      <c r="I1327" s="175">
        <v>1</v>
      </c>
      <c r="J1327" s="175" t="s">
        <v>18</v>
      </c>
      <c r="K1327" s="175" t="s">
        <v>57</v>
      </c>
      <c r="L1327" s="172" t="s">
        <v>56</v>
      </c>
    </row>
    <row r="1328" spans="1:12" x14ac:dyDescent="0.2">
      <c r="A1328" s="172" t="s">
        <v>12</v>
      </c>
      <c r="B1328" s="172" t="s">
        <v>13</v>
      </c>
      <c r="C1328" s="172" t="s">
        <v>21</v>
      </c>
      <c r="D1328" s="172" t="s">
        <v>15</v>
      </c>
      <c r="E1328" s="173">
        <v>42089</v>
      </c>
      <c r="F1328" s="174">
        <v>2.6</v>
      </c>
      <c r="G1328" s="175" t="s">
        <v>16</v>
      </c>
      <c r="H1328" s="172" t="s">
        <v>20</v>
      </c>
      <c r="I1328" s="175">
        <v>1</v>
      </c>
      <c r="J1328" s="175" t="s">
        <v>18</v>
      </c>
      <c r="K1328" s="175" t="s">
        <v>57</v>
      </c>
      <c r="L1328" s="172" t="s">
        <v>56</v>
      </c>
    </row>
    <row r="1329" spans="1:12" x14ac:dyDescent="0.2">
      <c r="A1329" s="172" t="s">
        <v>12</v>
      </c>
      <c r="B1329" s="172" t="s">
        <v>13</v>
      </c>
      <c r="C1329" s="172" t="s">
        <v>21</v>
      </c>
      <c r="D1329" s="172" t="s">
        <v>15</v>
      </c>
      <c r="E1329" s="173">
        <v>42089</v>
      </c>
      <c r="F1329" s="174">
        <v>498.73200000000003</v>
      </c>
      <c r="G1329" s="175" t="s">
        <v>19</v>
      </c>
      <c r="H1329" s="172" t="s">
        <v>20</v>
      </c>
      <c r="I1329" s="175">
        <v>1</v>
      </c>
      <c r="J1329" s="175" t="s">
        <v>18</v>
      </c>
      <c r="K1329" s="175" t="s">
        <v>57</v>
      </c>
      <c r="L1329" s="172" t="s">
        <v>56</v>
      </c>
    </row>
    <row r="1330" spans="1:12" x14ac:dyDescent="0.2">
      <c r="A1330" s="172" t="s">
        <v>12</v>
      </c>
      <c r="B1330" s="172" t="s">
        <v>13</v>
      </c>
      <c r="C1330" s="172" t="s">
        <v>21</v>
      </c>
      <c r="D1330" s="172" t="s">
        <v>15</v>
      </c>
      <c r="E1330" s="173">
        <v>42082</v>
      </c>
      <c r="F1330" s="174">
        <v>1.4</v>
      </c>
      <c r="G1330" s="175" t="s">
        <v>16</v>
      </c>
      <c r="H1330" s="172" t="s">
        <v>17</v>
      </c>
      <c r="I1330" s="175">
        <v>1</v>
      </c>
      <c r="J1330" s="175" t="s">
        <v>18</v>
      </c>
      <c r="K1330" s="175" t="s">
        <v>57</v>
      </c>
      <c r="L1330" s="172" t="s">
        <v>56</v>
      </c>
    </row>
    <row r="1331" spans="1:12" x14ac:dyDescent="0.2">
      <c r="A1331" s="172" t="s">
        <v>12</v>
      </c>
      <c r="B1331" s="172" t="s">
        <v>13</v>
      </c>
      <c r="C1331" s="172" t="s">
        <v>21</v>
      </c>
      <c r="D1331" s="172" t="s">
        <v>15</v>
      </c>
      <c r="E1331" s="173">
        <v>42082</v>
      </c>
      <c r="F1331" s="174">
        <v>259.37400000000002</v>
      </c>
      <c r="G1331" s="175" t="s">
        <v>19</v>
      </c>
      <c r="H1331" s="172" t="s">
        <v>17</v>
      </c>
      <c r="I1331" s="175">
        <v>1</v>
      </c>
      <c r="J1331" s="175" t="s">
        <v>18</v>
      </c>
      <c r="K1331" s="175" t="s">
        <v>57</v>
      </c>
      <c r="L1331" s="172" t="s">
        <v>56</v>
      </c>
    </row>
    <row r="1332" spans="1:12" x14ac:dyDescent="0.2">
      <c r="A1332" s="172" t="s">
        <v>12</v>
      </c>
      <c r="B1332" s="172" t="s">
        <v>13</v>
      </c>
      <c r="C1332" s="172" t="s">
        <v>21</v>
      </c>
      <c r="D1332" s="172" t="s">
        <v>15</v>
      </c>
      <c r="E1332" s="173">
        <v>42082</v>
      </c>
      <c r="F1332" s="174">
        <v>1.2</v>
      </c>
      <c r="G1332" s="175" t="s">
        <v>16</v>
      </c>
      <c r="H1332" s="172" t="s">
        <v>20</v>
      </c>
      <c r="I1332" s="175">
        <v>1</v>
      </c>
      <c r="J1332" s="175" t="s">
        <v>18</v>
      </c>
      <c r="K1332" s="175" t="s">
        <v>57</v>
      </c>
      <c r="L1332" s="172" t="s">
        <v>56</v>
      </c>
    </row>
    <row r="1333" spans="1:12" x14ac:dyDescent="0.2">
      <c r="A1333" s="172" t="s">
        <v>12</v>
      </c>
      <c r="B1333" s="172" t="s">
        <v>13</v>
      </c>
      <c r="C1333" s="172" t="s">
        <v>21</v>
      </c>
      <c r="D1333" s="172" t="s">
        <v>15</v>
      </c>
      <c r="E1333" s="173">
        <v>42082</v>
      </c>
      <c r="F1333" s="174">
        <v>247.19759999999999</v>
      </c>
      <c r="G1333" s="175" t="s">
        <v>19</v>
      </c>
      <c r="H1333" s="172" t="s">
        <v>20</v>
      </c>
      <c r="I1333" s="175">
        <v>1</v>
      </c>
      <c r="J1333" s="175" t="s">
        <v>18</v>
      </c>
      <c r="K1333" s="175" t="s">
        <v>57</v>
      </c>
      <c r="L1333" s="172" t="s">
        <v>56</v>
      </c>
    </row>
    <row r="1334" spans="1:12" x14ac:dyDescent="0.2">
      <c r="A1334" s="172" t="s">
        <v>12</v>
      </c>
      <c r="B1334" s="172" t="s">
        <v>13</v>
      </c>
      <c r="C1334" s="172" t="s">
        <v>21</v>
      </c>
      <c r="D1334" s="172" t="s">
        <v>15</v>
      </c>
      <c r="E1334" s="173">
        <v>42075</v>
      </c>
      <c r="F1334" s="174">
        <v>0.5</v>
      </c>
      <c r="G1334" s="175" t="s">
        <v>16</v>
      </c>
      <c r="H1334" s="172" t="s">
        <v>17</v>
      </c>
      <c r="I1334" s="175">
        <v>1</v>
      </c>
      <c r="J1334" s="175" t="s">
        <v>18</v>
      </c>
      <c r="K1334" s="175" t="s">
        <v>57</v>
      </c>
      <c r="L1334" s="172" t="s">
        <v>56</v>
      </c>
    </row>
    <row r="1335" spans="1:12" x14ac:dyDescent="0.2">
      <c r="A1335" s="172" t="s">
        <v>12</v>
      </c>
      <c r="B1335" s="172" t="s">
        <v>13</v>
      </c>
      <c r="C1335" s="172" t="s">
        <v>21</v>
      </c>
      <c r="D1335" s="172" t="s">
        <v>15</v>
      </c>
      <c r="E1335" s="173">
        <v>42075</v>
      </c>
      <c r="F1335" s="174">
        <v>114.4248</v>
      </c>
      <c r="G1335" s="175" t="s">
        <v>19</v>
      </c>
      <c r="H1335" s="172" t="s">
        <v>17</v>
      </c>
      <c r="I1335" s="175">
        <v>1</v>
      </c>
      <c r="J1335" s="175" t="s">
        <v>18</v>
      </c>
      <c r="K1335" s="175" t="s">
        <v>57</v>
      </c>
      <c r="L1335" s="172" t="s">
        <v>56</v>
      </c>
    </row>
    <row r="1336" spans="1:12" x14ac:dyDescent="0.2">
      <c r="A1336" s="172" t="s">
        <v>12</v>
      </c>
      <c r="B1336" s="172" t="s">
        <v>13</v>
      </c>
      <c r="C1336" s="172" t="s">
        <v>21</v>
      </c>
      <c r="D1336" s="172" t="s">
        <v>15</v>
      </c>
      <c r="E1336" s="173">
        <v>42075</v>
      </c>
      <c r="F1336" s="174">
        <v>1.1000000000000001</v>
      </c>
      <c r="G1336" s="175" t="s">
        <v>16</v>
      </c>
      <c r="H1336" s="172" t="s">
        <v>20</v>
      </c>
      <c r="I1336" s="175">
        <v>1</v>
      </c>
      <c r="J1336" s="175" t="s">
        <v>18</v>
      </c>
      <c r="K1336" s="175" t="s">
        <v>57</v>
      </c>
      <c r="L1336" s="172" t="s">
        <v>56</v>
      </c>
    </row>
    <row r="1337" spans="1:12" x14ac:dyDescent="0.2">
      <c r="A1337" s="172" t="s">
        <v>12</v>
      </c>
      <c r="B1337" s="172" t="s">
        <v>13</v>
      </c>
      <c r="C1337" s="172" t="s">
        <v>21</v>
      </c>
      <c r="D1337" s="172" t="s">
        <v>15</v>
      </c>
      <c r="E1337" s="173">
        <v>42075</v>
      </c>
      <c r="F1337" s="174">
        <v>244.0284</v>
      </c>
      <c r="G1337" s="175" t="s">
        <v>19</v>
      </c>
      <c r="H1337" s="172" t="s">
        <v>20</v>
      </c>
      <c r="I1337" s="175">
        <v>1</v>
      </c>
      <c r="J1337" s="175" t="s">
        <v>18</v>
      </c>
      <c r="K1337" s="175" t="s">
        <v>57</v>
      </c>
      <c r="L1337" s="172" t="s">
        <v>56</v>
      </c>
    </row>
    <row r="1338" spans="1:12" x14ac:dyDescent="0.2">
      <c r="A1338" s="172" t="s">
        <v>12</v>
      </c>
      <c r="B1338" s="172" t="s">
        <v>13</v>
      </c>
      <c r="C1338" s="172" t="s">
        <v>21</v>
      </c>
      <c r="D1338" s="172" t="s">
        <v>15</v>
      </c>
      <c r="E1338" s="173">
        <v>42066</v>
      </c>
      <c r="F1338" s="174">
        <v>1.5</v>
      </c>
      <c r="G1338" s="175" t="s">
        <v>16</v>
      </c>
      <c r="H1338" s="172" t="s">
        <v>17</v>
      </c>
      <c r="I1338" s="175">
        <v>1</v>
      </c>
      <c r="J1338" s="175" t="s">
        <v>18</v>
      </c>
      <c r="K1338" s="175" t="s">
        <v>57</v>
      </c>
      <c r="L1338" s="172" t="s">
        <v>56</v>
      </c>
    </row>
    <row r="1339" spans="1:12" x14ac:dyDescent="0.2">
      <c r="A1339" s="172" t="s">
        <v>12</v>
      </c>
      <c r="B1339" s="172" t="s">
        <v>13</v>
      </c>
      <c r="C1339" s="172" t="s">
        <v>21</v>
      </c>
      <c r="D1339" s="172" t="s">
        <v>15</v>
      </c>
      <c r="E1339" s="173">
        <v>42066</v>
      </c>
      <c r="F1339" s="174">
        <v>255.28739999999999</v>
      </c>
      <c r="G1339" s="175" t="s">
        <v>19</v>
      </c>
      <c r="H1339" s="172" t="s">
        <v>17</v>
      </c>
      <c r="I1339" s="175">
        <v>1</v>
      </c>
      <c r="J1339" s="175" t="s">
        <v>18</v>
      </c>
      <c r="K1339" s="175" t="s">
        <v>57</v>
      </c>
      <c r="L1339" s="172" t="s">
        <v>56</v>
      </c>
    </row>
    <row r="1340" spans="1:12" x14ac:dyDescent="0.2">
      <c r="A1340" s="172" t="s">
        <v>12</v>
      </c>
      <c r="B1340" s="172" t="s">
        <v>13</v>
      </c>
      <c r="C1340" s="172" t="s">
        <v>21</v>
      </c>
      <c r="D1340" s="172" t="s">
        <v>15</v>
      </c>
      <c r="E1340" s="173">
        <v>42066</v>
      </c>
      <c r="F1340" s="174">
        <v>0.5</v>
      </c>
      <c r="G1340" s="175" t="s">
        <v>16</v>
      </c>
      <c r="H1340" s="172" t="s">
        <v>20</v>
      </c>
      <c r="I1340" s="175">
        <v>1</v>
      </c>
      <c r="J1340" s="175" t="s">
        <v>18</v>
      </c>
      <c r="K1340" s="175" t="s">
        <v>57</v>
      </c>
      <c r="L1340" s="172" t="s">
        <v>56</v>
      </c>
    </row>
    <row r="1341" spans="1:12" x14ac:dyDescent="0.2">
      <c r="A1341" s="172" t="s">
        <v>12</v>
      </c>
      <c r="B1341" s="172" t="s">
        <v>13</v>
      </c>
      <c r="C1341" s="172" t="s">
        <v>21</v>
      </c>
      <c r="D1341" s="172" t="s">
        <v>15</v>
      </c>
      <c r="E1341" s="173">
        <v>42066</v>
      </c>
      <c r="F1341" s="174">
        <v>87.153000000000006</v>
      </c>
      <c r="G1341" s="175" t="s">
        <v>19</v>
      </c>
      <c r="H1341" s="172" t="s">
        <v>20</v>
      </c>
      <c r="I1341" s="175">
        <v>1</v>
      </c>
      <c r="J1341" s="175" t="s">
        <v>18</v>
      </c>
      <c r="K1341" s="175" t="s">
        <v>57</v>
      </c>
      <c r="L1341" s="172" t="s">
        <v>56</v>
      </c>
    </row>
    <row r="1342" spans="1:12" x14ac:dyDescent="0.2">
      <c r="A1342" s="172" t="s">
        <v>12</v>
      </c>
      <c r="B1342" s="172" t="s">
        <v>13</v>
      </c>
      <c r="C1342" s="172" t="s">
        <v>21</v>
      </c>
      <c r="D1342" s="172" t="s">
        <v>15</v>
      </c>
      <c r="E1342" s="173">
        <v>42060</v>
      </c>
      <c r="F1342" s="174">
        <v>5.3</v>
      </c>
      <c r="G1342" s="175" t="s">
        <v>16</v>
      </c>
      <c r="H1342" s="172" t="s">
        <v>17</v>
      </c>
      <c r="I1342" s="175">
        <v>1</v>
      </c>
      <c r="J1342" s="175" t="s">
        <v>18</v>
      </c>
      <c r="K1342" s="175" t="s">
        <v>57</v>
      </c>
      <c r="L1342" s="172" t="s">
        <v>56</v>
      </c>
    </row>
    <row r="1343" spans="1:12" x14ac:dyDescent="0.2">
      <c r="A1343" s="172" t="s">
        <v>12</v>
      </c>
      <c r="B1343" s="172" t="s">
        <v>13</v>
      </c>
      <c r="C1343" s="172" t="s">
        <v>21</v>
      </c>
      <c r="D1343" s="172" t="s">
        <v>15</v>
      </c>
      <c r="E1343" s="173">
        <v>42060</v>
      </c>
      <c r="F1343" s="174">
        <v>788.96400000000006</v>
      </c>
      <c r="G1343" s="175" t="s">
        <v>19</v>
      </c>
      <c r="H1343" s="172" t="s">
        <v>17</v>
      </c>
      <c r="I1343" s="175">
        <v>1</v>
      </c>
      <c r="J1343" s="175" t="s">
        <v>18</v>
      </c>
      <c r="K1343" s="175" t="s">
        <v>57</v>
      </c>
      <c r="L1343" s="172" t="s">
        <v>56</v>
      </c>
    </row>
    <row r="1344" spans="1:12" x14ac:dyDescent="0.2">
      <c r="A1344" s="172" t="s">
        <v>12</v>
      </c>
      <c r="B1344" s="172" t="s">
        <v>13</v>
      </c>
      <c r="C1344" s="172" t="s">
        <v>21</v>
      </c>
      <c r="D1344" s="172" t="s">
        <v>15</v>
      </c>
      <c r="E1344" s="173">
        <v>42060</v>
      </c>
      <c r="F1344" s="174">
        <v>2.9</v>
      </c>
      <c r="G1344" s="175" t="s">
        <v>16</v>
      </c>
      <c r="H1344" s="172" t="s">
        <v>20</v>
      </c>
      <c r="I1344" s="175">
        <v>1</v>
      </c>
      <c r="J1344" s="175" t="s">
        <v>18</v>
      </c>
      <c r="K1344" s="175" t="s">
        <v>57</v>
      </c>
      <c r="L1344" s="172" t="s">
        <v>56</v>
      </c>
    </row>
    <row r="1345" spans="1:12" x14ac:dyDescent="0.2">
      <c r="A1345" s="172" t="s">
        <v>12</v>
      </c>
      <c r="B1345" s="172" t="s">
        <v>13</v>
      </c>
      <c r="C1345" s="172" t="s">
        <v>21</v>
      </c>
      <c r="D1345" s="172" t="s">
        <v>15</v>
      </c>
      <c r="E1345" s="173">
        <v>42060</v>
      </c>
      <c r="F1345" s="174">
        <v>474.04559999999998</v>
      </c>
      <c r="G1345" s="175" t="s">
        <v>19</v>
      </c>
      <c r="H1345" s="172" t="s">
        <v>20</v>
      </c>
      <c r="I1345" s="175">
        <v>1</v>
      </c>
      <c r="J1345" s="175" t="s">
        <v>18</v>
      </c>
      <c r="K1345" s="175" t="s">
        <v>57</v>
      </c>
      <c r="L1345" s="172" t="s">
        <v>56</v>
      </c>
    </row>
    <row r="1346" spans="1:12" x14ac:dyDescent="0.2">
      <c r="A1346" s="172" t="s">
        <v>12</v>
      </c>
      <c r="B1346" s="172" t="s">
        <v>13</v>
      </c>
      <c r="C1346" s="172" t="s">
        <v>21</v>
      </c>
      <c r="D1346" s="172" t="s">
        <v>15</v>
      </c>
      <c r="E1346" s="173">
        <v>42053</v>
      </c>
      <c r="F1346" s="174">
        <v>12.2</v>
      </c>
      <c r="G1346" s="175" t="s">
        <v>16</v>
      </c>
      <c r="H1346" s="172" t="s">
        <v>17</v>
      </c>
      <c r="I1346" s="175">
        <v>1</v>
      </c>
      <c r="J1346" s="175" t="s">
        <v>18</v>
      </c>
      <c r="K1346" s="175" t="s">
        <v>57</v>
      </c>
      <c r="L1346" s="172" t="s">
        <v>56</v>
      </c>
    </row>
    <row r="1347" spans="1:12" x14ac:dyDescent="0.2">
      <c r="A1347" s="172" t="s">
        <v>12</v>
      </c>
      <c r="B1347" s="172" t="s">
        <v>13</v>
      </c>
      <c r="C1347" s="172" t="s">
        <v>21</v>
      </c>
      <c r="D1347" s="172" t="s">
        <v>15</v>
      </c>
      <c r="E1347" s="173">
        <v>42053</v>
      </c>
      <c r="F1347" s="174">
        <v>1965.7380000000001</v>
      </c>
      <c r="G1347" s="175" t="s">
        <v>19</v>
      </c>
      <c r="H1347" s="172" t="s">
        <v>17</v>
      </c>
      <c r="I1347" s="175">
        <v>1</v>
      </c>
      <c r="J1347" s="175" t="s">
        <v>18</v>
      </c>
      <c r="K1347" s="175" t="s">
        <v>57</v>
      </c>
      <c r="L1347" s="172" t="s">
        <v>56</v>
      </c>
    </row>
    <row r="1348" spans="1:12" x14ac:dyDescent="0.2">
      <c r="A1348" s="172" t="s">
        <v>12</v>
      </c>
      <c r="B1348" s="172" t="s">
        <v>13</v>
      </c>
      <c r="C1348" s="172" t="s">
        <v>21</v>
      </c>
      <c r="D1348" s="172" t="s">
        <v>15</v>
      </c>
      <c r="E1348" s="173">
        <v>42053</v>
      </c>
      <c r="F1348" s="174">
        <v>5</v>
      </c>
      <c r="G1348" s="175" t="s">
        <v>16</v>
      </c>
      <c r="H1348" s="172" t="s">
        <v>20</v>
      </c>
      <c r="I1348" s="175">
        <v>1</v>
      </c>
      <c r="J1348" s="175" t="s">
        <v>18</v>
      </c>
      <c r="K1348" s="175" t="s">
        <v>57</v>
      </c>
      <c r="L1348" s="172" t="s">
        <v>56</v>
      </c>
    </row>
    <row r="1349" spans="1:12" x14ac:dyDescent="0.2">
      <c r="A1349" s="172" t="s">
        <v>12</v>
      </c>
      <c r="B1349" s="172" t="s">
        <v>13</v>
      </c>
      <c r="C1349" s="172" t="s">
        <v>21</v>
      </c>
      <c r="D1349" s="172" t="s">
        <v>15</v>
      </c>
      <c r="E1349" s="173">
        <v>42053</v>
      </c>
      <c r="F1349" s="174">
        <v>884.04</v>
      </c>
      <c r="G1349" s="175" t="s">
        <v>19</v>
      </c>
      <c r="H1349" s="172" t="s">
        <v>20</v>
      </c>
      <c r="I1349" s="175">
        <v>1</v>
      </c>
      <c r="J1349" s="175" t="s">
        <v>18</v>
      </c>
      <c r="K1349" s="175" t="s">
        <v>57</v>
      </c>
      <c r="L1349" s="172" t="s">
        <v>56</v>
      </c>
    </row>
    <row r="1350" spans="1:12" x14ac:dyDescent="0.2">
      <c r="A1350" s="172" t="s">
        <v>12</v>
      </c>
      <c r="B1350" s="172" t="s">
        <v>13</v>
      </c>
      <c r="C1350" s="172" t="s">
        <v>21</v>
      </c>
      <c r="D1350" s="172" t="s">
        <v>15</v>
      </c>
      <c r="E1350" s="173">
        <v>42047</v>
      </c>
      <c r="F1350" s="174">
        <v>1.6</v>
      </c>
      <c r="G1350" s="175" t="s">
        <v>16</v>
      </c>
      <c r="H1350" s="172" t="s">
        <v>17</v>
      </c>
      <c r="I1350" s="175">
        <v>1</v>
      </c>
      <c r="J1350" s="175" t="s">
        <v>18</v>
      </c>
      <c r="K1350" s="175" t="s">
        <v>57</v>
      </c>
      <c r="L1350" s="172" t="s">
        <v>56</v>
      </c>
    </row>
    <row r="1351" spans="1:12" x14ac:dyDescent="0.2">
      <c r="A1351" s="172" t="s">
        <v>12</v>
      </c>
      <c r="B1351" s="172" t="s">
        <v>13</v>
      </c>
      <c r="C1351" s="172" t="s">
        <v>21</v>
      </c>
      <c r="D1351" s="172" t="s">
        <v>15</v>
      </c>
      <c r="E1351" s="173">
        <v>42047</v>
      </c>
      <c r="F1351" s="174">
        <v>269.79899999999998</v>
      </c>
      <c r="G1351" s="175" t="s">
        <v>19</v>
      </c>
      <c r="H1351" s="172" t="s">
        <v>17</v>
      </c>
      <c r="I1351" s="175">
        <v>1</v>
      </c>
      <c r="J1351" s="175" t="s">
        <v>18</v>
      </c>
      <c r="K1351" s="175" t="s">
        <v>57</v>
      </c>
      <c r="L1351" s="172" t="s">
        <v>56</v>
      </c>
    </row>
    <row r="1352" spans="1:12" x14ac:dyDescent="0.2">
      <c r="A1352" s="172" t="s">
        <v>12</v>
      </c>
      <c r="B1352" s="172" t="s">
        <v>13</v>
      </c>
      <c r="C1352" s="172" t="s">
        <v>21</v>
      </c>
      <c r="D1352" s="172" t="s">
        <v>15</v>
      </c>
      <c r="E1352" s="173">
        <v>42047</v>
      </c>
      <c r="F1352" s="174">
        <v>1.7</v>
      </c>
      <c r="G1352" s="175" t="s">
        <v>16</v>
      </c>
      <c r="H1352" s="172" t="s">
        <v>20</v>
      </c>
      <c r="I1352" s="175">
        <v>1</v>
      </c>
      <c r="J1352" s="175" t="s">
        <v>18</v>
      </c>
      <c r="K1352" s="175" t="s">
        <v>57</v>
      </c>
      <c r="L1352" s="172" t="s">
        <v>56</v>
      </c>
    </row>
    <row r="1353" spans="1:12" x14ac:dyDescent="0.2">
      <c r="A1353" s="172" t="s">
        <v>12</v>
      </c>
      <c r="B1353" s="172" t="s">
        <v>13</v>
      </c>
      <c r="C1353" s="172" t="s">
        <v>21</v>
      </c>
      <c r="D1353" s="172" t="s">
        <v>15</v>
      </c>
      <c r="E1353" s="173">
        <v>42047</v>
      </c>
      <c r="F1353" s="174">
        <v>304.827</v>
      </c>
      <c r="G1353" s="175" t="s">
        <v>19</v>
      </c>
      <c r="H1353" s="172" t="s">
        <v>20</v>
      </c>
      <c r="I1353" s="175">
        <v>1</v>
      </c>
      <c r="J1353" s="175" t="s">
        <v>18</v>
      </c>
      <c r="K1353" s="175" t="s">
        <v>57</v>
      </c>
      <c r="L1353" s="172" t="s">
        <v>56</v>
      </c>
    </row>
    <row r="1354" spans="1:12" x14ac:dyDescent="0.2">
      <c r="A1354" s="172" t="s">
        <v>12</v>
      </c>
      <c r="B1354" s="172" t="s">
        <v>13</v>
      </c>
      <c r="C1354" s="172" t="s">
        <v>21</v>
      </c>
      <c r="D1354" s="172" t="s">
        <v>15</v>
      </c>
      <c r="E1354" s="173">
        <v>42039</v>
      </c>
      <c r="F1354" s="174">
        <v>6.2</v>
      </c>
      <c r="G1354" s="175" t="s">
        <v>16</v>
      </c>
      <c r="H1354" s="172" t="s">
        <v>17</v>
      </c>
      <c r="I1354" s="175">
        <v>1</v>
      </c>
      <c r="J1354" s="175" t="s">
        <v>18</v>
      </c>
      <c r="K1354" s="175" t="s">
        <v>57</v>
      </c>
      <c r="L1354" s="172" t="s">
        <v>56</v>
      </c>
    </row>
    <row r="1355" spans="1:12" x14ac:dyDescent="0.2">
      <c r="A1355" s="172" t="s">
        <v>12</v>
      </c>
      <c r="B1355" s="172" t="s">
        <v>13</v>
      </c>
      <c r="C1355" s="172" t="s">
        <v>21</v>
      </c>
      <c r="D1355" s="172" t="s">
        <v>15</v>
      </c>
      <c r="E1355" s="173">
        <v>42039</v>
      </c>
      <c r="F1355" s="174">
        <v>931.41120000000001</v>
      </c>
      <c r="G1355" s="175" t="s">
        <v>19</v>
      </c>
      <c r="H1355" s="172" t="s">
        <v>17</v>
      </c>
      <c r="I1355" s="175">
        <v>1</v>
      </c>
      <c r="J1355" s="175" t="s">
        <v>18</v>
      </c>
      <c r="K1355" s="175" t="s">
        <v>57</v>
      </c>
      <c r="L1355" s="172" t="s">
        <v>56</v>
      </c>
    </row>
    <row r="1356" spans="1:12" x14ac:dyDescent="0.2">
      <c r="A1356" s="172" t="s">
        <v>12</v>
      </c>
      <c r="B1356" s="172" t="s">
        <v>13</v>
      </c>
      <c r="C1356" s="172" t="s">
        <v>21</v>
      </c>
      <c r="D1356" s="172" t="s">
        <v>15</v>
      </c>
      <c r="E1356" s="173">
        <v>42039</v>
      </c>
      <c r="F1356" s="174">
        <v>3.5</v>
      </c>
      <c r="G1356" s="175" t="s">
        <v>16</v>
      </c>
      <c r="H1356" s="172" t="s">
        <v>20</v>
      </c>
      <c r="I1356" s="175">
        <v>1</v>
      </c>
      <c r="J1356" s="175" t="s">
        <v>18</v>
      </c>
      <c r="K1356" s="175" t="s">
        <v>57</v>
      </c>
      <c r="L1356" s="172" t="s">
        <v>56</v>
      </c>
    </row>
    <row r="1357" spans="1:12" x14ac:dyDescent="0.2">
      <c r="A1357" s="172" t="s">
        <v>12</v>
      </c>
      <c r="B1357" s="172" t="s">
        <v>13</v>
      </c>
      <c r="C1357" s="172" t="s">
        <v>21</v>
      </c>
      <c r="D1357" s="172" t="s">
        <v>15</v>
      </c>
      <c r="E1357" s="173">
        <v>42039</v>
      </c>
      <c r="F1357" s="174">
        <v>589.63800000000003</v>
      </c>
      <c r="G1357" s="175" t="s">
        <v>19</v>
      </c>
      <c r="H1357" s="172" t="s">
        <v>20</v>
      </c>
      <c r="I1357" s="175">
        <v>1</v>
      </c>
      <c r="J1357" s="175" t="s">
        <v>18</v>
      </c>
      <c r="K1357" s="175" t="s">
        <v>57</v>
      </c>
      <c r="L1357" s="172" t="s">
        <v>56</v>
      </c>
    </row>
    <row r="1358" spans="1:12" x14ac:dyDescent="0.2">
      <c r="A1358" s="172" t="s">
        <v>12</v>
      </c>
      <c r="B1358" s="172" t="s">
        <v>13</v>
      </c>
      <c r="C1358" s="172" t="s">
        <v>21</v>
      </c>
      <c r="D1358" s="172" t="s">
        <v>15</v>
      </c>
      <c r="E1358" s="173">
        <v>42032</v>
      </c>
      <c r="F1358" s="174">
        <v>4.0999999999999996</v>
      </c>
      <c r="G1358" s="175" t="s">
        <v>16</v>
      </c>
      <c r="H1358" s="172" t="s">
        <v>17</v>
      </c>
      <c r="I1358" s="175">
        <v>1</v>
      </c>
      <c r="J1358" s="175" t="s">
        <v>18</v>
      </c>
      <c r="K1358" s="175" t="s">
        <v>57</v>
      </c>
      <c r="L1358" s="172" t="s">
        <v>56</v>
      </c>
    </row>
    <row r="1359" spans="1:12" x14ac:dyDescent="0.2">
      <c r="A1359" s="172" t="s">
        <v>12</v>
      </c>
      <c r="B1359" s="172" t="s">
        <v>13</v>
      </c>
      <c r="C1359" s="172" t="s">
        <v>21</v>
      </c>
      <c r="D1359" s="172" t="s">
        <v>15</v>
      </c>
      <c r="E1359" s="173">
        <v>42032</v>
      </c>
      <c r="F1359" s="174">
        <v>664.19759999999997</v>
      </c>
      <c r="G1359" s="175" t="s">
        <v>19</v>
      </c>
      <c r="H1359" s="172" t="s">
        <v>17</v>
      </c>
      <c r="I1359" s="175">
        <v>1</v>
      </c>
      <c r="J1359" s="175" t="s">
        <v>18</v>
      </c>
      <c r="K1359" s="175" t="s">
        <v>57</v>
      </c>
      <c r="L1359" s="172" t="s">
        <v>56</v>
      </c>
    </row>
    <row r="1360" spans="1:12" x14ac:dyDescent="0.2">
      <c r="A1360" s="172" t="s">
        <v>12</v>
      </c>
      <c r="B1360" s="172" t="s">
        <v>13</v>
      </c>
      <c r="C1360" s="172" t="s">
        <v>21</v>
      </c>
      <c r="D1360" s="172" t="s">
        <v>15</v>
      </c>
      <c r="E1360" s="173">
        <v>42032</v>
      </c>
      <c r="F1360" s="174">
        <v>2.2000000000000002</v>
      </c>
      <c r="G1360" s="175" t="s">
        <v>16</v>
      </c>
      <c r="H1360" s="172" t="s">
        <v>20</v>
      </c>
      <c r="I1360" s="175">
        <v>1</v>
      </c>
      <c r="J1360" s="175" t="s">
        <v>18</v>
      </c>
      <c r="K1360" s="175" t="s">
        <v>57</v>
      </c>
      <c r="L1360" s="172" t="s">
        <v>56</v>
      </c>
    </row>
    <row r="1361" spans="1:12" x14ac:dyDescent="0.2">
      <c r="A1361" s="172" t="s">
        <v>12</v>
      </c>
      <c r="B1361" s="172" t="s">
        <v>13</v>
      </c>
      <c r="C1361" s="172" t="s">
        <v>21</v>
      </c>
      <c r="D1361" s="172" t="s">
        <v>15</v>
      </c>
      <c r="E1361" s="173">
        <v>42032</v>
      </c>
      <c r="F1361" s="174">
        <v>409.16039999999998</v>
      </c>
      <c r="G1361" s="175" t="s">
        <v>19</v>
      </c>
      <c r="H1361" s="172" t="s">
        <v>20</v>
      </c>
      <c r="I1361" s="175">
        <v>1</v>
      </c>
      <c r="J1361" s="175" t="s">
        <v>18</v>
      </c>
      <c r="K1361" s="175" t="s">
        <v>57</v>
      </c>
      <c r="L1361" s="172" t="s">
        <v>56</v>
      </c>
    </row>
    <row r="1362" spans="1:12" x14ac:dyDescent="0.2">
      <c r="A1362" s="172" t="s">
        <v>12</v>
      </c>
      <c r="B1362" s="172" t="s">
        <v>13</v>
      </c>
      <c r="C1362" s="172" t="s">
        <v>21</v>
      </c>
      <c r="D1362" s="172" t="s">
        <v>15</v>
      </c>
      <c r="E1362" s="173">
        <v>42026</v>
      </c>
      <c r="F1362" s="174">
        <v>0.5</v>
      </c>
      <c r="G1362" s="175" t="s">
        <v>16</v>
      </c>
      <c r="H1362" s="172" t="s">
        <v>17</v>
      </c>
      <c r="I1362" s="175">
        <v>1</v>
      </c>
      <c r="J1362" s="175" t="s">
        <v>18</v>
      </c>
      <c r="K1362" s="175" t="s">
        <v>57</v>
      </c>
      <c r="L1362" s="172" t="s">
        <v>56</v>
      </c>
    </row>
    <row r="1363" spans="1:12" x14ac:dyDescent="0.2">
      <c r="A1363" s="172" t="s">
        <v>12</v>
      </c>
      <c r="B1363" s="172" t="s">
        <v>13</v>
      </c>
      <c r="C1363" s="172" t="s">
        <v>21</v>
      </c>
      <c r="D1363" s="172" t="s">
        <v>15</v>
      </c>
      <c r="E1363" s="173">
        <v>42026</v>
      </c>
      <c r="F1363" s="174">
        <v>99.0792</v>
      </c>
      <c r="G1363" s="175" t="s">
        <v>19</v>
      </c>
      <c r="H1363" s="172" t="s">
        <v>17</v>
      </c>
      <c r="I1363" s="175">
        <v>1</v>
      </c>
      <c r="J1363" s="175" t="s">
        <v>18</v>
      </c>
      <c r="K1363" s="175" t="s">
        <v>57</v>
      </c>
      <c r="L1363" s="172" t="s">
        <v>56</v>
      </c>
    </row>
    <row r="1364" spans="1:12" x14ac:dyDescent="0.2">
      <c r="A1364" s="172" t="s">
        <v>12</v>
      </c>
      <c r="B1364" s="172" t="s">
        <v>13</v>
      </c>
      <c r="C1364" s="172" t="s">
        <v>21</v>
      </c>
      <c r="D1364" s="172" t="s">
        <v>15</v>
      </c>
      <c r="E1364" s="173">
        <v>42026</v>
      </c>
      <c r="F1364" s="174">
        <v>1.5</v>
      </c>
      <c r="G1364" s="175" t="s">
        <v>16</v>
      </c>
      <c r="H1364" s="172" t="s">
        <v>20</v>
      </c>
      <c r="I1364" s="175">
        <v>1</v>
      </c>
      <c r="J1364" s="175" t="s">
        <v>18</v>
      </c>
      <c r="K1364" s="175" t="s">
        <v>57</v>
      </c>
      <c r="L1364" s="172" t="s">
        <v>56</v>
      </c>
    </row>
    <row r="1365" spans="1:12" x14ac:dyDescent="0.2">
      <c r="A1365" s="172" t="s">
        <v>12</v>
      </c>
      <c r="B1365" s="172" t="s">
        <v>13</v>
      </c>
      <c r="C1365" s="172" t="s">
        <v>21</v>
      </c>
      <c r="D1365" s="172" t="s">
        <v>15</v>
      </c>
      <c r="E1365" s="173">
        <v>42026</v>
      </c>
      <c r="F1365" s="174">
        <v>322.75799999999998</v>
      </c>
      <c r="G1365" s="175" t="s">
        <v>19</v>
      </c>
      <c r="H1365" s="172" t="s">
        <v>20</v>
      </c>
      <c r="I1365" s="175">
        <v>1</v>
      </c>
      <c r="J1365" s="175" t="s">
        <v>18</v>
      </c>
      <c r="K1365" s="175" t="s">
        <v>57</v>
      </c>
      <c r="L1365" s="172" t="s">
        <v>56</v>
      </c>
    </row>
    <row r="1366" spans="1:12" x14ac:dyDescent="0.2">
      <c r="A1366" s="172" t="s">
        <v>12</v>
      </c>
      <c r="B1366" s="172" t="s">
        <v>13</v>
      </c>
      <c r="C1366" s="172" t="s">
        <v>21</v>
      </c>
      <c r="D1366" s="172" t="s">
        <v>15</v>
      </c>
      <c r="E1366" s="173">
        <v>42018</v>
      </c>
      <c r="F1366" s="174">
        <v>1.6</v>
      </c>
      <c r="G1366" s="175" t="s">
        <v>16</v>
      </c>
      <c r="H1366" s="172" t="s">
        <v>17</v>
      </c>
      <c r="I1366" s="175">
        <v>1</v>
      </c>
      <c r="J1366" s="175" t="s">
        <v>18</v>
      </c>
      <c r="K1366" s="175" t="s">
        <v>57</v>
      </c>
      <c r="L1366" s="172" t="s">
        <v>56</v>
      </c>
    </row>
    <row r="1367" spans="1:12" x14ac:dyDescent="0.2">
      <c r="A1367" s="172" t="s">
        <v>12</v>
      </c>
      <c r="B1367" s="172" t="s">
        <v>13</v>
      </c>
      <c r="C1367" s="172" t="s">
        <v>21</v>
      </c>
      <c r="D1367" s="172" t="s">
        <v>15</v>
      </c>
      <c r="E1367" s="173">
        <v>42018</v>
      </c>
      <c r="F1367" s="174">
        <v>293.56799999999998</v>
      </c>
      <c r="G1367" s="175" t="s">
        <v>19</v>
      </c>
      <c r="H1367" s="172" t="s">
        <v>17</v>
      </c>
      <c r="I1367" s="175">
        <v>1</v>
      </c>
      <c r="J1367" s="175" t="s">
        <v>18</v>
      </c>
      <c r="K1367" s="175" t="s">
        <v>57</v>
      </c>
      <c r="L1367" s="172" t="s">
        <v>56</v>
      </c>
    </row>
    <row r="1368" spans="1:12" x14ac:dyDescent="0.2">
      <c r="A1368" s="172" t="s">
        <v>12</v>
      </c>
      <c r="B1368" s="172" t="s">
        <v>13</v>
      </c>
      <c r="C1368" s="172" t="s">
        <v>21</v>
      </c>
      <c r="D1368" s="172" t="s">
        <v>15</v>
      </c>
      <c r="E1368" s="173">
        <v>42018</v>
      </c>
      <c r="F1368" s="174">
        <v>0.7</v>
      </c>
      <c r="G1368" s="175" t="s">
        <v>16</v>
      </c>
      <c r="H1368" s="172" t="s">
        <v>20</v>
      </c>
      <c r="I1368" s="175">
        <v>1</v>
      </c>
      <c r="J1368" s="175" t="s">
        <v>18</v>
      </c>
      <c r="K1368" s="175" t="s">
        <v>57</v>
      </c>
      <c r="L1368" s="172" t="s">
        <v>56</v>
      </c>
    </row>
    <row r="1369" spans="1:12" x14ac:dyDescent="0.2">
      <c r="A1369" s="172" t="s">
        <v>12</v>
      </c>
      <c r="B1369" s="172" t="s">
        <v>13</v>
      </c>
      <c r="C1369" s="172" t="s">
        <v>21</v>
      </c>
      <c r="D1369" s="172" t="s">
        <v>15</v>
      </c>
      <c r="E1369" s="173">
        <v>42018</v>
      </c>
      <c r="F1369" s="174">
        <v>150.03659999999999</v>
      </c>
      <c r="G1369" s="175" t="s">
        <v>19</v>
      </c>
      <c r="H1369" s="172" t="s">
        <v>20</v>
      </c>
      <c r="I1369" s="175">
        <v>1</v>
      </c>
      <c r="J1369" s="175" t="s">
        <v>18</v>
      </c>
      <c r="K1369" s="175" t="s">
        <v>57</v>
      </c>
      <c r="L1369" s="172" t="s">
        <v>56</v>
      </c>
    </row>
    <row r="1370" spans="1:12" x14ac:dyDescent="0.2">
      <c r="A1370" s="172" t="s">
        <v>12</v>
      </c>
      <c r="B1370" s="172" t="s">
        <v>13</v>
      </c>
      <c r="C1370" s="172" t="s">
        <v>21</v>
      </c>
      <c r="D1370" s="172" t="s">
        <v>15</v>
      </c>
      <c r="E1370" s="173">
        <v>42012</v>
      </c>
      <c r="F1370" s="174">
        <v>0.8</v>
      </c>
      <c r="G1370" s="175" t="s">
        <v>16</v>
      </c>
      <c r="H1370" s="172" t="s">
        <v>17</v>
      </c>
      <c r="I1370" s="175">
        <v>1</v>
      </c>
      <c r="J1370" s="175" t="s">
        <v>18</v>
      </c>
      <c r="K1370" s="175" t="s">
        <v>57</v>
      </c>
      <c r="L1370" s="172" t="s">
        <v>56</v>
      </c>
    </row>
    <row r="1371" spans="1:12" x14ac:dyDescent="0.2">
      <c r="A1371" s="172" t="s">
        <v>12</v>
      </c>
      <c r="B1371" s="172" t="s">
        <v>13</v>
      </c>
      <c r="C1371" s="172" t="s">
        <v>21</v>
      </c>
      <c r="D1371" s="172" t="s">
        <v>15</v>
      </c>
      <c r="E1371" s="173">
        <v>42012</v>
      </c>
      <c r="F1371" s="174">
        <v>163.54740000000001</v>
      </c>
      <c r="G1371" s="175" t="s">
        <v>19</v>
      </c>
      <c r="H1371" s="172" t="s">
        <v>17</v>
      </c>
      <c r="I1371" s="175">
        <v>1</v>
      </c>
      <c r="J1371" s="175" t="s">
        <v>18</v>
      </c>
      <c r="K1371" s="175" t="s">
        <v>57</v>
      </c>
      <c r="L1371" s="172" t="s">
        <v>56</v>
      </c>
    </row>
    <row r="1372" spans="1:12" x14ac:dyDescent="0.2">
      <c r="A1372" s="172" t="s">
        <v>12</v>
      </c>
      <c r="B1372" s="172" t="s">
        <v>13</v>
      </c>
      <c r="C1372" s="172" t="s">
        <v>21</v>
      </c>
      <c r="D1372" s="172" t="s">
        <v>15</v>
      </c>
      <c r="E1372" s="173">
        <v>42012</v>
      </c>
      <c r="F1372" s="174">
        <v>0.9</v>
      </c>
      <c r="G1372" s="175" t="s">
        <v>16</v>
      </c>
      <c r="H1372" s="172" t="s">
        <v>20</v>
      </c>
      <c r="I1372" s="175">
        <v>1</v>
      </c>
      <c r="J1372" s="175" t="s">
        <v>18</v>
      </c>
      <c r="K1372" s="175" t="s">
        <v>57</v>
      </c>
      <c r="L1372" s="172" t="s">
        <v>56</v>
      </c>
    </row>
    <row r="1373" spans="1:12" x14ac:dyDescent="0.2">
      <c r="A1373" s="172" t="s">
        <v>12</v>
      </c>
      <c r="B1373" s="172" t="s">
        <v>13</v>
      </c>
      <c r="C1373" s="172" t="s">
        <v>21</v>
      </c>
      <c r="D1373" s="172" t="s">
        <v>15</v>
      </c>
      <c r="E1373" s="173">
        <v>42012</v>
      </c>
      <c r="F1373" s="174">
        <v>200.4102</v>
      </c>
      <c r="G1373" s="175" t="s">
        <v>19</v>
      </c>
      <c r="H1373" s="172" t="s">
        <v>20</v>
      </c>
      <c r="I1373" s="175">
        <v>1</v>
      </c>
      <c r="J1373" s="175" t="s">
        <v>18</v>
      </c>
      <c r="K1373" s="175" t="s">
        <v>57</v>
      </c>
      <c r="L1373" s="172" t="s">
        <v>56</v>
      </c>
    </row>
    <row r="1374" spans="1:12" x14ac:dyDescent="0.2">
      <c r="A1374" s="172" t="s">
        <v>12</v>
      </c>
      <c r="B1374" s="172" t="s">
        <v>13</v>
      </c>
      <c r="C1374" s="172" t="s">
        <v>21</v>
      </c>
      <c r="D1374" s="172" t="s">
        <v>15</v>
      </c>
      <c r="E1374" s="173">
        <v>42005</v>
      </c>
      <c r="F1374" s="174">
        <v>1</v>
      </c>
      <c r="G1374" s="175" t="s">
        <v>16</v>
      </c>
      <c r="H1374" s="172" t="s">
        <v>17</v>
      </c>
      <c r="I1374" s="175">
        <v>1</v>
      </c>
      <c r="J1374" s="175" t="s">
        <v>18</v>
      </c>
      <c r="K1374" s="175" t="s">
        <v>57</v>
      </c>
      <c r="L1374" s="172" t="s">
        <v>56</v>
      </c>
    </row>
    <row r="1375" spans="1:12" x14ac:dyDescent="0.2">
      <c r="A1375" s="172" t="s">
        <v>12</v>
      </c>
      <c r="B1375" s="172" t="s">
        <v>13</v>
      </c>
      <c r="C1375" s="172" t="s">
        <v>21</v>
      </c>
      <c r="D1375" s="172" t="s">
        <v>15</v>
      </c>
      <c r="E1375" s="173">
        <v>42005</v>
      </c>
      <c r="F1375" s="174">
        <v>179.0598</v>
      </c>
      <c r="G1375" s="175" t="s">
        <v>19</v>
      </c>
      <c r="H1375" s="172" t="s">
        <v>17</v>
      </c>
      <c r="I1375" s="175">
        <v>1</v>
      </c>
      <c r="J1375" s="175" t="s">
        <v>18</v>
      </c>
      <c r="K1375" s="175" t="s">
        <v>57</v>
      </c>
      <c r="L1375" s="172" t="s">
        <v>56</v>
      </c>
    </row>
    <row r="1376" spans="1:12" x14ac:dyDescent="0.2">
      <c r="A1376" s="172" t="s">
        <v>12</v>
      </c>
      <c r="B1376" s="172" t="s">
        <v>13</v>
      </c>
      <c r="C1376" s="172" t="s">
        <v>21</v>
      </c>
      <c r="D1376" s="172" t="s">
        <v>15</v>
      </c>
      <c r="E1376" s="173">
        <v>42005</v>
      </c>
      <c r="F1376" s="174">
        <v>0.5</v>
      </c>
      <c r="G1376" s="175" t="s">
        <v>16</v>
      </c>
      <c r="H1376" s="172" t="s">
        <v>20</v>
      </c>
      <c r="I1376" s="175">
        <v>1</v>
      </c>
      <c r="J1376" s="175" t="s">
        <v>18</v>
      </c>
      <c r="K1376" s="175" t="s">
        <v>57</v>
      </c>
      <c r="L1376" s="172" t="s">
        <v>56</v>
      </c>
    </row>
    <row r="1377" spans="1:12" x14ac:dyDescent="0.2">
      <c r="A1377" s="172" t="s">
        <v>12</v>
      </c>
      <c r="B1377" s="172" t="s">
        <v>13</v>
      </c>
      <c r="C1377" s="172" t="s">
        <v>21</v>
      </c>
      <c r="D1377" s="172" t="s">
        <v>15</v>
      </c>
      <c r="E1377" s="173">
        <v>42005</v>
      </c>
      <c r="F1377" s="174">
        <v>102.999</v>
      </c>
      <c r="G1377" s="175" t="s">
        <v>19</v>
      </c>
      <c r="H1377" s="172" t="s">
        <v>20</v>
      </c>
      <c r="I1377" s="175">
        <v>1</v>
      </c>
      <c r="J1377" s="175" t="s">
        <v>18</v>
      </c>
      <c r="K1377" s="175" t="s">
        <v>57</v>
      </c>
      <c r="L1377" s="172" t="s">
        <v>56</v>
      </c>
    </row>
    <row r="1378" spans="1:12" x14ac:dyDescent="0.2">
      <c r="A1378" s="172" t="s">
        <v>12</v>
      </c>
      <c r="B1378" s="172" t="s">
        <v>13</v>
      </c>
      <c r="C1378" s="172" t="s">
        <v>21</v>
      </c>
      <c r="D1378" s="172" t="s">
        <v>15</v>
      </c>
      <c r="E1378" s="173">
        <v>41995</v>
      </c>
      <c r="F1378" s="174">
        <v>1.3</v>
      </c>
      <c r="G1378" s="175" t="s">
        <v>16</v>
      </c>
      <c r="H1378" s="172" t="s">
        <v>17</v>
      </c>
      <c r="I1378" s="175">
        <v>1</v>
      </c>
      <c r="J1378" s="175" t="s">
        <v>18</v>
      </c>
      <c r="K1378" s="175" t="s">
        <v>57</v>
      </c>
      <c r="L1378" s="172" t="s">
        <v>56</v>
      </c>
    </row>
    <row r="1379" spans="1:12" x14ac:dyDescent="0.2">
      <c r="A1379" s="172" t="s">
        <v>12</v>
      </c>
      <c r="B1379" s="172" t="s">
        <v>13</v>
      </c>
      <c r="C1379" s="172" t="s">
        <v>21</v>
      </c>
      <c r="D1379" s="172" t="s">
        <v>15</v>
      </c>
      <c r="E1379" s="173">
        <v>41995</v>
      </c>
      <c r="F1379" s="174">
        <v>249.36600000000001</v>
      </c>
      <c r="G1379" s="175" t="s">
        <v>19</v>
      </c>
      <c r="H1379" s="172" t="s">
        <v>17</v>
      </c>
      <c r="I1379" s="175">
        <v>1</v>
      </c>
      <c r="J1379" s="175" t="s">
        <v>18</v>
      </c>
      <c r="K1379" s="175" t="s">
        <v>57</v>
      </c>
      <c r="L1379" s="172" t="s">
        <v>56</v>
      </c>
    </row>
    <row r="1380" spans="1:12" x14ac:dyDescent="0.2">
      <c r="A1380" s="172" t="s">
        <v>12</v>
      </c>
      <c r="B1380" s="172" t="s">
        <v>13</v>
      </c>
      <c r="C1380" s="172" t="s">
        <v>21</v>
      </c>
      <c r="D1380" s="172" t="s">
        <v>15</v>
      </c>
      <c r="E1380" s="173">
        <v>41995</v>
      </c>
      <c r="F1380" s="174">
        <v>0.4</v>
      </c>
      <c r="G1380" s="175" t="s">
        <v>16</v>
      </c>
      <c r="H1380" s="172" t="s">
        <v>20</v>
      </c>
      <c r="I1380" s="175">
        <v>1</v>
      </c>
      <c r="J1380" s="175" t="s">
        <v>18</v>
      </c>
      <c r="K1380" s="175" t="s">
        <v>57</v>
      </c>
      <c r="L1380" s="172" t="s">
        <v>56</v>
      </c>
    </row>
    <row r="1381" spans="1:12" x14ac:dyDescent="0.2">
      <c r="A1381" s="172" t="s">
        <v>12</v>
      </c>
      <c r="B1381" s="172" t="s">
        <v>13</v>
      </c>
      <c r="C1381" s="172" t="s">
        <v>21</v>
      </c>
      <c r="D1381" s="172" t="s">
        <v>15</v>
      </c>
      <c r="E1381" s="173">
        <v>41995</v>
      </c>
      <c r="F1381" s="174">
        <v>85.735200000000006</v>
      </c>
      <c r="G1381" s="175" t="s">
        <v>19</v>
      </c>
      <c r="H1381" s="172" t="s">
        <v>20</v>
      </c>
      <c r="I1381" s="175">
        <v>1</v>
      </c>
      <c r="J1381" s="175" t="s">
        <v>18</v>
      </c>
      <c r="K1381" s="175" t="s">
        <v>57</v>
      </c>
      <c r="L1381" s="172" t="s">
        <v>56</v>
      </c>
    </row>
    <row r="1382" spans="1:12" x14ac:dyDescent="0.2">
      <c r="A1382" s="172" t="s">
        <v>12</v>
      </c>
      <c r="B1382" s="172" t="s">
        <v>13</v>
      </c>
      <c r="C1382" s="172" t="s">
        <v>21</v>
      </c>
      <c r="D1382" s="172" t="s">
        <v>15</v>
      </c>
      <c r="E1382" s="173">
        <v>41989</v>
      </c>
      <c r="F1382" s="174">
        <v>1.2</v>
      </c>
      <c r="G1382" s="175" t="s">
        <v>16</v>
      </c>
      <c r="H1382" s="172" t="s">
        <v>17</v>
      </c>
      <c r="I1382" s="175">
        <v>1</v>
      </c>
      <c r="J1382" s="175" t="s">
        <v>18</v>
      </c>
      <c r="K1382" s="175" t="s">
        <v>57</v>
      </c>
      <c r="L1382" s="172" t="s">
        <v>56</v>
      </c>
    </row>
    <row r="1383" spans="1:12" x14ac:dyDescent="0.2">
      <c r="A1383" s="172" t="s">
        <v>12</v>
      </c>
      <c r="B1383" s="172" t="s">
        <v>13</v>
      </c>
      <c r="C1383" s="172" t="s">
        <v>21</v>
      </c>
      <c r="D1383" s="172" t="s">
        <v>15</v>
      </c>
      <c r="E1383" s="173">
        <v>41989</v>
      </c>
      <c r="F1383" s="174">
        <v>225.59700000000001</v>
      </c>
      <c r="G1383" s="175" t="s">
        <v>19</v>
      </c>
      <c r="H1383" s="172" t="s">
        <v>17</v>
      </c>
      <c r="I1383" s="175">
        <v>1</v>
      </c>
      <c r="J1383" s="175" t="s">
        <v>18</v>
      </c>
      <c r="K1383" s="175" t="s">
        <v>57</v>
      </c>
      <c r="L1383" s="172" t="s">
        <v>56</v>
      </c>
    </row>
    <row r="1384" spans="1:12" x14ac:dyDescent="0.2">
      <c r="A1384" s="172" t="s">
        <v>12</v>
      </c>
      <c r="B1384" s="172" t="s">
        <v>13</v>
      </c>
      <c r="C1384" s="172" t="s">
        <v>21</v>
      </c>
      <c r="D1384" s="172" t="s">
        <v>15</v>
      </c>
      <c r="E1384" s="173">
        <v>41989</v>
      </c>
      <c r="F1384" s="174">
        <v>0.4</v>
      </c>
      <c r="G1384" s="175" t="s">
        <v>16</v>
      </c>
      <c r="H1384" s="172" t="s">
        <v>20</v>
      </c>
      <c r="I1384" s="175">
        <v>1</v>
      </c>
      <c r="J1384" s="175" t="s">
        <v>18</v>
      </c>
      <c r="K1384" s="175" t="s">
        <v>57</v>
      </c>
      <c r="L1384" s="172" t="s">
        <v>56</v>
      </c>
    </row>
    <row r="1385" spans="1:12" x14ac:dyDescent="0.2">
      <c r="A1385" s="172" t="s">
        <v>12</v>
      </c>
      <c r="B1385" s="172" t="s">
        <v>13</v>
      </c>
      <c r="C1385" s="172" t="s">
        <v>21</v>
      </c>
      <c r="D1385" s="172" t="s">
        <v>15</v>
      </c>
      <c r="E1385" s="173">
        <v>41989</v>
      </c>
      <c r="F1385" s="174">
        <v>86.736000000000004</v>
      </c>
      <c r="G1385" s="175" t="s">
        <v>19</v>
      </c>
      <c r="H1385" s="172" t="s">
        <v>20</v>
      </c>
      <c r="I1385" s="175">
        <v>1</v>
      </c>
      <c r="J1385" s="175" t="s">
        <v>18</v>
      </c>
      <c r="K1385" s="175" t="s">
        <v>57</v>
      </c>
      <c r="L1385" s="172" t="s">
        <v>56</v>
      </c>
    </row>
    <row r="1386" spans="1:12" x14ac:dyDescent="0.2">
      <c r="A1386" s="172" t="s">
        <v>12</v>
      </c>
      <c r="B1386" s="172" t="s">
        <v>13</v>
      </c>
      <c r="C1386" s="172" t="s">
        <v>21</v>
      </c>
      <c r="D1386" s="172" t="s">
        <v>15</v>
      </c>
      <c r="E1386" s="173">
        <v>41983</v>
      </c>
      <c r="F1386" s="174">
        <v>1.8</v>
      </c>
      <c r="G1386" s="175" t="s">
        <v>16</v>
      </c>
      <c r="H1386" s="172" t="s">
        <v>17</v>
      </c>
      <c r="I1386" s="175">
        <v>1</v>
      </c>
      <c r="J1386" s="175" t="s">
        <v>18</v>
      </c>
      <c r="K1386" s="175" t="s">
        <v>57</v>
      </c>
      <c r="L1386" s="172" t="s">
        <v>56</v>
      </c>
    </row>
    <row r="1387" spans="1:12" x14ac:dyDescent="0.2">
      <c r="A1387" s="172" t="s">
        <v>12</v>
      </c>
      <c r="B1387" s="172" t="s">
        <v>13</v>
      </c>
      <c r="C1387" s="172" t="s">
        <v>21</v>
      </c>
      <c r="D1387" s="172" t="s">
        <v>15</v>
      </c>
      <c r="E1387" s="173">
        <v>41983</v>
      </c>
      <c r="F1387" s="174">
        <v>330.51420000000002</v>
      </c>
      <c r="G1387" s="175" t="s">
        <v>19</v>
      </c>
      <c r="H1387" s="172" t="s">
        <v>17</v>
      </c>
      <c r="I1387" s="175">
        <v>1</v>
      </c>
      <c r="J1387" s="175" t="s">
        <v>18</v>
      </c>
      <c r="K1387" s="175" t="s">
        <v>57</v>
      </c>
      <c r="L1387" s="172" t="s">
        <v>56</v>
      </c>
    </row>
    <row r="1388" spans="1:12" x14ac:dyDescent="0.2">
      <c r="A1388" s="172" t="s">
        <v>12</v>
      </c>
      <c r="B1388" s="172" t="s">
        <v>13</v>
      </c>
      <c r="C1388" s="172" t="s">
        <v>21</v>
      </c>
      <c r="D1388" s="172" t="s">
        <v>15</v>
      </c>
      <c r="E1388" s="173">
        <v>41983</v>
      </c>
      <c r="F1388" s="174">
        <v>1.9</v>
      </c>
      <c r="G1388" s="175" t="s">
        <v>16</v>
      </c>
      <c r="H1388" s="172" t="s">
        <v>20</v>
      </c>
      <c r="I1388" s="175">
        <v>1</v>
      </c>
      <c r="J1388" s="175" t="s">
        <v>18</v>
      </c>
      <c r="K1388" s="175" t="s">
        <v>57</v>
      </c>
      <c r="L1388" s="172" t="s">
        <v>56</v>
      </c>
    </row>
    <row r="1389" spans="1:12" x14ac:dyDescent="0.2">
      <c r="A1389" s="172" t="s">
        <v>12</v>
      </c>
      <c r="B1389" s="172" t="s">
        <v>13</v>
      </c>
      <c r="C1389" s="172" t="s">
        <v>21</v>
      </c>
      <c r="D1389" s="172" t="s">
        <v>15</v>
      </c>
      <c r="E1389" s="173">
        <v>41983</v>
      </c>
      <c r="F1389" s="174">
        <v>386.64240000000001</v>
      </c>
      <c r="G1389" s="175" t="s">
        <v>19</v>
      </c>
      <c r="H1389" s="172" t="s">
        <v>20</v>
      </c>
      <c r="I1389" s="175">
        <v>1</v>
      </c>
      <c r="J1389" s="175" t="s">
        <v>18</v>
      </c>
      <c r="K1389" s="175" t="s">
        <v>57</v>
      </c>
      <c r="L1389" s="172" t="s">
        <v>56</v>
      </c>
    </row>
    <row r="1390" spans="1:12" x14ac:dyDescent="0.2">
      <c r="A1390" s="172" t="s">
        <v>12</v>
      </c>
      <c r="B1390" s="172" t="s">
        <v>13</v>
      </c>
      <c r="C1390" s="172" t="s">
        <v>21</v>
      </c>
      <c r="D1390" s="172" t="s">
        <v>15</v>
      </c>
      <c r="E1390" s="173">
        <v>41977</v>
      </c>
      <c r="F1390" s="174">
        <v>6.3</v>
      </c>
      <c r="G1390" s="175" t="s">
        <v>16</v>
      </c>
      <c r="H1390" s="172" t="s">
        <v>17</v>
      </c>
      <c r="I1390" s="175">
        <v>1</v>
      </c>
      <c r="J1390" s="175" t="s">
        <v>18</v>
      </c>
      <c r="K1390" s="175" t="s">
        <v>57</v>
      </c>
      <c r="L1390" s="172" t="s">
        <v>56</v>
      </c>
    </row>
    <row r="1391" spans="1:12" x14ac:dyDescent="0.2">
      <c r="A1391" s="172" t="s">
        <v>12</v>
      </c>
      <c r="B1391" s="172" t="s">
        <v>13</v>
      </c>
      <c r="C1391" s="172" t="s">
        <v>21</v>
      </c>
      <c r="D1391" s="172" t="s">
        <v>15</v>
      </c>
      <c r="E1391" s="173">
        <v>41977</v>
      </c>
      <c r="F1391" s="174">
        <v>1201.9608000000001</v>
      </c>
      <c r="G1391" s="175" t="s">
        <v>19</v>
      </c>
      <c r="H1391" s="172" t="s">
        <v>17</v>
      </c>
      <c r="I1391" s="175">
        <v>1</v>
      </c>
      <c r="J1391" s="175" t="s">
        <v>18</v>
      </c>
      <c r="K1391" s="175" t="s">
        <v>57</v>
      </c>
      <c r="L1391" s="172" t="s">
        <v>56</v>
      </c>
    </row>
    <row r="1392" spans="1:12" x14ac:dyDescent="0.2">
      <c r="A1392" s="172" t="s">
        <v>12</v>
      </c>
      <c r="B1392" s="172" t="s">
        <v>13</v>
      </c>
      <c r="C1392" s="172" t="s">
        <v>21</v>
      </c>
      <c r="D1392" s="172" t="s">
        <v>15</v>
      </c>
      <c r="E1392" s="173">
        <v>41977</v>
      </c>
      <c r="F1392" s="174">
        <v>3.2</v>
      </c>
      <c r="G1392" s="175" t="s">
        <v>16</v>
      </c>
      <c r="H1392" s="172" t="s">
        <v>20</v>
      </c>
      <c r="I1392" s="175">
        <v>1</v>
      </c>
      <c r="J1392" s="175" t="s">
        <v>18</v>
      </c>
      <c r="K1392" s="175" t="s">
        <v>57</v>
      </c>
      <c r="L1392" s="172" t="s">
        <v>56</v>
      </c>
    </row>
    <row r="1393" spans="1:12" x14ac:dyDescent="0.2">
      <c r="A1393" s="172" t="s">
        <v>12</v>
      </c>
      <c r="B1393" s="172" t="s">
        <v>13</v>
      </c>
      <c r="C1393" s="172" t="s">
        <v>21</v>
      </c>
      <c r="D1393" s="172" t="s">
        <v>15</v>
      </c>
      <c r="E1393" s="173">
        <v>41977</v>
      </c>
      <c r="F1393" s="174">
        <v>680.54399999999998</v>
      </c>
      <c r="G1393" s="175" t="s">
        <v>19</v>
      </c>
      <c r="H1393" s="172" t="s">
        <v>20</v>
      </c>
      <c r="I1393" s="175">
        <v>1</v>
      </c>
      <c r="J1393" s="175" t="s">
        <v>18</v>
      </c>
      <c r="K1393" s="175" t="s">
        <v>57</v>
      </c>
      <c r="L1393" s="172" t="s">
        <v>56</v>
      </c>
    </row>
    <row r="1394" spans="1:12" x14ac:dyDescent="0.2">
      <c r="A1394" s="172" t="s">
        <v>12</v>
      </c>
      <c r="B1394" s="172" t="s">
        <v>13</v>
      </c>
      <c r="C1394" s="172" t="s">
        <v>21</v>
      </c>
      <c r="D1394" s="172" t="s">
        <v>15</v>
      </c>
      <c r="E1394" s="173">
        <v>41963</v>
      </c>
      <c r="F1394" s="174">
        <v>1.5</v>
      </c>
      <c r="G1394" s="175" t="s">
        <v>16</v>
      </c>
      <c r="H1394" s="172" t="s">
        <v>17</v>
      </c>
      <c r="I1394" s="175">
        <v>1</v>
      </c>
      <c r="J1394" s="175" t="s">
        <v>18</v>
      </c>
      <c r="K1394" s="175" t="s">
        <v>57</v>
      </c>
      <c r="L1394" s="172" t="s">
        <v>56</v>
      </c>
    </row>
    <row r="1395" spans="1:12" x14ac:dyDescent="0.2">
      <c r="A1395" s="172" t="s">
        <v>12</v>
      </c>
      <c r="B1395" s="172" t="s">
        <v>13</v>
      </c>
      <c r="C1395" s="172" t="s">
        <v>21</v>
      </c>
      <c r="D1395" s="172" t="s">
        <v>15</v>
      </c>
      <c r="E1395" s="173">
        <v>41963</v>
      </c>
      <c r="F1395" s="174">
        <v>254.70359999999999</v>
      </c>
      <c r="G1395" s="175" t="s">
        <v>19</v>
      </c>
      <c r="H1395" s="172" t="s">
        <v>17</v>
      </c>
      <c r="I1395" s="175">
        <v>1</v>
      </c>
      <c r="J1395" s="175" t="s">
        <v>18</v>
      </c>
      <c r="K1395" s="175" t="s">
        <v>57</v>
      </c>
      <c r="L1395" s="172" t="s">
        <v>56</v>
      </c>
    </row>
    <row r="1396" spans="1:12" x14ac:dyDescent="0.2">
      <c r="A1396" s="172" t="s">
        <v>12</v>
      </c>
      <c r="B1396" s="172" t="s">
        <v>13</v>
      </c>
      <c r="C1396" s="172" t="s">
        <v>21</v>
      </c>
      <c r="D1396" s="172" t="s">
        <v>15</v>
      </c>
      <c r="E1396" s="173">
        <v>41963</v>
      </c>
      <c r="F1396" s="174">
        <v>1.1000000000000001</v>
      </c>
      <c r="G1396" s="175" t="s">
        <v>16</v>
      </c>
      <c r="H1396" s="172" t="s">
        <v>20</v>
      </c>
      <c r="I1396" s="175">
        <v>1</v>
      </c>
      <c r="J1396" s="175" t="s">
        <v>18</v>
      </c>
      <c r="K1396" s="175" t="s">
        <v>57</v>
      </c>
      <c r="L1396" s="172" t="s">
        <v>56</v>
      </c>
    </row>
    <row r="1397" spans="1:12" x14ac:dyDescent="0.2">
      <c r="A1397" s="172" t="s">
        <v>12</v>
      </c>
      <c r="B1397" s="172" t="s">
        <v>13</v>
      </c>
      <c r="C1397" s="172" t="s">
        <v>21</v>
      </c>
      <c r="D1397" s="172" t="s">
        <v>15</v>
      </c>
      <c r="E1397" s="173">
        <v>41963</v>
      </c>
      <c r="F1397" s="174">
        <v>216.50640000000001</v>
      </c>
      <c r="G1397" s="175" t="s">
        <v>19</v>
      </c>
      <c r="H1397" s="172" t="s">
        <v>20</v>
      </c>
      <c r="I1397" s="175">
        <v>1</v>
      </c>
      <c r="J1397" s="175" t="s">
        <v>18</v>
      </c>
      <c r="K1397" s="175" t="s">
        <v>57</v>
      </c>
      <c r="L1397" s="172" t="s">
        <v>56</v>
      </c>
    </row>
    <row r="1398" spans="1:12" x14ac:dyDescent="0.2">
      <c r="A1398" s="172" t="s">
        <v>12</v>
      </c>
      <c r="B1398" s="172" t="s">
        <v>13</v>
      </c>
      <c r="C1398" s="172" t="s">
        <v>21</v>
      </c>
      <c r="D1398" s="172" t="s">
        <v>15</v>
      </c>
      <c r="E1398" s="173">
        <v>41955</v>
      </c>
      <c r="F1398" s="174">
        <v>0.6</v>
      </c>
      <c r="G1398" s="175" t="s">
        <v>16</v>
      </c>
      <c r="H1398" s="172" t="s">
        <v>17</v>
      </c>
      <c r="I1398" s="175">
        <v>1</v>
      </c>
      <c r="J1398" s="175" t="s">
        <v>18</v>
      </c>
      <c r="K1398" s="175" t="s">
        <v>57</v>
      </c>
      <c r="L1398" s="172" t="s">
        <v>56</v>
      </c>
    </row>
    <row r="1399" spans="1:12" x14ac:dyDescent="0.2">
      <c r="A1399" s="172" t="s">
        <v>12</v>
      </c>
      <c r="B1399" s="172" t="s">
        <v>13</v>
      </c>
      <c r="C1399" s="172" t="s">
        <v>21</v>
      </c>
      <c r="D1399" s="172" t="s">
        <v>15</v>
      </c>
      <c r="E1399" s="173">
        <v>41955</v>
      </c>
      <c r="F1399" s="174">
        <v>113.5908</v>
      </c>
      <c r="G1399" s="175" t="s">
        <v>19</v>
      </c>
      <c r="H1399" s="172" t="s">
        <v>17</v>
      </c>
      <c r="I1399" s="175">
        <v>1</v>
      </c>
      <c r="J1399" s="175" t="s">
        <v>18</v>
      </c>
      <c r="K1399" s="175" t="s">
        <v>57</v>
      </c>
      <c r="L1399" s="172" t="s">
        <v>56</v>
      </c>
    </row>
    <row r="1400" spans="1:12" x14ac:dyDescent="0.2">
      <c r="A1400" s="172" t="s">
        <v>12</v>
      </c>
      <c r="B1400" s="172" t="s">
        <v>13</v>
      </c>
      <c r="C1400" s="172" t="s">
        <v>21</v>
      </c>
      <c r="D1400" s="172" t="s">
        <v>15</v>
      </c>
      <c r="E1400" s="173">
        <v>41955</v>
      </c>
      <c r="F1400" s="174">
        <v>5.2</v>
      </c>
      <c r="G1400" s="175" t="s">
        <v>16</v>
      </c>
      <c r="H1400" s="172" t="s">
        <v>20</v>
      </c>
      <c r="I1400" s="175">
        <v>1</v>
      </c>
      <c r="J1400" s="175" t="s">
        <v>18</v>
      </c>
      <c r="K1400" s="175" t="s">
        <v>57</v>
      </c>
      <c r="L1400" s="172" t="s">
        <v>56</v>
      </c>
    </row>
    <row r="1401" spans="1:12" x14ac:dyDescent="0.2">
      <c r="A1401" s="172" t="s">
        <v>12</v>
      </c>
      <c r="B1401" s="172" t="s">
        <v>13</v>
      </c>
      <c r="C1401" s="172" t="s">
        <v>21</v>
      </c>
      <c r="D1401" s="172" t="s">
        <v>15</v>
      </c>
      <c r="E1401" s="173">
        <v>41955</v>
      </c>
      <c r="F1401" s="174">
        <v>984.45360000000005</v>
      </c>
      <c r="G1401" s="175" t="s">
        <v>19</v>
      </c>
      <c r="H1401" s="172" t="s">
        <v>20</v>
      </c>
      <c r="I1401" s="175">
        <v>1</v>
      </c>
      <c r="J1401" s="175" t="s">
        <v>18</v>
      </c>
      <c r="K1401" s="175" t="s">
        <v>57</v>
      </c>
      <c r="L1401" s="172" t="s">
        <v>56</v>
      </c>
    </row>
    <row r="1402" spans="1:12" x14ac:dyDescent="0.2">
      <c r="A1402" s="172" t="s">
        <v>12</v>
      </c>
      <c r="B1402" s="172" t="s">
        <v>13</v>
      </c>
      <c r="C1402" s="172" t="s">
        <v>21</v>
      </c>
      <c r="D1402" s="172" t="s">
        <v>15</v>
      </c>
      <c r="E1402" s="173">
        <v>41940</v>
      </c>
      <c r="F1402" s="174">
        <v>3.6</v>
      </c>
      <c r="G1402" s="175" t="s">
        <v>16</v>
      </c>
      <c r="H1402" s="172" t="s">
        <v>17</v>
      </c>
      <c r="I1402" s="175">
        <v>1</v>
      </c>
      <c r="J1402" s="175" t="s">
        <v>18</v>
      </c>
      <c r="K1402" s="175" t="s">
        <v>57</v>
      </c>
      <c r="L1402" s="172" t="s">
        <v>56</v>
      </c>
    </row>
    <row r="1403" spans="1:12" x14ac:dyDescent="0.2">
      <c r="A1403" s="172" t="s">
        <v>12</v>
      </c>
      <c r="B1403" s="172" t="s">
        <v>13</v>
      </c>
      <c r="C1403" s="172" t="s">
        <v>21</v>
      </c>
      <c r="D1403" s="172" t="s">
        <v>15</v>
      </c>
      <c r="E1403" s="173">
        <v>41940</v>
      </c>
      <c r="F1403" s="174">
        <v>658.44299999999998</v>
      </c>
      <c r="G1403" s="175" t="s">
        <v>19</v>
      </c>
      <c r="H1403" s="172" t="s">
        <v>17</v>
      </c>
      <c r="I1403" s="175">
        <v>1</v>
      </c>
      <c r="J1403" s="175" t="s">
        <v>18</v>
      </c>
      <c r="K1403" s="175" t="s">
        <v>57</v>
      </c>
      <c r="L1403" s="172" t="s">
        <v>56</v>
      </c>
    </row>
    <row r="1404" spans="1:12" x14ac:dyDescent="0.2">
      <c r="A1404" s="172" t="s">
        <v>12</v>
      </c>
      <c r="B1404" s="172" t="s">
        <v>13</v>
      </c>
      <c r="C1404" s="172" t="s">
        <v>21</v>
      </c>
      <c r="D1404" s="172" t="s">
        <v>15</v>
      </c>
      <c r="E1404" s="173">
        <v>41940</v>
      </c>
      <c r="F1404" s="174">
        <v>1.6</v>
      </c>
      <c r="G1404" s="175" t="s">
        <v>16</v>
      </c>
      <c r="H1404" s="172" t="s">
        <v>20</v>
      </c>
      <c r="I1404" s="175">
        <v>1</v>
      </c>
      <c r="J1404" s="175" t="s">
        <v>18</v>
      </c>
      <c r="K1404" s="175" t="s">
        <v>57</v>
      </c>
      <c r="L1404" s="172" t="s">
        <v>56</v>
      </c>
    </row>
    <row r="1405" spans="1:12" x14ac:dyDescent="0.2">
      <c r="A1405" s="172" t="s">
        <v>12</v>
      </c>
      <c r="B1405" s="172" t="s">
        <v>13</v>
      </c>
      <c r="C1405" s="172" t="s">
        <v>21</v>
      </c>
      <c r="D1405" s="172" t="s">
        <v>15</v>
      </c>
      <c r="E1405" s="173">
        <v>41940</v>
      </c>
      <c r="F1405" s="174">
        <v>324.25920000000002</v>
      </c>
      <c r="G1405" s="175" t="s">
        <v>19</v>
      </c>
      <c r="H1405" s="172" t="s">
        <v>20</v>
      </c>
      <c r="I1405" s="175">
        <v>1</v>
      </c>
      <c r="J1405" s="175" t="s">
        <v>18</v>
      </c>
      <c r="K1405" s="175" t="s">
        <v>57</v>
      </c>
      <c r="L1405" s="172" t="s">
        <v>56</v>
      </c>
    </row>
    <row r="1406" spans="1:12" x14ac:dyDescent="0.2">
      <c r="A1406" s="172" t="s">
        <v>12</v>
      </c>
      <c r="B1406" s="172" t="s">
        <v>13</v>
      </c>
      <c r="C1406" s="172" t="s">
        <v>21</v>
      </c>
      <c r="D1406" s="172" t="s">
        <v>15</v>
      </c>
      <c r="E1406" s="173">
        <v>41934</v>
      </c>
      <c r="F1406" s="174">
        <v>1.8</v>
      </c>
      <c r="G1406" s="175" t="s">
        <v>16</v>
      </c>
      <c r="H1406" s="172" t="s">
        <v>17</v>
      </c>
      <c r="I1406" s="175">
        <v>1</v>
      </c>
      <c r="J1406" s="175" t="s">
        <v>18</v>
      </c>
      <c r="K1406" s="175" t="s">
        <v>57</v>
      </c>
      <c r="L1406" s="172" t="s">
        <v>56</v>
      </c>
    </row>
    <row r="1407" spans="1:12" x14ac:dyDescent="0.2">
      <c r="A1407" s="172" t="s">
        <v>12</v>
      </c>
      <c r="B1407" s="172" t="s">
        <v>13</v>
      </c>
      <c r="C1407" s="172" t="s">
        <v>21</v>
      </c>
      <c r="D1407" s="172" t="s">
        <v>15</v>
      </c>
      <c r="E1407" s="173">
        <v>41934</v>
      </c>
      <c r="F1407" s="174">
        <v>344.1918</v>
      </c>
      <c r="G1407" s="175" t="s">
        <v>19</v>
      </c>
      <c r="H1407" s="172" t="s">
        <v>17</v>
      </c>
      <c r="I1407" s="175">
        <v>1</v>
      </c>
      <c r="J1407" s="175" t="s">
        <v>18</v>
      </c>
      <c r="K1407" s="175" t="s">
        <v>57</v>
      </c>
      <c r="L1407" s="172" t="s">
        <v>56</v>
      </c>
    </row>
    <row r="1408" spans="1:12" x14ac:dyDescent="0.2">
      <c r="A1408" s="172" t="s">
        <v>12</v>
      </c>
      <c r="B1408" s="172" t="s">
        <v>13</v>
      </c>
      <c r="C1408" s="172" t="s">
        <v>21</v>
      </c>
      <c r="D1408" s="172" t="s">
        <v>15</v>
      </c>
      <c r="E1408" s="173">
        <v>41934</v>
      </c>
      <c r="F1408" s="174">
        <v>1</v>
      </c>
      <c r="G1408" s="175" t="s">
        <v>16</v>
      </c>
      <c r="H1408" s="172" t="s">
        <v>20</v>
      </c>
      <c r="I1408" s="175">
        <v>1</v>
      </c>
      <c r="J1408" s="175" t="s">
        <v>18</v>
      </c>
      <c r="K1408" s="175" t="s">
        <v>57</v>
      </c>
      <c r="L1408" s="172" t="s">
        <v>56</v>
      </c>
    </row>
    <row r="1409" spans="1:12" x14ac:dyDescent="0.2">
      <c r="A1409" s="172" t="s">
        <v>12</v>
      </c>
      <c r="B1409" s="172" t="s">
        <v>13</v>
      </c>
      <c r="C1409" s="172" t="s">
        <v>21</v>
      </c>
      <c r="D1409" s="172" t="s">
        <v>15</v>
      </c>
      <c r="E1409" s="173">
        <v>41934</v>
      </c>
      <c r="F1409" s="174">
        <v>211.83600000000001</v>
      </c>
      <c r="G1409" s="175" t="s">
        <v>19</v>
      </c>
      <c r="H1409" s="172" t="s">
        <v>20</v>
      </c>
      <c r="I1409" s="175">
        <v>1</v>
      </c>
      <c r="J1409" s="175" t="s">
        <v>18</v>
      </c>
      <c r="K1409" s="175" t="s">
        <v>57</v>
      </c>
      <c r="L1409" s="172" t="s">
        <v>56</v>
      </c>
    </row>
    <row r="1410" spans="1:12" x14ac:dyDescent="0.2">
      <c r="A1410" s="172" t="s">
        <v>12</v>
      </c>
      <c r="B1410" s="172" t="s">
        <v>13</v>
      </c>
      <c r="C1410" s="172" t="s">
        <v>21</v>
      </c>
      <c r="D1410" s="172" t="s">
        <v>15</v>
      </c>
      <c r="E1410" s="173">
        <v>41921</v>
      </c>
      <c r="F1410" s="174">
        <v>7.3</v>
      </c>
      <c r="G1410" s="175" t="s">
        <v>16</v>
      </c>
      <c r="H1410" s="172" t="s">
        <v>17</v>
      </c>
      <c r="I1410" s="175">
        <v>1</v>
      </c>
      <c r="J1410" s="175" t="s">
        <v>18</v>
      </c>
      <c r="K1410" s="175" t="s">
        <v>57</v>
      </c>
      <c r="L1410" s="172" t="s">
        <v>56</v>
      </c>
    </row>
    <row r="1411" spans="1:12" x14ac:dyDescent="0.2">
      <c r="A1411" s="172" t="s">
        <v>12</v>
      </c>
      <c r="B1411" s="172" t="s">
        <v>13</v>
      </c>
      <c r="C1411" s="172" t="s">
        <v>21</v>
      </c>
      <c r="D1411" s="172" t="s">
        <v>15</v>
      </c>
      <c r="E1411" s="173">
        <v>41921</v>
      </c>
      <c r="F1411" s="174">
        <v>1406.5409999999999</v>
      </c>
      <c r="G1411" s="175" t="s">
        <v>19</v>
      </c>
      <c r="H1411" s="172" t="s">
        <v>17</v>
      </c>
      <c r="I1411" s="175">
        <v>1</v>
      </c>
      <c r="J1411" s="175" t="s">
        <v>18</v>
      </c>
      <c r="K1411" s="175" t="s">
        <v>57</v>
      </c>
      <c r="L1411" s="172" t="s">
        <v>56</v>
      </c>
    </row>
    <row r="1412" spans="1:12" x14ac:dyDescent="0.2">
      <c r="A1412" s="172" t="s">
        <v>12</v>
      </c>
      <c r="B1412" s="172" t="s">
        <v>13</v>
      </c>
      <c r="C1412" s="172" t="s">
        <v>21</v>
      </c>
      <c r="D1412" s="172" t="s">
        <v>15</v>
      </c>
      <c r="E1412" s="173">
        <v>41921</v>
      </c>
      <c r="F1412" s="174">
        <v>2.1</v>
      </c>
      <c r="G1412" s="175" t="s">
        <v>16</v>
      </c>
      <c r="H1412" s="172" t="s">
        <v>20</v>
      </c>
      <c r="I1412" s="175">
        <v>1</v>
      </c>
      <c r="J1412" s="175" t="s">
        <v>18</v>
      </c>
      <c r="K1412" s="175" t="s">
        <v>57</v>
      </c>
      <c r="L1412" s="172" t="s">
        <v>56</v>
      </c>
    </row>
    <row r="1413" spans="1:12" x14ac:dyDescent="0.2">
      <c r="A1413" s="172" t="s">
        <v>12</v>
      </c>
      <c r="B1413" s="172" t="s">
        <v>13</v>
      </c>
      <c r="C1413" s="172" t="s">
        <v>21</v>
      </c>
      <c r="D1413" s="172" t="s">
        <v>15</v>
      </c>
      <c r="E1413" s="173">
        <v>41921</v>
      </c>
      <c r="F1413" s="174">
        <v>434.34719999999999</v>
      </c>
      <c r="G1413" s="175" t="s">
        <v>19</v>
      </c>
      <c r="H1413" s="172" t="s">
        <v>20</v>
      </c>
      <c r="I1413" s="175">
        <v>1</v>
      </c>
      <c r="J1413" s="175" t="s">
        <v>18</v>
      </c>
      <c r="K1413" s="175" t="s">
        <v>57</v>
      </c>
      <c r="L1413" s="172" t="s">
        <v>56</v>
      </c>
    </row>
    <row r="1414" spans="1:12" x14ac:dyDescent="0.2">
      <c r="A1414" s="172" t="s">
        <v>12</v>
      </c>
      <c r="B1414" s="172" t="s">
        <v>13</v>
      </c>
      <c r="C1414" s="172" t="s">
        <v>21</v>
      </c>
      <c r="D1414" s="172" t="s">
        <v>15</v>
      </c>
      <c r="E1414" s="173">
        <v>41913</v>
      </c>
      <c r="F1414" s="174">
        <v>4.5999999999999996</v>
      </c>
      <c r="G1414" s="175" t="s">
        <v>16</v>
      </c>
      <c r="H1414" s="172" t="s">
        <v>17</v>
      </c>
      <c r="I1414" s="175">
        <v>1</v>
      </c>
      <c r="J1414" s="175" t="s">
        <v>18</v>
      </c>
      <c r="K1414" s="175" t="s">
        <v>57</v>
      </c>
      <c r="L1414" s="172" t="s">
        <v>56</v>
      </c>
    </row>
    <row r="1415" spans="1:12" x14ac:dyDescent="0.2">
      <c r="A1415" s="172" t="s">
        <v>12</v>
      </c>
      <c r="B1415" s="172" t="s">
        <v>13</v>
      </c>
      <c r="C1415" s="172" t="s">
        <v>21</v>
      </c>
      <c r="D1415" s="172" t="s">
        <v>15</v>
      </c>
      <c r="E1415" s="173">
        <v>41913</v>
      </c>
      <c r="F1415" s="174">
        <v>857.18520000000001</v>
      </c>
      <c r="G1415" s="175" t="s">
        <v>19</v>
      </c>
      <c r="H1415" s="172" t="s">
        <v>17</v>
      </c>
      <c r="I1415" s="175">
        <v>1</v>
      </c>
      <c r="J1415" s="175" t="s">
        <v>18</v>
      </c>
      <c r="K1415" s="175" t="s">
        <v>57</v>
      </c>
      <c r="L1415" s="172" t="s">
        <v>56</v>
      </c>
    </row>
    <row r="1416" spans="1:12" x14ac:dyDescent="0.2">
      <c r="A1416" s="172" t="s">
        <v>12</v>
      </c>
      <c r="B1416" s="172" t="s">
        <v>13</v>
      </c>
      <c r="C1416" s="172" t="s">
        <v>21</v>
      </c>
      <c r="D1416" s="172" t="s">
        <v>15</v>
      </c>
      <c r="E1416" s="173">
        <v>41913</v>
      </c>
      <c r="F1416" s="174">
        <v>4.2</v>
      </c>
      <c r="G1416" s="175" t="s">
        <v>16</v>
      </c>
      <c r="H1416" s="172" t="s">
        <v>20</v>
      </c>
      <c r="I1416" s="175">
        <v>1</v>
      </c>
      <c r="J1416" s="175" t="s">
        <v>18</v>
      </c>
      <c r="K1416" s="175" t="s">
        <v>57</v>
      </c>
      <c r="L1416" s="172" t="s">
        <v>56</v>
      </c>
    </row>
    <row r="1417" spans="1:12" x14ac:dyDescent="0.2">
      <c r="A1417" s="172" t="s">
        <v>12</v>
      </c>
      <c r="B1417" s="172" t="s">
        <v>13</v>
      </c>
      <c r="C1417" s="172" t="s">
        <v>21</v>
      </c>
      <c r="D1417" s="172" t="s">
        <v>15</v>
      </c>
      <c r="E1417" s="173">
        <v>41913</v>
      </c>
      <c r="F1417" s="174">
        <v>840.67200000000003</v>
      </c>
      <c r="G1417" s="175" t="s">
        <v>19</v>
      </c>
      <c r="H1417" s="172" t="s">
        <v>20</v>
      </c>
      <c r="I1417" s="175">
        <v>1</v>
      </c>
      <c r="J1417" s="175" t="s">
        <v>18</v>
      </c>
      <c r="K1417" s="175" t="s">
        <v>57</v>
      </c>
      <c r="L1417" s="172" t="s">
        <v>56</v>
      </c>
    </row>
    <row r="1418" spans="1:12" x14ac:dyDescent="0.2">
      <c r="A1418" s="172" t="s">
        <v>12</v>
      </c>
      <c r="B1418" s="172" t="s">
        <v>13</v>
      </c>
      <c r="C1418" s="172" t="s">
        <v>21</v>
      </c>
      <c r="D1418" s="172" t="s">
        <v>15</v>
      </c>
      <c r="E1418" s="173">
        <v>41876</v>
      </c>
      <c r="F1418" s="174">
        <v>2.9226415000000001</v>
      </c>
      <c r="G1418" s="175" t="s">
        <v>16</v>
      </c>
      <c r="H1418" s="172" t="s">
        <v>17</v>
      </c>
      <c r="I1418" s="175">
        <v>1</v>
      </c>
      <c r="J1418" s="175" t="s">
        <v>18</v>
      </c>
      <c r="K1418" s="175" t="s">
        <v>57</v>
      </c>
      <c r="L1418" s="172" t="s">
        <v>56</v>
      </c>
    </row>
    <row r="1419" spans="1:12" x14ac:dyDescent="0.2">
      <c r="A1419" s="172" t="s">
        <v>12</v>
      </c>
      <c r="B1419" s="172" t="s">
        <v>13</v>
      </c>
      <c r="C1419" s="172" t="s">
        <v>21</v>
      </c>
      <c r="D1419" s="172" t="s">
        <v>15</v>
      </c>
      <c r="E1419" s="173">
        <v>41876</v>
      </c>
      <c r="F1419" s="174">
        <v>516.74639999999999</v>
      </c>
      <c r="G1419" s="175" t="s">
        <v>19</v>
      </c>
      <c r="H1419" s="172" t="s">
        <v>17</v>
      </c>
      <c r="I1419" s="175">
        <v>1</v>
      </c>
      <c r="J1419" s="175" t="s">
        <v>18</v>
      </c>
      <c r="K1419" s="175" t="s">
        <v>57</v>
      </c>
      <c r="L1419" s="172" t="s">
        <v>56</v>
      </c>
    </row>
    <row r="1420" spans="1:12" x14ac:dyDescent="0.2">
      <c r="A1420" s="172" t="s">
        <v>12</v>
      </c>
      <c r="B1420" s="172" t="s">
        <v>13</v>
      </c>
      <c r="C1420" s="172" t="s">
        <v>21</v>
      </c>
      <c r="D1420" s="172" t="s">
        <v>15</v>
      </c>
      <c r="E1420" s="173">
        <v>41876</v>
      </c>
      <c r="F1420" s="174">
        <v>1.9</v>
      </c>
      <c r="G1420" s="175" t="s">
        <v>16</v>
      </c>
      <c r="H1420" s="172" t="s">
        <v>20</v>
      </c>
      <c r="I1420" s="175">
        <v>1</v>
      </c>
      <c r="J1420" s="175" t="s">
        <v>18</v>
      </c>
      <c r="K1420" s="175" t="s">
        <v>57</v>
      </c>
      <c r="L1420" s="172" t="s">
        <v>56</v>
      </c>
    </row>
    <row r="1421" spans="1:12" x14ac:dyDescent="0.2">
      <c r="A1421" s="172" t="s">
        <v>12</v>
      </c>
      <c r="B1421" s="172" t="s">
        <v>13</v>
      </c>
      <c r="C1421" s="172" t="s">
        <v>21</v>
      </c>
      <c r="D1421" s="172" t="s">
        <v>15</v>
      </c>
      <c r="E1421" s="173">
        <v>41876</v>
      </c>
      <c r="F1421" s="174">
        <v>350.19659999999999</v>
      </c>
      <c r="G1421" s="175" t="s">
        <v>19</v>
      </c>
      <c r="H1421" s="172" t="s">
        <v>20</v>
      </c>
      <c r="I1421" s="175">
        <v>1</v>
      </c>
      <c r="J1421" s="175" t="s">
        <v>18</v>
      </c>
      <c r="K1421" s="175" t="s">
        <v>57</v>
      </c>
      <c r="L1421" s="172" t="s">
        <v>56</v>
      </c>
    </row>
    <row r="1422" spans="1:12" x14ac:dyDescent="0.2">
      <c r="A1422" s="172" t="s">
        <v>12</v>
      </c>
      <c r="B1422" s="172" t="s">
        <v>13</v>
      </c>
      <c r="C1422" s="172" t="s">
        <v>21</v>
      </c>
      <c r="D1422" s="172" t="s">
        <v>15</v>
      </c>
      <c r="E1422" s="173">
        <v>41869</v>
      </c>
      <c r="F1422" s="174">
        <v>1.4823809999999999</v>
      </c>
      <c r="G1422" s="175" t="s">
        <v>16</v>
      </c>
      <c r="H1422" s="172" t="s">
        <v>17</v>
      </c>
      <c r="I1422" s="175">
        <v>1</v>
      </c>
      <c r="J1422" s="175" t="s">
        <v>18</v>
      </c>
      <c r="K1422" s="175" t="s">
        <v>57</v>
      </c>
      <c r="L1422" s="172" t="s">
        <v>56</v>
      </c>
    </row>
    <row r="1423" spans="1:12" x14ac:dyDescent="0.2">
      <c r="A1423" s="172" t="s">
        <v>12</v>
      </c>
      <c r="B1423" s="172" t="s">
        <v>13</v>
      </c>
      <c r="C1423" s="172" t="s">
        <v>21</v>
      </c>
      <c r="D1423" s="172" t="s">
        <v>15</v>
      </c>
      <c r="E1423" s="173">
        <v>41869</v>
      </c>
      <c r="F1423" s="174">
        <v>259.62419999999997</v>
      </c>
      <c r="G1423" s="175" t="s">
        <v>19</v>
      </c>
      <c r="H1423" s="172" t="s">
        <v>17</v>
      </c>
      <c r="I1423" s="175">
        <v>1</v>
      </c>
      <c r="J1423" s="175" t="s">
        <v>18</v>
      </c>
      <c r="K1423" s="175" t="s">
        <v>57</v>
      </c>
      <c r="L1423" s="172" t="s">
        <v>56</v>
      </c>
    </row>
    <row r="1424" spans="1:12" x14ac:dyDescent="0.2">
      <c r="A1424" s="172" t="s">
        <v>12</v>
      </c>
      <c r="B1424" s="172" t="s">
        <v>13</v>
      </c>
      <c r="C1424" s="172" t="s">
        <v>21</v>
      </c>
      <c r="D1424" s="172" t="s">
        <v>15</v>
      </c>
      <c r="E1424" s="173">
        <v>41869</v>
      </c>
      <c r="F1424" s="174">
        <v>1.5</v>
      </c>
      <c r="G1424" s="175" t="s">
        <v>16</v>
      </c>
      <c r="H1424" s="172" t="s">
        <v>20</v>
      </c>
      <c r="I1424" s="175">
        <v>1</v>
      </c>
      <c r="J1424" s="175" t="s">
        <v>18</v>
      </c>
      <c r="K1424" s="175" t="s">
        <v>57</v>
      </c>
      <c r="L1424" s="172" t="s">
        <v>56</v>
      </c>
    </row>
    <row r="1425" spans="1:12" x14ac:dyDescent="0.2">
      <c r="A1425" s="172" t="s">
        <v>12</v>
      </c>
      <c r="B1425" s="172" t="s">
        <v>13</v>
      </c>
      <c r="C1425" s="172" t="s">
        <v>21</v>
      </c>
      <c r="D1425" s="172" t="s">
        <v>15</v>
      </c>
      <c r="E1425" s="173">
        <v>41869</v>
      </c>
      <c r="F1425" s="174">
        <v>262.70999999999998</v>
      </c>
      <c r="G1425" s="175" t="s">
        <v>19</v>
      </c>
      <c r="H1425" s="172" t="s">
        <v>20</v>
      </c>
      <c r="I1425" s="175">
        <v>1</v>
      </c>
      <c r="J1425" s="175" t="s">
        <v>18</v>
      </c>
      <c r="K1425" s="175" t="s">
        <v>57</v>
      </c>
      <c r="L1425" s="172" t="s">
        <v>56</v>
      </c>
    </row>
    <row r="1426" spans="1:12" x14ac:dyDescent="0.2">
      <c r="A1426" s="172" t="s">
        <v>12</v>
      </c>
      <c r="B1426" s="172" t="s">
        <v>13</v>
      </c>
      <c r="C1426" s="172" t="s">
        <v>21</v>
      </c>
      <c r="D1426" s="172" t="s">
        <v>15</v>
      </c>
      <c r="E1426" s="173">
        <v>41863</v>
      </c>
      <c r="F1426" s="174">
        <v>2.1920791999999998</v>
      </c>
      <c r="G1426" s="175" t="s">
        <v>16</v>
      </c>
      <c r="H1426" s="172" t="s">
        <v>17</v>
      </c>
      <c r="I1426" s="175">
        <v>1</v>
      </c>
      <c r="J1426" s="175" t="s">
        <v>18</v>
      </c>
      <c r="K1426" s="175" t="s">
        <v>57</v>
      </c>
      <c r="L1426" s="172" t="s">
        <v>56</v>
      </c>
    </row>
    <row r="1427" spans="1:12" x14ac:dyDescent="0.2">
      <c r="A1427" s="172" t="s">
        <v>12</v>
      </c>
      <c r="B1427" s="172" t="s">
        <v>13</v>
      </c>
      <c r="C1427" s="172" t="s">
        <v>21</v>
      </c>
      <c r="D1427" s="172" t="s">
        <v>15</v>
      </c>
      <c r="E1427" s="173">
        <v>41863</v>
      </c>
      <c r="F1427" s="174">
        <v>369.29520000000002</v>
      </c>
      <c r="G1427" s="175" t="s">
        <v>19</v>
      </c>
      <c r="H1427" s="172" t="s">
        <v>17</v>
      </c>
      <c r="I1427" s="175">
        <v>1</v>
      </c>
      <c r="J1427" s="175" t="s">
        <v>18</v>
      </c>
      <c r="K1427" s="175" t="s">
        <v>57</v>
      </c>
      <c r="L1427" s="172" t="s">
        <v>56</v>
      </c>
    </row>
    <row r="1428" spans="1:12" x14ac:dyDescent="0.2">
      <c r="A1428" s="172" t="s">
        <v>12</v>
      </c>
      <c r="B1428" s="172" t="s">
        <v>13</v>
      </c>
      <c r="C1428" s="172" t="s">
        <v>21</v>
      </c>
      <c r="D1428" s="172" t="s">
        <v>15</v>
      </c>
      <c r="E1428" s="173">
        <v>41863</v>
      </c>
      <c r="F1428" s="174">
        <v>2.1</v>
      </c>
      <c r="G1428" s="175" t="s">
        <v>16</v>
      </c>
      <c r="H1428" s="172" t="s">
        <v>20</v>
      </c>
      <c r="I1428" s="175">
        <v>1</v>
      </c>
      <c r="J1428" s="175" t="s">
        <v>18</v>
      </c>
      <c r="K1428" s="175" t="s">
        <v>57</v>
      </c>
      <c r="L1428" s="172" t="s">
        <v>56</v>
      </c>
    </row>
    <row r="1429" spans="1:12" x14ac:dyDescent="0.2">
      <c r="A1429" s="172" t="s">
        <v>12</v>
      </c>
      <c r="B1429" s="172" t="s">
        <v>13</v>
      </c>
      <c r="C1429" s="172" t="s">
        <v>21</v>
      </c>
      <c r="D1429" s="172" t="s">
        <v>15</v>
      </c>
      <c r="E1429" s="173">
        <v>41863</v>
      </c>
      <c r="F1429" s="174">
        <v>367.79399999999998</v>
      </c>
      <c r="G1429" s="175" t="s">
        <v>19</v>
      </c>
      <c r="H1429" s="172" t="s">
        <v>20</v>
      </c>
      <c r="I1429" s="175">
        <v>1</v>
      </c>
      <c r="J1429" s="175" t="s">
        <v>18</v>
      </c>
      <c r="K1429" s="175" t="s">
        <v>57</v>
      </c>
      <c r="L1429" s="172" t="s">
        <v>56</v>
      </c>
    </row>
    <row r="1430" spans="1:12" x14ac:dyDescent="0.2">
      <c r="A1430" s="172" t="s">
        <v>12</v>
      </c>
      <c r="B1430" s="172" t="s">
        <v>13</v>
      </c>
      <c r="C1430" s="172" t="s">
        <v>21</v>
      </c>
      <c r="D1430" s="172" t="s">
        <v>15</v>
      </c>
      <c r="E1430" s="173">
        <v>41856</v>
      </c>
      <c r="F1430" s="174">
        <v>0.74690270000000003</v>
      </c>
      <c r="G1430" s="175" t="s">
        <v>16</v>
      </c>
      <c r="H1430" s="172" t="s">
        <v>17</v>
      </c>
      <c r="I1430" s="175">
        <v>1</v>
      </c>
      <c r="J1430" s="175" t="s">
        <v>18</v>
      </c>
      <c r="K1430" s="175" t="s">
        <v>57</v>
      </c>
      <c r="L1430" s="172" t="s">
        <v>56</v>
      </c>
    </row>
    <row r="1431" spans="1:12" x14ac:dyDescent="0.2">
      <c r="A1431" s="172" t="s">
        <v>12</v>
      </c>
      <c r="B1431" s="172" t="s">
        <v>13</v>
      </c>
      <c r="C1431" s="172" t="s">
        <v>21</v>
      </c>
      <c r="D1431" s="172" t="s">
        <v>15</v>
      </c>
      <c r="E1431" s="173">
        <v>41856</v>
      </c>
      <c r="F1431" s="174">
        <v>140.7792</v>
      </c>
      <c r="G1431" s="175" t="s">
        <v>19</v>
      </c>
      <c r="H1431" s="172" t="s">
        <v>17</v>
      </c>
      <c r="I1431" s="175">
        <v>1</v>
      </c>
      <c r="J1431" s="175" t="s">
        <v>18</v>
      </c>
      <c r="K1431" s="175" t="s">
        <v>57</v>
      </c>
      <c r="L1431" s="172" t="s">
        <v>56</v>
      </c>
    </row>
    <row r="1432" spans="1:12" x14ac:dyDescent="0.2">
      <c r="A1432" s="172" t="s">
        <v>12</v>
      </c>
      <c r="B1432" s="172" t="s">
        <v>13</v>
      </c>
      <c r="C1432" s="172" t="s">
        <v>21</v>
      </c>
      <c r="D1432" s="172" t="s">
        <v>15</v>
      </c>
      <c r="E1432" s="173">
        <v>41856</v>
      </c>
      <c r="F1432" s="174">
        <v>1.4</v>
      </c>
      <c r="G1432" s="175" t="s">
        <v>16</v>
      </c>
      <c r="H1432" s="172" t="s">
        <v>20</v>
      </c>
      <c r="I1432" s="175">
        <v>1</v>
      </c>
      <c r="J1432" s="175" t="s">
        <v>18</v>
      </c>
      <c r="K1432" s="175" t="s">
        <v>57</v>
      </c>
      <c r="L1432" s="172" t="s">
        <v>56</v>
      </c>
    </row>
    <row r="1433" spans="1:12" x14ac:dyDescent="0.2">
      <c r="A1433" s="172" t="s">
        <v>12</v>
      </c>
      <c r="B1433" s="172" t="s">
        <v>13</v>
      </c>
      <c r="C1433" s="172" t="s">
        <v>21</v>
      </c>
      <c r="D1433" s="172" t="s">
        <v>15</v>
      </c>
      <c r="E1433" s="173">
        <v>41856</v>
      </c>
      <c r="F1433" s="174">
        <v>266.21280000000002</v>
      </c>
      <c r="G1433" s="175" t="s">
        <v>19</v>
      </c>
      <c r="H1433" s="172" t="s">
        <v>20</v>
      </c>
      <c r="I1433" s="175">
        <v>1</v>
      </c>
      <c r="J1433" s="175" t="s">
        <v>18</v>
      </c>
      <c r="K1433" s="175" t="s">
        <v>57</v>
      </c>
      <c r="L1433" s="172" t="s">
        <v>56</v>
      </c>
    </row>
  </sheetData>
  <autoFilter ref="A1:N1433"/>
  <sortState ref="A2:M1441">
    <sortCondition ref="C2:C1441"/>
    <sortCondition descending="1" ref="E2:E1441"/>
    <sortCondition descending="1" ref="H2:H1441"/>
    <sortCondition descending="1" ref="G2:G1441"/>
  </sortState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C8" sqref="C8"/>
    </sheetView>
  </sheetViews>
  <sheetFormatPr defaultRowHeight="11.25" x14ac:dyDescent="0.2"/>
  <cols>
    <col min="1" max="1" width="11.85546875" style="4" customWidth="1"/>
    <col min="2" max="2" width="17" style="2" customWidth="1"/>
    <col min="3" max="4" width="6" style="3" customWidth="1"/>
    <col min="5" max="5" width="6" style="4" customWidth="1"/>
    <col min="6" max="6" width="7" style="4" customWidth="1"/>
    <col min="7" max="8" width="9" style="4" customWidth="1"/>
    <col min="9" max="11" width="6" style="4" customWidth="1"/>
    <col min="12" max="12" width="6.5703125" style="4" customWidth="1"/>
    <col min="13" max="13" width="9" style="4" customWidth="1"/>
    <col min="14" max="14" width="10.7109375" style="4" customWidth="1"/>
    <col min="15" max="16" width="7" style="4" customWidth="1"/>
    <col min="17" max="17" width="15" style="4" customWidth="1"/>
    <col min="18" max="18" width="3.5703125" style="4" customWidth="1"/>
    <col min="19" max="19" width="8.42578125" style="4" bestFit="1" customWidth="1"/>
    <col min="20" max="20" width="6" style="4" bestFit="1" customWidth="1"/>
    <col min="21" max="21" width="4" style="4" bestFit="1" customWidth="1"/>
    <col min="22" max="22" width="6" style="4" bestFit="1" customWidth="1"/>
    <col min="23" max="23" width="4.42578125" style="4" bestFit="1" customWidth="1"/>
    <col min="24" max="24" width="9" style="4" bestFit="1" customWidth="1"/>
    <col min="25" max="25" width="8.7109375" style="4" bestFit="1" customWidth="1"/>
    <col min="26" max="26" width="8.42578125" style="4" bestFit="1" customWidth="1"/>
    <col min="27" max="28" width="6.85546875" style="4" bestFit="1" customWidth="1"/>
    <col min="29" max="29" width="8.85546875" style="4" bestFit="1" customWidth="1"/>
    <col min="30" max="30" width="8.5703125" style="4" bestFit="1" customWidth="1"/>
    <col min="31" max="16384" width="9.140625" style="4"/>
  </cols>
  <sheetData>
    <row r="1" spans="1:17" ht="12.75" x14ac:dyDescent="0.2">
      <c r="A1" s="219" t="s">
        <v>42</v>
      </c>
      <c r="B1" s="220"/>
      <c r="C1" s="221" t="s">
        <v>22</v>
      </c>
      <c r="D1" s="221"/>
      <c r="E1" s="222">
        <v>41852</v>
      </c>
      <c r="F1" s="223"/>
      <c r="G1" s="2"/>
      <c r="L1" s="1" t="s">
        <v>70</v>
      </c>
    </row>
    <row r="2" spans="1:17" x14ac:dyDescent="0.2">
      <c r="A2" s="30" t="s">
        <v>23</v>
      </c>
      <c r="B2" s="5">
        <f>MIN(DavenportNDD!E:E)</f>
        <v>41856</v>
      </c>
      <c r="C2" s="224" t="s">
        <v>43</v>
      </c>
      <c r="D2" s="224"/>
      <c r="E2" s="225">
        <f>(B3-B2)/30</f>
        <v>45.333333333333336</v>
      </c>
      <c r="F2" s="226"/>
      <c r="L2" s="1" t="s">
        <v>71</v>
      </c>
    </row>
    <row r="3" spans="1:17" x14ac:dyDescent="0.2">
      <c r="A3" s="31" t="s">
        <v>24</v>
      </c>
      <c r="B3" s="32">
        <f>MAX(DavenportNDD!E:E)</f>
        <v>43216</v>
      </c>
      <c r="C3" s="208"/>
      <c r="D3" s="208"/>
      <c r="E3" s="208"/>
      <c r="F3" s="209"/>
    </row>
    <row r="4" spans="1:17" ht="12" thickBot="1" x14ac:dyDescent="0.25"/>
    <row r="5" spans="1:17" ht="11.25" customHeight="1" x14ac:dyDescent="0.2">
      <c r="A5" s="216" t="s">
        <v>25</v>
      </c>
      <c r="B5" s="210" t="s">
        <v>25</v>
      </c>
      <c r="C5" s="213" t="s">
        <v>26</v>
      </c>
      <c r="D5" s="214"/>
      <c r="E5" s="214"/>
      <c r="F5" s="214"/>
      <c r="G5" s="214"/>
      <c r="H5" s="214"/>
      <c r="I5" s="215" t="s">
        <v>44</v>
      </c>
      <c r="J5" s="215"/>
      <c r="K5" s="215"/>
      <c r="L5" s="215"/>
      <c r="M5" s="215"/>
      <c r="N5" s="215"/>
      <c r="O5" s="204" t="s">
        <v>27</v>
      </c>
      <c r="P5" s="205"/>
      <c r="Q5" s="199" t="s">
        <v>28</v>
      </c>
    </row>
    <row r="6" spans="1:17" ht="11.25" customHeight="1" x14ac:dyDescent="0.2">
      <c r="A6" s="217"/>
      <c r="B6" s="211"/>
      <c r="C6" s="201" t="s">
        <v>29</v>
      </c>
      <c r="D6" s="202"/>
      <c r="E6" s="201" t="s">
        <v>30</v>
      </c>
      <c r="F6" s="203"/>
      <c r="G6" s="203"/>
      <c r="H6" s="202"/>
      <c r="I6" s="201" t="s">
        <v>29</v>
      </c>
      <c r="J6" s="202"/>
      <c r="K6" s="201" t="s">
        <v>30</v>
      </c>
      <c r="L6" s="203"/>
      <c r="M6" s="203"/>
      <c r="N6" s="203"/>
      <c r="O6" s="206"/>
      <c r="P6" s="207"/>
      <c r="Q6" s="200"/>
    </row>
    <row r="7" spans="1:17" ht="11.25" customHeight="1" x14ac:dyDescent="0.2">
      <c r="A7" s="217"/>
      <c r="B7" s="212"/>
      <c r="C7" s="6" t="s">
        <v>31</v>
      </c>
      <c r="D7" s="7" t="s">
        <v>32</v>
      </c>
      <c r="E7" s="6" t="s">
        <v>31</v>
      </c>
      <c r="F7" s="8" t="s">
        <v>33</v>
      </c>
      <c r="G7" s="9" t="s">
        <v>34</v>
      </c>
      <c r="H7" s="10" t="s">
        <v>45</v>
      </c>
      <c r="I7" s="6" t="s">
        <v>31</v>
      </c>
      <c r="J7" s="7" t="s">
        <v>32</v>
      </c>
      <c r="K7" s="6" t="s">
        <v>31</v>
      </c>
      <c r="L7" s="8" t="s">
        <v>33</v>
      </c>
      <c r="M7" s="11" t="s">
        <v>35</v>
      </c>
      <c r="N7" s="10" t="s">
        <v>46</v>
      </c>
      <c r="O7" s="12" t="s">
        <v>36</v>
      </c>
      <c r="P7" s="114" t="s">
        <v>37</v>
      </c>
      <c r="Q7" s="33" t="s">
        <v>47</v>
      </c>
    </row>
    <row r="8" spans="1:17" s="21" customFormat="1" ht="11.25" customHeight="1" x14ac:dyDescent="0.2">
      <c r="A8" s="217"/>
      <c r="B8" s="73" t="s">
        <v>38</v>
      </c>
      <c r="C8" s="34">
        <f>COUNTIFS(DavenportNDD!C:C,"NITROGEN, TOTAL (AS N)",DavenportNDD!G:G,"MG/L",DavenportNDD!H:H,"RAW WASTE")</f>
        <v>184</v>
      </c>
      <c r="D8" s="35">
        <f>AVERAGEIFS(DavenportNDD!F:F,(DavenportNDD!C:C),("NITROGEN, TOTAL (AS N)"),(DavenportNDD!H:H),("RAW WASTE"),(DavenportNDD!G:G),("MG/L"))</f>
        <v>35.938753168478264</v>
      </c>
      <c r="E8" s="36">
        <f>COUNTIFS(DavenportNDD!C:C,"NITROGEN, TOTAL (AS N)",DavenportNDD!G:G,"LBS/DAY",DavenportNDD!H:H,"RAW WASTE")</f>
        <v>184</v>
      </c>
      <c r="F8" s="38">
        <f>AVERAGEIFS(DavenportNDD!F:F,(DavenportNDD!C:C),("NITROGEN, TOTAL (AS N)"),(DavenportNDD!H:H),("RAW WASTE"),(DavenportNDD!G:G),("LBS/DAY"))</f>
        <v>7741.4983082684766</v>
      </c>
      <c r="G8" s="38">
        <f>(SUMIFS(DavenportNDD!F:F,(DavenportNDD!C:C),("NITROGEN, TOTAL (AS N)"),(DavenportNDD!H:H),("RAW WASTE"),(DavenportNDD!G:G),("LBS/DAY")))</f>
        <v>1424435.6887213998</v>
      </c>
      <c r="H8" s="39">
        <f>F8*365</f>
        <v>2825646.8825179939</v>
      </c>
      <c r="I8" s="36">
        <f>COUNTIFS(DavenportNDD!C:C,"NITROGEN, TOTAL (AS N)",DavenportNDD!G:G,"MG/L",DavenportNDD!H:H,"FINAL EFFLUENT")</f>
        <v>184</v>
      </c>
      <c r="J8" s="35">
        <f>(AVERAGEIFS(DavenportNDD!F:F,(DavenportNDD!C:C),("NITROGEN, TOTAL (AS N)"),(DavenportNDD!H:H),("FINAL EFFLUENT"),(DavenportNDD!G:G),("MG/L")))</f>
        <v>30.036891299456531</v>
      </c>
      <c r="K8" s="36">
        <f>COUNTIFS(DavenportNDD!C:C,"NITROGEN, TOTAL (AS N)",DavenportNDD!G:G,"LBS/DAY",DavenportNDD!H:H,"FINAL EFFLUENT")</f>
        <v>184</v>
      </c>
      <c r="L8" s="38">
        <f>AVERAGEIFS(DavenportNDD!F:F,(DavenportNDD!C:C),("NITROGEN, TOTAL (AS N)"),(DavenportNDD!H:H),("FINAL EFFLUENT"),(DavenportNDD!G:G),("LBS/DAY"))</f>
        <v>6850.9077771940283</v>
      </c>
      <c r="M8" s="38">
        <f>SUMIFS(DavenportNDD!F:F,(DavenportNDD!C:C),("NITROGEN, TOTAL (AS N)"),(DavenportNDD!H:H),("FINAL EFFLUENT"),(DavenportNDD!G:G),("LBS/DAY"))</f>
        <v>1260567.0310037013</v>
      </c>
      <c r="N8" s="39">
        <f>L8*365</f>
        <v>2500581.3386758203</v>
      </c>
      <c r="O8" s="40">
        <f>((D8-J8))/D8</f>
        <v>0.16421999509427146</v>
      </c>
      <c r="P8" s="41">
        <f>((F8-L8))/F8</f>
        <v>0.11504110646426592</v>
      </c>
      <c r="Q8" s="42">
        <f>(F8-L8)*365</f>
        <v>325065.54384217365</v>
      </c>
    </row>
    <row r="9" spans="1:17" s="21" customFormat="1" ht="5.25" customHeight="1" x14ac:dyDescent="0.2">
      <c r="A9" s="217"/>
      <c r="B9" s="73"/>
      <c r="C9" s="13"/>
      <c r="D9" s="14"/>
      <c r="E9" s="15"/>
      <c r="F9" s="17"/>
      <c r="G9" s="17"/>
      <c r="H9" s="18"/>
      <c r="I9" s="15"/>
      <c r="J9" s="14"/>
      <c r="K9" s="15"/>
      <c r="L9" s="17"/>
      <c r="M9" s="16"/>
      <c r="N9" s="18"/>
      <c r="O9" s="19"/>
      <c r="P9" s="20"/>
      <c r="Q9" s="43"/>
    </row>
    <row r="10" spans="1:17" s="44" customFormat="1" ht="11.25" customHeight="1" x14ac:dyDescent="0.2">
      <c r="A10" s="217"/>
      <c r="B10" s="74" t="s">
        <v>51</v>
      </c>
      <c r="C10" s="75">
        <f>COUNTIFS(DavenportNDD!$E:$E,"&gt;=5/1/2014",DavenportNDD!$E:$E,"&lt;=4/30/2015",DavenportNDD!$C:$C,"NITROGEN, TOTAL (AS N)",DavenportNDD!$G:$G,"MG/L",DavenportNDD!$H:$H,"RAW WASTE")</f>
        <v>35</v>
      </c>
      <c r="D10" s="76">
        <f>AVERAGEIFS(DavenportNDD!$F:$F,DavenportNDD!$E:$E,"&gt;=5/1/2014",DavenportNDD!$E:$E,"&lt;=4/30/2015",(DavenportNDD!$C:$C),("NITROGEN, TOTAL (AS N)"),(DavenportNDD!$H:$H),("RAW WASTE"),(DavenportNDD!$G:$G),("MG/L"))</f>
        <v>42.34509995142858</v>
      </c>
      <c r="E10" s="77">
        <f>COUNTIFS(DavenportNDD!$E:$E,"&gt;=5/1/2014",DavenportNDD!$E:$E,"&lt;=4/30/2015",DavenportNDD!$C:$C,"NITROGEN, TOTAL (AS N)",DavenportNDD!$G:$G,"LBS/DAY",DavenportNDD!$H:$H,"RAW WASTE")</f>
        <v>35</v>
      </c>
      <c r="F10" s="78">
        <f>AVERAGEIFS(DavenportNDD!$F:$F,DavenportNDD!$E:$E,"&gt;=5/1/2014",DavenportNDD!$E:$E,"&lt;=4/30/2015",(DavenportNDD!$C:$C),("NITROGEN, TOTAL (AS N)"),(DavenportNDD!$H:$H),("RAW WASTE"),(DavenportNDD!$G:$G),("LBS/DAY"))</f>
        <v>7673.670600685713</v>
      </c>
      <c r="G10" s="78">
        <f>SUMIFS(DavenportNDD!$F:$F,DavenportNDD!$E:$E,"&gt;=5/1/2014",DavenportNDD!$E:$E,"&lt;=4/30/2015",(DavenportNDD!$C:$C),("NITROGEN, TOTAL (AS N)"),(DavenportNDD!$H:$H),("RAW WASTE"),(DavenportNDD!$G:$G),("LBS/DAY"))</f>
        <v>268578.47102399997</v>
      </c>
      <c r="H10" s="79">
        <f>F10*365</f>
        <v>2800889.7692502853</v>
      </c>
      <c r="I10" s="77">
        <f>COUNTIFS(DavenportNDD!$E:$E,"&gt;=5/1/2014",DavenportNDD!$E:$E,"&lt;=4/30/2015",DavenportNDD!$C:$C,"NITROGEN, TOTAL (AS N)",DavenportNDD!$G:$G,"MG/L",DavenportNDD!$H:$H,"FINAL EFFLUENT")</f>
        <v>35</v>
      </c>
      <c r="J10" s="76">
        <f>AVERAGEIFS(DavenportNDD!$F:$F,DavenportNDD!$E:$E,"&gt;=5/1/2014",DavenportNDD!$E:$E,"&lt;=4/30/2015",(DavenportNDD!$C:$C),("NITROGEN, TOTAL (AS N)"),(DavenportNDD!$H:$H),("FINAL EFFLUENT"),(DavenportNDD!$G:$G),("MG/L"))</f>
        <v>31.569628571428574</v>
      </c>
      <c r="K10" s="77">
        <f>COUNTIFS(DavenportNDD!$E:$E,"&gt;=5/1/2014",DavenportNDD!$E:$E,"&lt;=4/30/2015",DavenportNDD!$C:$C,"NITROGEN, TOTAL (AS N)",DavenportNDD!$G:$G,"LBS/DAY",DavenportNDD!$H:$H,"FINAL EFFLUENT")</f>
        <v>35</v>
      </c>
      <c r="L10" s="78">
        <f>AVERAGEIFS((DavenportNDD!$F:$F),DavenportNDD!$E:$E,"&gt;=5/1/2014",DavenportNDD!$E:$E,"&lt;=4/30/2015",(DavenportNDD!$C:$C),("NITROGEN, TOTAL (AS N)"),(DavenportNDD!$H:$H),("FINAL EFFLUENT"),(DavenportNDD!$G:$G),("LBS/DAY"))</f>
        <v>6184.362582857143</v>
      </c>
      <c r="M10" s="78">
        <f>SUMIFS(DavenportNDD!$F:$F,DavenportNDD!$E:$E,"&gt;=5/1/2014",DavenportNDD!$E:$E,"&lt;=4/30/2015",(DavenportNDD!$C:$C),("NITROGEN, TOTAL (AS N)"),(DavenportNDD!$H:$H),("FINAL EFFLUENT"),(DavenportNDD!$G:$G),("LBS/DAY"))</f>
        <v>216452.69039999999</v>
      </c>
      <c r="N10" s="79">
        <f>L10*365</f>
        <v>2257292.3427428571</v>
      </c>
      <c r="O10" s="80">
        <f>((D10-J10))/D10</f>
        <v>0.25446796423576462</v>
      </c>
      <c r="P10" s="81">
        <f>((F10-L10))/F10</f>
        <v>0.19408026423436608</v>
      </c>
      <c r="Q10" s="82">
        <f>(F10-L10)*365</f>
        <v>543597.42650742806</v>
      </c>
    </row>
    <row r="11" spans="1:17" s="21" customFormat="1" ht="5.25" customHeight="1" x14ac:dyDescent="0.2">
      <c r="A11" s="217"/>
      <c r="B11" s="73"/>
      <c r="C11" s="13"/>
      <c r="D11" s="14"/>
      <c r="E11" s="15"/>
      <c r="F11" s="17"/>
      <c r="G11" s="17"/>
      <c r="H11" s="18"/>
      <c r="I11" s="15"/>
      <c r="J11" s="14"/>
      <c r="K11" s="15"/>
      <c r="L11" s="17"/>
      <c r="M11" s="16"/>
      <c r="N11" s="18"/>
      <c r="O11" s="19"/>
      <c r="P11" s="20"/>
      <c r="Q11" s="43"/>
    </row>
    <row r="12" spans="1:17" s="54" customFormat="1" ht="11.25" customHeight="1" x14ac:dyDescent="0.2">
      <c r="A12" s="217"/>
      <c r="B12" s="83" t="s">
        <v>48</v>
      </c>
      <c r="C12" s="45">
        <f>COUNTIFS(DavenportNDD!$E:$E,"&gt;=1/1/2015",DavenportNDD!$E:$E,"&lt;=12/31/2015",DavenportNDD!$C:$C,"NITROGEN, TOTAL (AS N)",DavenportNDD!$G:$G,"MG/L",DavenportNDD!$H:$H,"RAW WASTE")</f>
        <v>53</v>
      </c>
      <c r="D12" s="46">
        <f>AVERAGEIFS(DavenportNDD!$F:$F,DavenportNDD!$E:$E,"&gt;=1/1/2015",DavenportNDD!$E:$E,"&lt;=12/31/2015",(DavenportNDD!$C:$C),("NITROGEN, TOTAL (AS N)"),(DavenportNDD!$H:$H),("RAW WASTE"),(DavenportNDD!$G:$G),("MG/L"))</f>
        <v>35.506334590566034</v>
      </c>
      <c r="E12" s="45">
        <f>COUNTIFS(DavenportNDD!$E:$E,"&gt;=1/1/2015",DavenportNDD!$E:$E,"&lt;=12/31/2015",DavenportNDD!$C:$C,"NITROGEN, TOTAL (AS N)",DavenportNDD!$G:$G,"LBS/DAY",DavenportNDD!$H:$H,"RAW WASTE")</f>
        <v>53</v>
      </c>
      <c r="F12" s="47">
        <f>AVERAGEIFS(DavenportNDD!$F:$F,DavenportNDD!$E:$E,"&gt;=1/1/2015",DavenportNDD!$E:$E,"&lt;=12/31/2015",(DavenportNDD!$C:$C),("NITROGEN, TOTAL (AS N)"),(DavenportNDD!$H:$H),("RAW WASTE"),(DavenportNDD!$G:$G),("LBS/DAY"))</f>
        <v>7117.7044231471691</v>
      </c>
      <c r="G12" s="47">
        <f>SUMIFS(DavenportNDD!$F:$F,DavenportNDD!$E:$E,"&gt;=1/1/2015",DavenportNDD!$E:$E,"&lt;=12/31/2015",(DavenportNDD!$C:$C),("NITROGEN, TOTAL (AS N)"),(DavenportNDD!$H:$H),("RAW WASTE"),(DavenportNDD!$G:$G),("LBS/DAY"))</f>
        <v>377238.33442679996</v>
      </c>
      <c r="H12" s="48">
        <f>F12*365</f>
        <v>2597962.1144487169</v>
      </c>
      <c r="I12" s="45">
        <f>COUNTIFS(DavenportNDD!$E:$E,"&gt;=1/1/2015",DavenportNDD!$E:$E,"&lt;=12/31/2015",DavenportNDD!$C:$C,"NITROGEN, TOTAL (AS N)",DavenportNDD!$G:$G,"MG/L",DavenportNDD!$H:$H,"FINAL EFFLUENT")</f>
        <v>53</v>
      </c>
      <c r="J12" s="49">
        <f>AVERAGEIFS(DavenportNDD!$F:$F,DavenportNDD!$E:$E,"&gt;=1/1/2015",DavenportNDD!$E:$E,"&lt;=12/31/2015",(DavenportNDD!$C:$C),("NITROGEN, TOTAL (AS N)"),(DavenportNDD!$H:$H),("FINAL EFFLUENT"),(DavenportNDD!$G:$G),("MG/L"))</f>
        <v>27.346433958490561</v>
      </c>
      <c r="K12" s="45">
        <f>COUNTIFS(DavenportNDD!$E:$E,"&gt;=1/1/2015",DavenportNDD!$E:$E,"&lt;=12/31/2015",DavenportNDD!$C:$C,"NITROGEN, TOTAL (AS N)",DavenportNDD!$G:$G,"LBS/DAY",DavenportNDD!$H:$H,"FINAL EFFLUENT")</f>
        <v>53</v>
      </c>
      <c r="L12" s="120">
        <f>AVERAGEIFS((DavenportNDD!$F:$F),DavenportNDD!$E:$E,"&gt;=1/1/2015",DavenportNDD!$E:$E,"&lt;=12/31/2015",(DavenportNDD!$C:$C),("NITROGEN, TOTAL (AS N)"),(DavenportNDD!$H:$H),("FINAL EFFLUENT"),(DavenportNDD!$G:$G),("LBS/DAY"))</f>
        <v>5706.6130719433959</v>
      </c>
      <c r="M12" s="47">
        <f>SUMIFS(DavenportNDD!$F:$F,DavenportNDD!$E:$E,"&gt;=1/1/2015",DavenportNDD!$E:$E,"&lt;=12/31/2015",(DavenportNDD!$C:$C),("NITROGEN, TOTAL (AS N)"),(DavenportNDD!$H:$H),("FINAL EFFLUENT"),(DavenportNDD!$G:$G),("LBS/DAY"))</f>
        <v>302450.49281299999</v>
      </c>
      <c r="N12" s="50">
        <f>L12*365</f>
        <v>2082913.7712593395</v>
      </c>
      <c r="O12" s="51">
        <f>((D12-J12))/D12</f>
        <v>0.22981534777300114</v>
      </c>
      <c r="P12" s="52">
        <f>((F12-L12))/F12</f>
        <v>0.1982509060947833</v>
      </c>
      <c r="Q12" s="53">
        <f>(F12-L12)*365</f>
        <v>515048.34318937722</v>
      </c>
    </row>
    <row r="13" spans="1:17" s="44" customFormat="1" ht="11.25" customHeight="1" x14ac:dyDescent="0.2">
      <c r="A13" s="217"/>
      <c r="B13" s="84" t="s">
        <v>52</v>
      </c>
      <c r="C13" s="55">
        <f>COUNTIFS(DavenportNDD!$E:$E,"&gt;=5/1/2015",DavenportNDD!$E:$E,"&lt;=4/30/2016",DavenportNDD!$C:$C,"NITROGEN, TOTAL (AS N)",DavenportNDD!$G:$G,"MG/L",DavenportNDD!$H:$H,"RAW WASTE")</f>
        <v>52</v>
      </c>
      <c r="D13" s="56">
        <f>AVERAGEIFS(DavenportNDD!$F:$F,DavenportNDD!$E:$E,"&gt;=5/1/2015",DavenportNDD!$E:$E,"&lt;=4/30/2016",(DavenportNDD!$C:$C),("NITROGEN, TOTAL (AS N)"),(DavenportNDD!$H:$H),("RAW WASTE"),(DavenportNDD!$G:$G),("MG/L"))</f>
        <v>32.361329059615393</v>
      </c>
      <c r="E13" s="55">
        <f>COUNTIFS(DavenportNDD!$E:$E,"&gt;=5/1/2015",DavenportNDD!$E:$E,"&lt;=4/30/2016",DavenportNDD!$C:$C,"NITROGEN, TOTAL (AS N)",DavenportNDD!$G:$G,"LBS/DAY",DavenportNDD!$H:$H,"RAW WASTE")</f>
        <v>52</v>
      </c>
      <c r="F13" s="57">
        <f>AVERAGEIFS(DavenportNDD!$F:$F,DavenportNDD!$E:$E,"&gt;=5/1/2015",DavenportNDD!$E:$E,"&lt;=4/30/2016",(DavenportNDD!$C:$C),("NITROGEN, TOTAL (AS N)"),(DavenportNDD!$H:$H),("RAW WASTE"),(DavenportNDD!$G:$G),("LBS/DAY"))</f>
        <v>7715.6126040788458</v>
      </c>
      <c r="G13" s="57">
        <f>SUMIFS(DavenportNDD!$F:$F,DavenportNDD!$E:$E,"&gt;=5/1/2015",DavenportNDD!$E:$E,"&lt;=4/30/2016",(DavenportNDD!$C:$C),("NITROGEN, TOTAL (AS N)"),(DavenportNDD!$H:$H),("RAW WASTE"),(DavenportNDD!$G:$G),("LBS/DAY"))</f>
        <v>401211.85541209998</v>
      </c>
      <c r="H13" s="58">
        <f>F13*365</f>
        <v>2816198.6004887787</v>
      </c>
      <c r="I13" s="55">
        <f>COUNTIFS(DavenportNDD!$E:$E,"&gt;=5/1/2015",DavenportNDD!$E:$E,"&lt;=4/30/2016",DavenportNDD!$C:$C,"NITROGEN, TOTAL (AS N)",DavenportNDD!$G:$G,"MG/L",DavenportNDD!$H:$H,"FINAL EFFLUENT")</f>
        <v>52</v>
      </c>
      <c r="J13" s="56">
        <f>AVERAGEIFS(DavenportNDD!$F:$F,DavenportNDD!$E:$E,"&gt;=5/1/2015",DavenportNDD!$E:$E,"&lt;=4/30/2016",(DavenportNDD!$C:$C),("NITROGEN, TOTAL (AS N)"),(DavenportNDD!$H:$H),("FINAL EFFLUENT"),(DavenportNDD!$G:$G),("MG/L"))</f>
        <v>26.018346144230769</v>
      </c>
      <c r="K13" s="55">
        <f>COUNTIFS(DavenportNDD!$E:$E,"&gt;=5/1/2015",DavenportNDD!$E:$E,"&lt;=4/30/2016",DavenportNDD!$C:$C,"NITROGEN, TOTAL (AS N)",DavenportNDD!$G:$G,"LBS/DAY",DavenportNDD!$H:$H,"FINAL EFFLUENT")</f>
        <v>52</v>
      </c>
      <c r="L13" s="57">
        <f>AVERAGEIFS((DavenportNDD!$F:$F),DavenportNDD!$E:$E,"&gt;=5/1/2015",DavenportNDD!$E:$E,"&lt;=4/30/2016",(DavenportNDD!$C:$C),("NITROGEN, TOTAL (AS N)"),(DavenportNDD!$H:$H),("FINAL EFFLUENT"),(DavenportNDD!$G:$G),("LBS/DAY"))</f>
        <v>6309.6785636230779</v>
      </c>
      <c r="M13" s="57">
        <f>SUMIFS(DavenportNDD!$F:$F,DavenportNDD!$E:$E,"&gt;=5/1/2015",DavenportNDD!$E:$E,"&lt;=4/30/2016",(DavenportNDD!$C:$C),("NITROGEN, TOTAL (AS N)"),(DavenportNDD!$H:$H),("FINAL EFFLUENT"),(DavenportNDD!$G:$G),("LBS/DAY"))</f>
        <v>328103.28530840005</v>
      </c>
      <c r="N13" s="58">
        <f>L13*365</f>
        <v>2303032.6757224235</v>
      </c>
      <c r="O13" s="59">
        <f>((D13-J13))/D13</f>
        <v>0.19600501894405226</v>
      </c>
      <c r="P13" s="60">
        <f>((F13-L13))/F13</f>
        <v>0.18221936644570819</v>
      </c>
      <c r="Q13" s="61">
        <f>(F13-L13)*365</f>
        <v>513165.92476635531</v>
      </c>
    </row>
    <row r="14" spans="1:17" s="71" customFormat="1" ht="5.25" customHeight="1" x14ac:dyDescent="0.2">
      <c r="A14" s="217"/>
      <c r="B14" s="85"/>
      <c r="C14" s="62"/>
      <c r="D14" s="63"/>
      <c r="E14" s="62"/>
      <c r="F14" s="64"/>
      <c r="G14" s="64"/>
      <c r="H14" s="65"/>
      <c r="I14" s="62"/>
      <c r="J14" s="66"/>
      <c r="K14" s="62"/>
      <c r="L14" s="121"/>
      <c r="M14" s="64"/>
      <c r="N14" s="67"/>
      <c r="O14" s="68"/>
      <c r="P14" s="69"/>
      <c r="Q14" s="70"/>
    </row>
    <row r="15" spans="1:17" s="71" customFormat="1" ht="11.25" customHeight="1" x14ac:dyDescent="0.2">
      <c r="A15" s="217"/>
      <c r="B15" s="86" t="s">
        <v>49</v>
      </c>
      <c r="C15" s="22">
        <f>COUNTIFS(DavenportNDD!$E:$E,"&gt;=1/1/2016",DavenportNDD!$E:$E,"&lt;=12/31/2016",DavenportNDD!$C:$C,"NITROGEN, TOTAL (AS N)",DavenportNDD!$G:$G,"MG/L",DavenportNDD!$H:$H,"RAW WASTE")</f>
        <v>51</v>
      </c>
      <c r="D15" s="23">
        <f>AVERAGEIFS(DavenportNDD!$F:$F,DavenportNDD!$E:$E,"&gt;=1/1/2016",DavenportNDD!$E:$E,"&lt;=12/31/2016",(DavenportNDD!$C:$C),("NITROGEN, TOTAL (AS N)"),(DavenportNDD!$H:$H),("RAW WASTE"),(DavenportNDD!$G:$G),("MG/L"))</f>
        <v>32.676735668627444</v>
      </c>
      <c r="E15" s="22">
        <f>COUNTIFS(DavenportNDD!$E:$E,"&gt;=1/1/2016",DavenportNDD!$E:$E,"&lt;=12/31/2016",DavenportNDD!$C:$C,"NITROGEN, TOTAL (AS N)",DavenportNDD!$G:$G,"LBS/DAY",DavenportNDD!$H:$H,"RAW WASTE")</f>
        <v>51</v>
      </c>
      <c r="F15" s="24">
        <f>AVERAGEIFS(DavenportNDD!$F:$F,DavenportNDD!$E:$E,"&gt;=1/1/2016",DavenportNDD!$E:$E,"&lt;=12/31/2016",(DavenportNDD!$C:$C),("NITROGEN, TOTAL (AS N)"),(DavenportNDD!$H:$H),("RAW WASTE"),(DavenportNDD!$G:$G),("LBS/DAY"))</f>
        <v>8584.2563959450981</v>
      </c>
      <c r="G15" s="24">
        <f>SUMIFS(DavenportNDD!$F:$F,DavenportNDD!$E:$E,"&gt;=1/1/2016",DavenportNDD!$E:$E,"&lt;=12/31/2016",(DavenportNDD!$C:$C),("NITROGEN, TOTAL (AS N)"),(DavenportNDD!$H:$H),("RAW WASTE"),(DavenportNDD!$G:$G),("LBS/DAY"))</f>
        <v>437797.07619319996</v>
      </c>
      <c r="H15" s="25">
        <f>F15*365</f>
        <v>3133253.5845199609</v>
      </c>
      <c r="I15" s="22">
        <f>COUNTIFS(DavenportNDD!$E:$E,"&gt;=1/1/2016",DavenportNDD!$E:$E,"&lt;=12/31/2016",DavenportNDD!$C:$C,"NITROGEN, TOTAL (AS N)",DavenportNDD!$G:$G,"MG/L",DavenportNDD!$H:$H,"FINAL EFFLUENT")</f>
        <v>51</v>
      </c>
      <c r="J15" s="26">
        <f>AVERAGEIFS(DavenportNDD!$F:$F,DavenportNDD!$E:$E,"&gt;=1/1/2016",DavenportNDD!$E:$E,"&lt;=12/31/2016",(DavenportNDD!$C:$C),("NITROGEN, TOTAL (AS N)"),(DavenportNDD!$H:$H),("FINAL EFFLUENT"),(DavenportNDD!$G:$G),("MG/L"))</f>
        <v>29.558862731372542</v>
      </c>
      <c r="K15" s="22">
        <f>COUNTIFS(DavenportNDD!$E:$E,"&gt;=1/1/2016",DavenportNDD!$E:$E,"&lt;=12/31/2016",DavenportNDD!$C:$C,"NITROGEN, TOTAL (AS N)",DavenportNDD!$G:$G,"LBS/DAY",DavenportNDD!$H:$H,"FINAL EFFLUENT")</f>
        <v>51</v>
      </c>
      <c r="L15" s="122">
        <f>AVERAGEIFS((DavenportNDD!$F:$F),DavenportNDD!$E:$E,"&gt;=1/1/2016",DavenportNDD!$E:$E,"&lt;=12/31/2016",(DavenportNDD!$C:$C),("NITROGEN, TOTAL (AS N)"),(DavenportNDD!$H:$H),("FINAL EFFLUENT"),(DavenportNDD!$G:$G),("LBS/DAY"))</f>
        <v>7869.8378964294106</v>
      </c>
      <c r="M15" s="24">
        <f>SUMIFS(DavenportNDD!$F:$F,DavenportNDD!$E:$E,"&gt;=1/1/2016",DavenportNDD!$E:$E,"&lt;=12/31/2016",(DavenportNDD!$C:$C),("NITROGEN, TOTAL (AS N)"),(DavenportNDD!$H:$H),("FINAL EFFLUENT"),(DavenportNDD!$G:$G),("LBS/DAY"))</f>
        <v>401361.73271789995</v>
      </c>
      <c r="N15" s="27">
        <f>L15*365</f>
        <v>2872490.8321967348</v>
      </c>
      <c r="O15" s="28">
        <f>((D15-J15))/D15</f>
        <v>9.5415679487481211E-2</v>
      </c>
      <c r="P15" s="29">
        <f>((F15-L15))/F15</f>
        <v>8.3224273200082161E-2</v>
      </c>
      <c r="Q15" s="72">
        <f>(F15-L15)*365</f>
        <v>260762.75232322593</v>
      </c>
    </row>
    <row r="16" spans="1:17" s="44" customFormat="1" ht="11.25" customHeight="1" x14ac:dyDescent="0.2">
      <c r="A16" s="217"/>
      <c r="B16" s="87" t="s">
        <v>53</v>
      </c>
      <c r="C16" s="88">
        <f>COUNTIFS(DavenportNDD!$E:$E,"&gt;=5/1/2016",DavenportNDD!$E:$E,"&lt;=4/30/2017",DavenportNDD!$C:$C,"NITROGEN, TOTAL (AS N)",DavenportNDD!$G:$G,"MG/L",DavenportNDD!$H:$H,"RAW WASTE")</f>
        <v>50</v>
      </c>
      <c r="D16" s="89">
        <f>AVERAGEIFS(DavenportNDD!$F:$F,DavenportNDD!$E:$E,"&gt;=5/1/2016",DavenportNDD!$E:$E,"&lt;=4/30/2017",(DavenportNDD!$C:$C),("NITROGEN, TOTAL (AS N)"),(DavenportNDD!$H:$H),("RAW WASTE"),(DavenportNDD!$G:$G),("MG/L"))</f>
        <v>31.468653370000013</v>
      </c>
      <c r="E16" s="88">
        <f>COUNTIFS(DavenportNDD!$E:$E,"&gt;=5/1/2016",DavenportNDD!$E:$E,"&lt;=4/30/2017",DavenportNDD!$C:$C,"NITROGEN, TOTAL (AS N)",DavenportNDD!$G:$G,"LBS/DAY",DavenportNDD!$H:$H,"RAW WASTE")</f>
        <v>50</v>
      </c>
      <c r="F16" s="90">
        <f>AVERAGEIFS(DavenportNDD!$F:$F,DavenportNDD!$E:$E,"&gt;=5/1/2016",DavenportNDD!$E:$E,"&lt;=4/30/2017",(DavenportNDD!$C:$C),("NITROGEN, TOTAL (AS N)"),(DavenportNDD!$H:$H),("RAW WASTE"),(DavenportNDD!$G:$G),("LBS/DAY"))</f>
        <v>7755.9978583980028</v>
      </c>
      <c r="G16" s="90">
        <f>SUMIFS(DavenportNDD!$F:$F,DavenportNDD!$E:$E,"&gt;=5/1/2016",DavenportNDD!$E:$E,"&lt;=4/30/2017",(DavenportNDD!$C:$C),("NITROGEN, TOTAL (AS N)"),(DavenportNDD!$H:$H),("RAW WASTE"),(DavenportNDD!$G:$G),("LBS/DAY"))</f>
        <v>387799.89291990013</v>
      </c>
      <c r="H16" s="91">
        <f>F16*365</f>
        <v>2830939.2183152712</v>
      </c>
      <c r="I16" s="88">
        <f>COUNTIFS(DavenportNDD!$E:$E,"&gt;=5/1/2016",DavenportNDD!$E:$E,"&lt;=4/30/2017",DavenportNDD!$C:$C,"NITROGEN, TOTAL (AS N)",DavenportNDD!$G:$G,"MG/L",DavenportNDD!$H:$H,"FINAL EFFLUENT")</f>
        <v>50</v>
      </c>
      <c r="J16" s="89">
        <f>AVERAGEIFS(DavenportNDD!$F:$F,DavenportNDD!$E:$E,"&gt;=5/1/2016",DavenportNDD!$E:$E,"&lt;=4/30/2017",(DavenportNDD!$C:$C),("NITROGEN, TOTAL (AS N)"),(DavenportNDD!$H:$H),("FINAL EFFLUENT"),(DavenportNDD!$G:$G),("MG/L"))</f>
        <v>29.860719991999996</v>
      </c>
      <c r="K16" s="88">
        <f>COUNTIFS(DavenportNDD!$E:$E,"&gt;=5/1/2016",DavenportNDD!$E:$E,"&lt;=4/30/2017",DavenportNDD!$C:$C,"NITROGEN, TOTAL (AS N)",DavenportNDD!$G:$G,"LBS/DAY",DavenportNDD!$H:$H,"FINAL EFFLUENT")</f>
        <v>50</v>
      </c>
      <c r="L16" s="90">
        <f>AVERAGEIFS((DavenportNDD!$F:$F),DavenportNDD!$E:$E,"&gt;=5/1/2016",DavenportNDD!$E:$E,"&lt;=4/30/2017",(DavenportNDD!$C:$C),("NITROGEN, TOTAL (AS N)"),(DavenportNDD!$H:$H),("FINAL EFFLUENT"),(DavenportNDD!$G:$G),("LBS/DAY"))</f>
        <v>7512.0511536900012</v>
      </c>
      <c r="M16" s="90">
        <f>SUMIFS(DavenportNDD!$F:$F,DavenportNDD!$E:$E,"&gt;=5/1/2016",DavenportNDD!$E:$E,"&lt;=4/30/2017",(DavenportNDD!$C:$C),("NITROGEN, TOTAL (AS N)"),(DavenportNDD!$H:$H),("FINAL EFFLUENT"),(DavenportNDD!$G:$G),("LBS/DAY"))</f>
        <v>375602.55768450006</v>
      </c>
      <c r="N16" s="91">
        <f>L16*365</f>
        <v>2741898.6710968507</v>
      </c>
      <c r="O16" s="92">
        <f>((D16-J16))/D16</f>
        <v>5.1096351632666501E-2</v>
      </c>
      <c r="P16" s="93">
        <f>((F16-L16))/F16</f>
        <v>3.1452652406790196E-2</v>
      </c>
      <c r="Q16" s="94">
        <f>(F16-L16)*365</f>
        <v>89040.547218420572</v>
      </c>
    </row>
    <row r="17" spans="1:17" s="44" customFormat="1" ht="5.25" customHeight="1" x14ac:dyDescent="0.2">
      <c r="A17" s="217"/>
      <c r="B17" s="95"/>
      <c r="C17" s="96"/>
      <c r="D17" s="97"/>
      <c r="E17" s="96"/>
      <c r="F17" s="99"/>
      <c r="G17" s="99"/>
      <c r="H17" s="99"/>
      <c r="I17" s="96"/>
      <c r="J17" s="97"/>
      <c r="K17" s="96"/>
      <c r="L17" s="99"/>
      <c r="M17" s="99"/>
      <c r="N17" s="99"/>
      <c r="O17" s="100"/>
      <c r="P17" s="100"/>
      <c r="Q17" s="101"/>
    </row>
    <row r="18" spans="1:17" s="112" customFormat="1" ht="11.25" customHeight="1" x14ac:dyDescent="0.2">
      <c r="A18" s="217"/>
      <c r="B18" s="102" t="s">
        <v>54</v>
      </c>
      <c r="C18" s="103">
        <f>COUNTIFS(DavenportNDD!$E:$E,"&gt;=1/1/2017",DavenportNDD!$E:$E,"&lt;=12/31/2017",DavenportNDD!$C:$C,"NITROGEN, TOTAL (AS N)",DavenportNDD!$G:$G,"MG/L",DavenportNDD!$H:$H,"RAW WASTE")</f>
        <v>46</v>
      </c>
      <c r="D18" s="104">
        <f>AVERAGEIFS(DavenportNDD!$F:$F,DavenportNDD!$E:$E,"&gt;=1/1/2017",DavenportNDD!$E:$E,"&lt;=12/31/2017",(DavenportNDD!$C:$C),("NITROGEN, TOTAL (AS N)"),(DavenportNDD!$H:$H),("RAW WASTE"),(DavenportNDD!$G:$G),("MG/L"))</f>
        <v>37.957209345652188</v>
      </c>
      <c r="E18" s="103">
        <f>COUNTIFS(DavenportNDD!$E:$E,"&gt;=1/1/2017",DavenportNDD!$E:$E,"&lt;=12/31/2017",DavenportNDD!$C:$C,"NITROGEN, TOTAL (AS N)",DavenportNDD!$G:$G,"LBS/DAY",DavenportNDD!$H:$H,"RAW WASTE")</f>
        <v>46</v>
      </c>
      <c r="F18" s="105">
        <f>AVERAGEIFS(DavenportNDD!$F:$F,DavenportNDD!$E:$E,"&gt;=1/1/2017",DavenportNDD!$E:$E,"&lt;=12/31/2017",(DavenportNDD!$C:$C),("NITROGEN, TOTAL (AS N)"),(DavenportNDD!$H:$H),("RAW WASTE"),(DavenportNDD!$G:$G),("LBS/DAY"))</f>
        <v>7792.5586107391309</v>
      </c>
      <c r="G18" s="105">
        <f>SUMIFS(DavenportNDD!$F:$F,DavenportNDD!$E:$E,"&gt;=1/1/2017",DavenportNDD!$E:$E,"&lt;=12/31/2017",(DavenportNDD!$C:$C),("NITROGEN, TOTAL (AS N)"),(DavenportNDD!$H:$H),("RAW WASTE"),(DavenportNDD!$G:$G),("LBS/DAY"))</f>
        <v>358457.69609400001</v>
      </c>
      <c r="H18" s="106">
        <f>F18*365</f>
        <v>2844283.892919783</v>
      </c>
      <c r="I18" s="103">
        <f>COUNTIFS(DavenportNDD!$E:$E,"&gt;=1/1/2017",DavenportNDD!$E:$E,"&lt;=12/31/2017",DavenportNDD!$C:$C,"NITROGEN, TOTAL (AS N)",DavenportNDD!$G:$G,"MG/L",DavenportNDD!$H:$H,"FINAL EFFLUENT")</f>
        <v>46</v>
      </c>
      <c r="J18" s="107">
        <f>AVERAGEIFS(DavenportNDD!$F:$F,DavenportNDD!$E:$E,"&gt;=1/1/2017",DavenportNDD!$E:$E,"&lt;=12/31/2017",(DavenportNDD!$C:$C),("NITROGEN, TOTAL (AS N)"),(DavenportNDD!$H:$H),("FINAL EFFLUENT"),(DavenportNDD!$G:$G),("MG/L"))</f>
        <v>32.031999999999982</v>
      </c>
      <c r="K18" s="103">
        <f>COUNTIFS(DavenportNDD!$E:$E,"&gt;=1/1/2017",DavenportNDD!$E:$E,"&lt;=12/31/2017",DavenportNDD!$C:$C,"NITROGEN, TOTAL (AS N)",DavenportNDD!$G:$G,"LBS/DAY",DavenportNDD!$H:$H,"FINAL EFFLUENT")</f>
        <v>46</v>
      </c>
      <c r="L18" s="123">
        <f>AVERAGEIFS((DavenportNDD!$F:$F),DavenportNDD!$E:$E,"&gt;=1/1/2017",DavenportNDD!$E:$E,"&lt;=12/31/2017",(DavenportNDD!$C:$C),("NITROGEN, TOTAL (AS N)"),(DavenportNDD!$H:$H),("FINAL EFFLUENT"),(DavenportNDD!$G:$G),("LBS/DAY"))</f>
        <v>7080.9495067826101</v>
      </c>
      <c r="M18" s="105">
        <f>SUMIFS(DavenportNDD!$F:$F,DavenportNDD!$E:$E,"&gt;=1/1/2017",DavenportNDD!$E:$E,"&lt;=12/31/2017",(DavenportNDD!$C:$C),("NITROGEN, TOTAL (AS N)"),(DavenportNDD!$H:$H),("FINAL EFFLUENT"),(DavenportNDD!$G:$G),("LBS/DAY"))</f>
        <v>325723.67731200007</v>
      </c>
      <c r="N18" s="108">
        <f>L18*365</f>
        <v>2584546.5699756527</v>
      </c>
      <c r="O18" s="109">
        <f>((D18-J18))/D18</f>
        <v>0.15610234387083333</v>
      </c>
      <c r="P18" s="110">
        <f>((F18-L18))/F18</f>
        <v>9.1319057000846096E-2</v>
      </c>
      <c r="Q18" s="111">
        <f>(F18-L18)*365</f>
        <v>259737.32294413011</v>
      </c>
    </row>
    <row r="19" spans="1:17" s="44" customFormat="1" ht="11.25" customHeight="1" x14ac:dyDescent="0.2">
      <c r="A19" s="217"/>
      <c r="B19" s="169" t="s">
        <v>55</v>
      </c>
      <c r="C19" s="124">
        <f>COUNTIFS(DavenportNDD!$E:$E,"&gt;=5/1/2017",DavenportNDD!$E:$E,"&lt;=4/30/2018",DavenportNDD!$C:$C,"NITROGEN, TOTAL (AS N)",DavenportNDD!$G:$G,"MG/L",DavenportNDD!$H:$H,"RAW WASTE")</f>
        <v>47</v>
      </c>
      <c r="D19" s="125">
        <f>AVERAGEIFS(DavenportNDD!$F:$F,DavenportNDD!$E:$E,"&gt;=5/1/2017",DavenportNDD!$E:$E,"&lt;=4/30/2018",(DavenportNDD!$C:$C),("NITROGEN, TOTAL (AS N)"),(DavenportNDD!$H:$H),("RAW WASTE"),(DavenportNDD!$G:$G),("MG/L"))</f>
        <v>39.881495853191495</v>
      </c>
      <c r="E19" s="124">
        <f>COUNTIFS(DavenportNDD!$E:$E,"&gt;=5/1/2017",DavenportNDD!$E:$E,"&lt;=4/30/2018",DavenportNDD!$C:$C,"NITROGEN, TOTAL (AS N)",DavenportNDD!$G:$G,"LBS/DAY",DavenportNDD!$H:$H,"RAW WASTE")</f>
        <v>47</v>
      </c>
      <c r="F19" s="126">
        <f>AVERAGEIFS(DavenportNDD!$F:$F,DavenportNDD!$E:$E,"&gt;=5/1/2017",DavenportNDD!$E:$E,"&lt;=4/30/2018",(DavenportNDD!$C:$C),("NITROGEN, TOTAL (AS N)"),(DavenportNDD!$H:$H),("RAW WASTE"),(DavenportNDD!$G:$G),("LBS/DAY"))</f>
        <v>7805.2227524553182</v>
      </c>
      <c r="G19" s="126">
        <f>SUMIFS(DavenportNDD!$F:$F,DavenportNDD!$E:$E,"&gt;=5/1/2017",DavenportNDD!$E:$E,"&lt;=4/30/2018",(DavenportNDD!$C:$C),("NITROGEN, TOTAL (AS N)"),(DavenportNDD!$H:$H),("RAW WASTE"),(DavenportNDD!$G:$G),("LBS/DAY"))</f>
        <v>366845.46936539997</v>
      </c>
      <c r="H19" s="127">
        <f>F19*365</f>
        <v>2848906.3046461912</v>
      </c>
      <c r="I19" s="124">
        <f>COUNTIFS(DavenportNDD!$E:$E,"&gt;=5/1/2017",DavenportNDD!$E:$E,"&lt;=4/30/2018",DavenportNDD!$C:$C,"NITROGEN, TOTAL (AS N)",DavenportNDD!$G:$G,"MG/L",DavenportNDD!$H:$H,"FINAL EFFLUENT")</f>
        <v>47</v>
      </c>
      <c r="J19" s="125">
        <f>AVERAGEIFS(DavenportNDD!$F:$F,DavenportNDD!$E:$E,"&gt;=5/1/2017",DavenportNDD!$E:$E,"&lt;=4/30/2018",(DavenportNDD!$C:$C),("NITROGEN, TOTAL (AS N)"),(DavenportNDD!$H:$H),("FINAL EFFLUENT"),(DavenportNDD!$G:$G),("MG/L"))</f>
        <v>33.528957446808498</v>
      </c>
      <c r="K19" s="124">
        <f>COUNTIFS(DavenportNDD!$E:$E,"&gt;=5/1/2017",DavenportNDD!$E:$E,"&lt;=4/30/2018",DavenportNDD!$C:$C,"NITROGEN, TOTAL (AS N)",DavenportNDD!$G:$G,"LBS/DAY",DavenportNDD!$H:$H,"FINAL EFFLUENT")</f>
        <v>47</v>
      </c>
      <c r="L19" s="126">
        <f>AVERAGEIFS((DavenportNDD!$F:$F),DavenportNDD!$E:$E,"&gt;=5/1/2017",DavenportNDD!$E:$E,"&lt;=4/30/2018",(DavenportNDD!$C:$C),("NITROGEN, TOTAL (AS N)"),(DavenportNDD!$H:$H),("FINAL EFFLUENT"),(DavenportNDD!$G:$G),("LBS/DAY"))</f>
        <v>7242.7339917191493</v>
      </c>
      <c r="M19" s="126">
        <f>SUMIFS(DavenportNDD!$F:$F,DavenportNDD!$E:$E,"&gt;=5/1/2017",DavenportNDD!$E:$E,"&lt;=4/30/2018",(DavenportNDD!$C:$C),("NITROGEN, TOTAL (AS N)"),(DavenportNDD!$H:$H),("FINAL EFFLUENT"),(DavenportNDD!$G:$G),("LBS/DAY"))</f>
        <v>340408.49761080003</v>
      </c>
      <c r="N19" s="127">
        <f>L19*365</f>
        <v>2643597.9069774896</v>
      </c>
      <c r="O19" s="128">
        <f>((D19-J19))/D19</f>
        <v>0.15928535955039005</v>
      </c>
      <c r="P19" s="129">
        <f>((F19-L19))/F19</f>
        <v>7.2065689676726344E-2</v>
      </c>
      <c r="Q19" s="130">
        <f>(F19-L19)*365</f>
        <v>205308.39766870163</v>
      </c>
    </row>
    <row r="20" spans="1:17" s="44" customFormat="1" ht="5.25" customHeight="1" x14ac:dyDescent="0.2">
      <c r="A20" s="217"/>
      <c r="B20" s="95"/>
      <c r="C20" s="96"/>
      <c r="D20" s="97"/>
      <c r="E20" s="96"/>
      <c r="F20" s="98"/>
      <c r="G20" s="99"/>
      <c r="H20" s="99"/>
      <c r="I20" s="96"/>
      <c r="J20" s="97"/>
      <c r="K20" s="96"/>
      <c r="L20" s="98"/>
      <c r="M20" s="99"/>
      <c r="N20" s="99"/>
      <c r="O20" s="100"/>
      <c r="P20" s="100"/>
      <c r="Q20" s="101"/>
    </row>
    <row r="21" spans="1:17" s="156" customFormat="1" ht="11.25" customHeight="1" x14ac:dyDescent="0.2">
      <c r="A21" s="217"/>
      <c r="B21" s="144" t="s">
        <v>60</v>
      </c>
      <c r="C21" s="145">
        <f>COUNTIFS(DavenportNDD!$E:$E,"&gt;=1/1/2018",DavenportNDD!$E:$E,"&lt;=12/31/2018",DavenportNDD!$C:$C,"NITROGEN, TOTAL (AS N)",DavenportNDD!$G:$G,"MG/L",DavenportNDD!$H:$H,"RAW WASTE")</f>
        <v>17</v>
      </c>
      <c r="D21" s="146">
        <f>AVERAGEIFS(DavenportNDD!$F:$F,DavenportNDD!$E:$E,"&gt;=1/1/2018",DavenportNDD!$E:$E,"&lt;=12/31/2018",(DavenportNDD!$C:$C),("NITROGEN, TOTAL (AS N)"),(DavenportNDD!$H:$H),("RAW WASTE"),(DavenportNDD!$G:$G),("MG/L"))</f>
        <v>37.195953082352943</v>
      </c>
      <c r="E21" s="145">
        <f>COUNTIFS(DavenportNDD!$E:$E,"&gt;=1/1/2018",DavenportNDD!$E:$E,"&lt;=12/31/2018",DavenportNDD!$C:$C,"NITROGEN, TOTAL (AS N)",DavenportNDD!$G:$G,"LBS/DAY",DavenportNDD!$H:$H,"RAW WASTE")</f>
        <v>17</v>
      </c>
      <c r="F21" s="148">
        <f>AVERAGEIFS(DavenportNDD!$F:$F,DavenportNDD!$E:$E,"&gt;=1/1/2018",DavenportNDD!$E:$E,"&lt;=12/31/2018",(DavenportNDD!$C:$C),("NITROGEN, TOTAL (AS N)"),(DavenportNDD!$H:$H),("RAW WASTE"),(DavenportNDD!$G:$G),("LBS/DAY"))</f>
        <v>7112.3876216117651</v>
      </c>
      <c r="G21" s="148">
        <f>SUMIFS(DavenportNDD!$F:$F,DavenportNDD!$E:$E,"&gt;=1/1/2018",DavenportNDD!$E:$E,"&lt;=12/31/2018",(DavenportNDD!$C:$C),("NITROGEN, TOTAL (AS N)"),(DavenportNDD!$H:$H),("RAW WASTE"),(DavenportNDD!$G:$G),("LBS/DAY"))</f>
        <v>120910.58956740001</v>
      </c>
      <c r="H21" s="149">
        <f>F21*365</f>
        <v>2596021.4818882942</v>
      </c>
      <c r="I21" s="145">
        <f>COUNTIFS(DavenportNDD!$E:$E,"&gt;=1/1/2018",DavenportNDD!$E:$E,"&lt;=12/31/2018",DavenportNDD!$C:$C,"NITROGEN, TOTAL (AS N)",DavenportNDD!$G:$G,"MG/L",DavenportNDD!$H:$H,"FINAL EFFLUENT")</f>
        <v>17</v>
      </c>
      <c r="J21" s="150">
        <f>AVERAGEIFS(DavenportNDD!$F:$F,DavenportNDD!$E:$E,"&gt;=1/1/2018",DavenportNDD!$E:$E,"&lt;=12/31/2018",(DavenportNDD!$C:$C),("NITROGEN, TOTAL (AS N)"),(DavenportNDD!$H:$H),("FINAL EFFLUENT"),(DavenportNDD!$G:$G),("MG/L"))</f>
        <v>33.924470588235295</v>
      </c>
      <c r="K21" s="145">
        <f>COUNTIFS(DavenportNDD!$E:$E,"&gt;=1/1/2018",DavenportNDD!$E:$E,"&lt;=12/31/2018",DavenportNDD!$C:$C,"NITROGEN, TOTAL (AS N)",DavenportNDD!$G:$G,"LBS/DAY",DavenportNDD!$H:$H,"FINAL EFFLUENT")</f>
        <v>17</v>
      </c>
      <c r="L21" s="170">
        <f>AVERAGEIFS((DavenportNDD!$F:$F),DavenportNDD!$E:$E,"&gt;=1/1/2018",DavenportNDD!$E:$E,"&lt;=12/31/2018",(DavenportNDD!$C:$C),("NITROGEN, TOTAL (AS N)"),(DavenportNDD!$H:$H),("FINAL EFFLUENT"),(DavenportNDD!$G:$G),("LBS/DAY"))</f>
        <v>7336.8616700470575</v>
      </c>
      <c r="M21" s="148">
        <f>SUMIFS(DavenportNDD!$F:$F,DavenportNDD!$E:$E,"&gt;=1/1/2018",DavenportNDD!$E:$E,"&lt;=12/31/2018",(DavenportNDD!$C:$C),("NITROGEN, TOTAL (AS N)"),(DavenportNDD!$H:$H),("FINAL EFFLUENT"),(DavenportNDD!$G:$G),("LBS/DAY"))</f>
        <v>124726.64839079998</v>
      </c>
      <c r="N21" s="152">
        <f>L21*365</f>
        <v>2677954.509567176</v>
      </c>
      <c r="O21" s="153">
        <f>((D21-J21))/D21</f>
        <v>8.7952646000883206E-2</v>
      </c>
      <c r="P21" s="154">
        <f>((F21-L21))/F21</f>
        <v>-3.1560997568974382E-2</v>
      </c>
      <c r="Q21" s="155">
        <f>(F21-L21)*365</f>
        <v>-81933.027678881728</v>
      </c>
    </row>
    <row r="22" spans="1:17" s="44" customFormat="1" ht="11.25" customHeight="1" thickBot="1" x14ac:dyDescent="0.25">
      <c r="A22" s="218"/>
      <c r="B22" s="157" t="s">
        <v>61</v>
      </c>
      <c r="C22" s="158">
        <f>COUNTIFS(DavenportNDD!$E:$E,"&gt;=5/1/2018",DavenportNDD!$E:$E,"&lt;=4/30/2019",DavenportNDD!$C:$C,"NITROGEN, TOTAL (AS N)",DavenportNDD!$G:$G,"MG/L",DavenportNDD!$H:$H,"RAW WASTE")</f>
        <v>0</v>
      </c>
      <c r="D22" s="159" t="e">
        <f>AVERAGEIFS(DavenportNDD!$F:$F,DavenportNDD!$E:$E,"&gt;=5/1/2018",DavenportNDD!$E:$E,"&lt;=4/30/2019",(DavenportNDD!$C:$C),("NITROGEN, TOTAL (AS N)"),(DavenportNDD!$H:$H),("RAW WASTE"),(DavenportNDD!$G:$G),("MG/L"))</f>
        <v>#DIV/0!</v>
      </c>
      <c r="E22" s="158">
        <f>COUNTIFS(DavenportNDD!$E:$E,"&gt;=5/1/2018",DavenportNDD!$E:$E,"&lt;=4/30/2019",DavenportNDD!$C:$C,"NITROGEN, TOTAL (AS N)",DavenportNDD!$G:$G,"LBS/DAY",DavenportNDD!$H:$H,"RAW WASTE")</f>
        <v>0</v>
      </c>
      <c r="F22" s="160" t="e">
        <f>AVERAGEIFS(DavenportNDD!$F:$F,DavenportNDD!$E:$E,"&gt;=5/1/2018",DavenportNDD!$E:$E,"&lt;=4/30/2019",(DavenportNDD!$C:$C),("NITROGEN, TOTAL (AS N)"),(DavenportNDD!$H:$H),("RAW WASTE"),(DavenportNDD!$G:$G),("LBS/DAY"))</f>
        <v>#DIV/0!</v>
      </c>
      <c r="G22" s="161">
        <f>SUMIFS(DavenportNDD!$F:$F,DavenportNDD!$E:$E,"&gt;=5/1/2018",DavenportNDD!$E:$E,"&lt;=4/30/2019",(DavenportNDD!$C:$C),("NITROGEN, TOTAL (AS N)"),(DavenportNDD!$H:$H),("RAW WASTE"),(DavenportNDD!$G:$G),("LBS/DAY"))</f>
        <v>0</v>
      </c>
      <c r="H22" s="162" t="e">
        <f>F22*365</f>
        <v>#DIV/0!</v>
      </c>
      <c r="I22" s="158">
        <f>COUNTIFS(DavenportNDD!$E:$E,"&gt;=5/1/2018",DavenportNDD!$E:$E,"&lt;=4/30/2019",DavenportNDD!$C:$C,"NITROGEN, TOTAL (AS N)",DavenportNDD!$G:$G,"MG/L",DavenportNDD!$H:$H,"FINAL EFFLUENT")</f>
        <v>0</v>
      </c>
      <c r="J22" s="159" t="e">
        <f>AVERAGEIFS(DavenportNDD!$F:$F,DavenportNDD!$E:$E,"&gt;=5/1/2018",DavenportNDD!$E:$E,"&lt;=4/30/2019",(DavenportNDD!$C:$C),("NITROGEN, TOTAL (AS N)"),(DavenportNDD!$H:$H),("FINAL EFFLUENT"),(DavenportNDD!$G:$G),("MG/L"))</f>
        <v>#DIV/0!</v>
      </c>
      <c r="K22" s="158">
        <f>COUNTIFS(DavenportNDD!$E:$E,"&gt;=5/1/2018",DavenportNDD!$E:$E,"&lt;=4/30/2019",DavenportNDD!$C:$C,"NITROGEN, TOTAL (AS N)",DavenportNDD!$G:$G,"LBS/DAY",DavenportNDD!$H:$H,"FINAL EFFLUENT")</f>
        <v>0</v>
      </c>
      <c r="L22" s="160" t="s">
        <v>62</v>
      </c>
      <c r="M22" s="161">
        <f>SUMIFS(DavenportNDD!$F:$F,DavenportNDD!$E:$E,"&gt;=5/1/2018",DavenportNDD!$E:$E,"&lt;=4/30/2019",(DavenportNDD!$C:$C),("NITROGEN, TOTAL (AS N)"),(DavenportNDD!$H:$H),("FINAL EFFLUENT"),(DavenportNDD!$G:$G),("LBS/DAY"))</f>
        <v>0</v>
      </c>
      <c r="N22" s="162" t="e">
        <f>L22*365</f>
        <v>#VALUE!</v>
      </c>
      <c r="O22" s="163" t="e">
        <f>((D22-J22))/D22</f>
        <v>#DIV/0!</v>
      </c>
      <c r="P22" s="164" t="e">
        <f>((F22-L22))/F22</f>
        <v>#DIV/0!</v>
      </c>
      <c r="Q22" s="165" t="e">
        <f>(F22-L22)*365</f>
        <v>#DIV/0!</v>
      </c>
    </row>
    <row r="23" spans="1:17" s="44" customFormat="1" ht="11.25" customHeight="1" x14ac:dyDescent="0.2">
      <c r="A23" s="119"/>
      <c r="B23" s="95"/>
      <c r="C23" s="96"/>
      <c r="D23" s="97"/>
      <c r="E23" s="96"/>
      <c r="F23" s="97"/>
      <c r="G23" s="99"/>
      <c r="H23" s="99"/>
      <c r="I23" s="96"/>
      <c r="J23" s="97"/>
      <c r="K23" s="96"/>
      <c r="L23" s="97"/>
      <c r="M23" s="99"/>
      <c r="N23" s="99"/>
      <c r="O23" s="100"/>
      <c r="P23" s="166" t="s">
        <v>63</v>
      </c>
      <c r="Q23" s="99">
        <f>_xlfn.STDEV.P(Q13,Q16,Q19)</f>
        <v>178940.33950490927</v>
      </c>
    </row>
    <row r="24" spans="1:17" s="44" customFormat="1" ht="11.25" customHeight="1" x14ac:dyDescent="0.2">
      <c r="A24" s="119"/>
      <c r="B24" s="95"/>
      <c r="C24" s="96"/>
      <c r="D24" s="97"/>
      <c r="E24" s="96"/>
      <c r="F24" s="97"/>
      <c r="G24" s="99"/>
      <c r="H24" s="99"/>
      <c r="I24" s="96"/>
      <c r="J24" s="97"/>
      <c r="K24" s="96"/>
      <c r="L24" s="97"/>
      <c r="M24" s="99"/>
      <c r="N24" s="99"/>
      <c r="O24" s="100"/>
      <c r="P24" s="166" t="s">
        <v>64</v>
      </c>
      <c r="Q24" s="167">
        <f>(Q23/(AVERAGE(Q13,Q16,Q19)))</f>
        <v>0.66478158940291654</v>
      </c>
    </row>
    <row r="25" spans="1:17" s="44" customFormat="1" ht="11.25" customHeight="1" x14ac:dyDescent="0.2">
      <c r="A25" s="119"/>
      <c r="B25" s="95"/>
      <c r="C25" s="96"/>
      <c r="D25" s="97"/>
      <c r="E25" s="96"/>
      <c r="F25" s="97"/>
      <c r="G25" s="99"/>
      <c r="H25" s="99"/>
      <c r="I25" s="96"/>
      <c r="J25" s="97"/>
      <c r="K25" s="96"/>
      <c r="L25" s="97"/>
      <c r="M25" s="99"/>
      <c r="N25" s="99"/>
      <c r="O25" s="100"/>
      <c r="P25" s="166" t="s">
        <v>65</v>
      </c>
      <c r="Q25" s="99">
        <f>_xlfn.STDEV.P(Q12,Q15,Q18)</f>
        <v>120113.80265131354</v>
      </c>
    </row>
    <row r="26" spans="1:17" s="44" customFormat="1" ht="11.25" customHeight="1" x14ac:dyDescent="0.2">
      <c r="A26" s="119"/>
      <c r="B26" s="95"/>
      <c r="C26" s="96"/>
      <c r="D26" s="97"/>
      <c r="E26" s="96"/>
      <c r="F26" s="97"/>
      <c r="G26" s="99"/>
      <c r="H26" s="99"/>
      <c r="I26" s="96"/>
      <c r="J26" s="97"/>
      <c r="K26" s="96"/>
      <c r="L26" s="97"/>
      <c r="M26" s="99"/>
      <c r="N26" s="99"/>
      <c r="O26" s="100"/>
      <c r="P26" s="166" t="s">
        <v>66</v>
      </c>
      <c r="Q26" s="167">
        <f>Q25/(AVERAGE(Q12,Q15,Q18))</f>
        <v>0.34797156900780518</v>
      </c>
    </row>
    <row r="27" spans="1:17" s="44" customFormat="1" ht="11.25" customHeight="1" x14ac:dyDescent="0.2">
      <c r="A27" s="119"/>
      <c r="B27" s="95"/>
      <c r="C27" s="96"/>
      <c r="D27" s="97"/>
      <c r="E27" s="96"/>
      <c r="F27" s="97"/>
      <c r="G27" s="99"/>
      <c r="H27" s="99"/>
      <c r="I27" s="96"/>
      <c r="J27" s="97"/>
      <c r="K27" s="96"/>
      <c r="L27" s="97"/>
      <c r="M27" s="99"/>
      <c r="N27" s="99"/>
      <c r="O27" s="100"/>
      <c r="P27" s="166" t="s">
        <v>67</v>
      </c>
      <c r="Q27" s="168">
        <f>_xlfn.STDEV.P(Q12:Q19)</f>
        <v>157060.21242669283</v>
      </c>
    </row>
    <row r="28" spans="1:17" s="44" customFormat="1" ht="11.25" customHeight="1" x14ac:dyDescent="0.2">
      <c r="A28" s="119"/>
      <c r="B28" s="95"/>
      <c r="C28" s="96"/>
      <c r="D28" s="97"/>
      <c r="E28" s="96"/>
      <c r="F28" s="97"/>
      <c r="G28" s="99"/>
      <c r="H28" s="99"/>
      <c r="I28" s="96"/>
      <c r="J28" s="97"/>
      <c r="K28" s="96"/>
      <c r="L28" s="97"/>
      <c r="M28" s="99"/>
      <c r="N28" s="99"/>
      <c r="O28" s="100"/>
      <c r="P28" s="166" t="s">
        <v>68</v>
      </c>
      <c r="Q28" s="100">
        <f>Q27/(AVERAGE(Q12:Q19))</f>
        <v>0.51130163605310008</v>
      </c>
    </row>
    <row r="29" spans="1:17" s="44" customFormat="1" ht="11.25" customHeight="1" x14ac:dyDescent="0.2">
      <c r="A29" s="119"/>
      <c r="B29" s="95"/>
      <c r="C29" s="96"/>
      <c r="D29" s="97"/>
      <c r="E29" s="96"/>
      <c r="F29" s="98"/>
      <c r="G29" s="99"/>
      <c r="H29" s="99"/>
      <c r="I29" s="96"/>
      <c r="J29" s="97"/>
      <c r="K29" s="96"/>
      <c r="L29" s="98"/>
      <c r="M29" s="99"/>
      <c r="N29" s="99"/>
      <c r="O29" s="100"/>
      <c r="P29" s="100"/>
      <c r="Q29" s="99"/>
    </row>
    <row r="30" spans="1:17" ht="11.25" customHeight="1" thickBot="1" x14ac:dyDescent="0.25"/>
    <row r="31" spans="1:17" ht="11.25" customHeight="1" x14ac:dyDescent="0.2">
      <c r="A31" s="216" t="s">
        <v>39</v>
      </c>
      <c r="B31" s="210" t="s">
        <v>39</v>
      </c>
      <c r="C31" s="213" t="s">
        <v>40</v>
      </c>
      <c r="D31" s="214"/>
      <c r="E31" s="214"/>
      <c r="F31" s="214"/>
      <c r="G31" s="214"/>
      <c r="H31" s="214"/>
      <c r="I31" s="215" t="s">
        <v>50</v>
      </c>
      <c r="J31" s="215"/>
      <c r="K31" s="215"/>
      <c r="L31" s="215"/>
      <c r="M31" s="215"/>
      <c r="N31" s="215"/>
      <c r="O31" s="204" t="s">
        <v>41</v>
      </c>
      <c r="P31" s="205"/>
      <c r="Q31" s="199" t="s">
        <v>28</v>
      </c>
    </row>
    <row r="32" spans="1:17" ht="11.25" customHeight="1" x14ac:dyDescent="0.2">
      <c r="A32" s="217"/>
      <c r="B32" s="211"/>
      <c r="C32" s="201" t="s">
        <v>29</v>
      </c>
      <c r="D32" s="202"/>
      <c r="E32" s="201" t="s">
        <v>30</v>
      </c>
      <c r="F32" s="203"/>
      <c r="G32" s="203"/>
      <c r="H32" s="202"/>
      <c r="I32" s="201" t="s">
        <v>29</v>
      </c>
      <c r="J32" s="202"/>
      <c r="K32" s="201" t="s">
        <v>30</v>
      </c>
      <c r="L32" s="203"/>
      <c r="M32" s="203"/>
      <c r="N32" s="203"/>
      <c r="O32" s="206"/>
      <c r="P32" s="207"/>
      <c r="Q32" s="200"/>
    </row>
    <row r="33" spans="1:17" ht="11.25" customHeight="1" x14ac:dyDescent="0.2">
      <c r="A33" s="217"/>
      <c r="B33" s="212"/>
      <c r="C33" s="6" t="s">
        <v>31</v>
      </c>
      <c r="D33" s="7" t="s">
        <v>32</v>
      </c>
      <c r="E33" s="6" t="s">
        <v>31</v>
      </c>
      <c r="F33" s="8" t="s">
        <v>33</v>
      </c>
      <c r="G33" s="9" t="s">
        <v>34</v>
      </c>
      <c r="H33" s="10" t="s">
        <v>45</v>
      </c>
      <c r="I33" s="6" t="s">
        <v>31</v>
      </c>
      <c r="J33" s="7" t="s">
        <v>32</v>
      </c>
      <c r="K33" s="6" t="s">
        <v>31</v>
      </c>
      <c r="L33" s="8" t="s">
        <v>33</v>
      </c>
      <c r="M33" s="11" t="s">
        <v>35</v>
      </c>
      <c r="N33" s="10" t="s">
        <v>46</v>
      </c>
      <c r="O33" s="12" t="s">
        <v>36</v>
      </c>
      <c r="P33" s="114" t="s">
        <v>37</v>
      </c>
      <c r="Q33" s="33" t="s">
        <v>47</v>
      </c>
    </row>
    <row r="34" spans="1:17" s="21" customFormat="1" ht="11.25" customHeight="1" x14ac:dyDescent="0.2">
      <c r="A34" s="217"/>
      <c r="B34" s="73" t="s">
        <v>38</v>
      </c>
      <c r="C34" s="34">
        <f>COUNTIFS(DavenportNDD!C:C,"PHOSPHORUS, TOTAL (AS P)",DavenportNDD!G:G,"MG/L",DavenportNDD!H:H,"RAW WASTE")</f>
        <v>174</v>
      </c>
      <c r="D34" s="35">
        <f>AVERAGEIFS(DavenportNDD!F:F,(DavenportNDD!C:C),("PHOSPHORUS, TOTAL (AS P)"),(DavenportNDD!H:H),("RAW WASTE"),(DavenportNDD!G:G),("MG/L"))</f>
        <v>3.3644103097701148</v>
      </c>
      <c r="E34" s="36">
        <f>COUNTIFS(DavenportNDD!C:C,"PHOSPHORUS, TOTAL (AS P)",DavenportNDD!G:G,"LBS/DAY",DavenportNDD!H:H,"RAW WASTE")</f>
        <v>174</v>
      </c>
      <c r="F34" s="37">
        <f>AVERAGEIFS(DavenportNDD!F:F,(DavenportNDD!C:C),("PHOSPHORUS, TOTAL (AS P)"),(DavenportNDD!H:H),("RAW WASTE"),(DavenportNDD!G:G),("LBS/DAY"))</f>
        <v>695.80905188333304</v>
      </c>
      <c r="G34" s="38">
        <f>(SUMIFS(DavenportNDD!F:F,(DavenportNDD!C:C),("PHOSPHORUS, TOTAL (AS P)"),(DavenportNDD!H:H),("RAW WASTE"),(DavenportNDD!G:G),("LBS/DAY")))</f>
        <v>121070.77502769996</v>
      </c>
      <c r="H34" s="39">
        <f>F34*365</f>
        <v>253970.30393741655</v>
      </c>
      <c r="I34" s="36">
        <f>COUNTIFS(DavenportNDD!C:C,"PHOSPHORUS, TOTAL (AS P)",DavenportNDD!G:G,"MG/L",DavenportNDD!H:H,"FINAL EFFLUENT")</f>
        <v>174</v>
      </c>
      <c r="J34" s="35">
        <f>(AVERAGEIFS(DavenportNDD!F:F,(DavenportNDD!C:C),("PHOSPHORUS, TOTAL (AS P)"),(DavenportNDD!H:H),("FINAL EFFLUENT"),(DavenportNDD!G:G),("MG/L")))</f>
        <v>1.0472701143678156</v>
      </c>
      <c r="K34" s="36">
        <f>COUNTIFS(DavenportNDD!C:C,"PHOSPHORUS, TOTAL (AS P)",DavenportNDD!G:G,"LBS/DAY",DavenportNDD!H:H,"FINAL EFFLUENT")</f>
        <v>174</v>
      </c>
      <c r="L34" s="37">
        <f>AVERAGEIFS(DavenportNDD!F:F,(DavenportNDD!C:C),("PHOSPHORUS, TOTAL (AS P)"),(DavenportNDD!H:H),("FINAL EFFLUENT"),(DavenportNDD!G:G),("LBS/DAY"))</f>
        <v>239.33561235747129</v>
      </c>
      <c r="M34" s="38">
        <f>SUMIFS(DavenportNDD!F:F,(DavenportNDD!C:C),("PHOSPHORUS, TOTAL (AS P)"),(DavenportNDD!H:H),("FINAL EFFLUENT"),(DavenportNDD!G:G),("LBS/DAY"))</f>
        <v>41644.396550200006</v>
      </c>
      <c r="N34" s="39">
        <f>L34*365</f>
        <v>87357.498510477017</v>
      </c>
      <c r="O34" s="40">
        <f>((D34-J34))/D34</f>
        <v>0.68872104828397873</v>
      </c>
      <c r="P34" s="41">
        <f>((F34-L34))/F34</f>
        <v>0.65603262603487811</v>
      </c>
      <c r="Q34" s="42">
        <f>(F34-L34)*365</f>
        <v>166612.80542693954</v>
      </c>
    </row>
    <row r="35" spans="1:17" s="21" customFormat="1" ht="5.25" customHeight="1" x14ac:dyDescent="0.2">
      <c r="A35" s="217"/>
      <c r="B35" s="73"/>
      <c r="C35" s="13"/>
      <c r="D35" s="14"/>
      <c r="E35" s="15"/>
      <c r="F35" s="16"/>
      <c r="G35" s="17"/>
      <c r="H35" s="18"/>
      <c r="I35" s="15"/>
      <c r="J35" s="14"/>
      <c r="K35" s="15"/>
      <c r="L35" s="16"/>
      <c r="M35" s="16"/>
      <c r="N35" s="18"/>
      <c r="O35" s="19"/>
      <c r="P35" s="20"/>
      <c r="Q35" s="43"/>
    </row>
    <row r="36" spans="1:17" s="44" customFormat="1" ht="11.25" customHeight="1" x14ac:dyDescent="0.2">
      <c r="A36" s="217"/>
      <c r="B36" s="74" t="s">
        <v>51</v>
      </c>
      <c r="C36" s="75">
        <f>COUNTIFS(DavenportNDD!$E:$E,"&gt;=5/1/2014",DavenportNDD!$E:$E,"&lt;=4/30/2015",DavenportNDD!$C:$C,"PHOSPHORUS, TOTAL (AS P)",DavenportNDD!$G:$G,"MG/L",DavenportNDD!$H:$H,"RAW WASTE")</f>
        <v>32</v>
      </c>
      <c r="D36" s="76">
        <f>AVERAGEIFS(DavenportNDD!$F:$F,DavenportNDD!$E:$E,"&gt;=5/1/2014",DavenportNDD!$E:$E,"&lt;=4/30/2015",(DavenportNDD!$C:$C),("PHOSPHORUS, TOTAL (AS P)"),(DavenportNDD!$H:$H),("RAW WASTE"),(DavenportNDD!$G:$G),("MG/L"))</f>
        <v>2.9576251374999996</v>
      </c>
      <c r="E36" s="77">
        <f>COUNTIFS(DavenportNDD!$E:$E,"&gt;=5/1/2014",DavenportNDD!$E:$E,"&lt;=4/30/2015",DavenportNDD!$C:$C,"PHOSPHORUS, TOTAL (AS P)",DavenportNDD!$G:$G,"LBS/DAY",DavenportNDD!$H:$H,"RAW WASTE")</f>
        <v>32</v>
      </c>
      <c r="F36" s="131">
        <f>AVERAGEIFS(DavenportNDD!$F:$F,DavenportNDD!$E:$E,"&gt;=5/1/2014",DavenportNDD!$E:$E,"&lt;=4/30/2015",(DavenportNDD!$C:$C),("PHOSPHORUS, TOTAL (AS P)"),(DavenportNDD!$H:$H),("RAW WASTE"),(DavenportNDD!$G:$G),("LBS/DAY"))</f>
        <v>518.82879375000005</v>
      </c>
      <c r="G36" s="78">
        <f>SUMIFS(DavenportNDD!$F:$F,DavenportNDD!$E:$E,"&gt;=5/1/2014",DavenportNDD!$E:$E,"&lt;=4/30/2015",(DavenportNDD!$C:$C),("PHOSPHORUS, TOTAL (AS P)"),(DavenportNDD!$H:$H),("RAW WASTE"),(DavenportNDD!$G:$G),("LBS/DAY"))</f>
        <v>16602.521400000001</v>
      </c>
      <c r="H36" s="79">
        <f>F36*365</f>
        <v>189372.50971875002</v>
      </c>
      <c r="I36" s="77">
        <f>COUNTIFS(DavenportNDD!$E:$E,"&gt;=5/1/2014",DavenportNDD!$E:$E,"&lt;=4/30/2015",DavenportNDD!$C:$C,"PHOSPHORUS, TOTAL (AS P)",DavenportNDD!$G:$G,"MG/L",DavenportNDD!$H:$H,"FINAL EFFLUENT")</f>
        <v>32</v>
      </c>
      <c r="J36" s="76">
        <f>AVERAGEIFS(DavenportNDD!$F:$F,DavenportNDD!$E:$E,"&gt;=5/1/2014",DavenportNDD!$E:$E,"&lt;=4/30/2015",(DavenportNDD!$C:$C),("PHOSPHORUS, TOTAL (AS P)"),(DavenportNDD!$H:$H),("FINAL EFFLUENT"),(DavenportNDD!$G:$G),("MG/L"))</f>
        <v>2.0656250000000003</v>
      </c>
      <c r="K36" s="77">
        <f>COUNTIFS(DavenportNDD!$E:$E,"&gt;=5/1/2014",DavenportNDD!$E:$E,"&lt;=4/30/2015",DavenportNDD!$C:$C,"PHOSPHORUS, TOTAL (AS P)",DavenportNDD!$G:$G,"LBS/DAY",DavenportNDD!$H:$H,"FINAL EFFLUENT")</f>
        <v>32</v>
      </c>
      <c r="L36" s="131">
        <f>AVERAGEIFS((DavenportNDD!$F:$F),DavenportNDD!$E:$E,"&gt;=5/1/2014",DavenportNDD!$E:$E,"&lt;=4/30/2015",(DavenportNDD!$C:$C),("PHOSPHORUS, TOTAL (AS P)"),(DavenportNDD!$H:$H),("FINAL EFFLUENT"),(DavenportNDD!$G:$G),("LBS/DAY"))</f>
        <v>392.79314999999997</v>
      </c>
      <c r="M36" s="78">
        <f>SUMIFS(DavenportNDD!$F:$F,DavenportNDD!$E:$E,"&gt;=5/1/2014",DavenportNDD!$E:$E,"&lt;=4/30/2015",(DavenportNDD!$C:$C),("PHOSPHORUS, TOTAL (AS P)"),(DavenportNDD!$H:$H),("FINAL EFFLUENT"),(DavenportNDD!$G:$G),("LBS/DAY"))</f>
        <v>12569.380799999999</v>
      </c>
      <c r="N36" s="79">
        <f>L36*365</f>
        <v>143369.49974999999</v>
      </c>
      <c r="O36" s="80">
        <f>((D36-J36))/D36</f>
        <v>0.30159337171917022</v>
      </c>
      <c r="P36" s="81">
        <f>((F36-L36))/F36</f>
        <v>0.24292337909590059</v>
      </c>
      <c r="Q36" s="82">
        <f>(F36-L36)*365</f>
        <v>46003.009968750026</v>
      </c>
    </row>
    <row r="37" spans="1:17" s="21" customFormat="1" ht="5.25" customHeight="1" x14ac:dyDescent="0.2">
      <c r="A37" s="217"/>
      <c r="B37" s="73"/>
      <c r="C37" s="13"/>
      <c r="D37" s="14"/>
      <c r="E37" s="15"/>
      <c r="F37" s="16"/>
      <c r="G37" s="17"/>
      <c r="H37" s="18"/>
      <c r="I37" s="15"/>
      <c r="J37" s="14"/>
      <c r="K37" s="15"/>
      <c r="L37" s="16"/>
      <c r="M37" s="16"/>
      <c r="N37" s="18"/>
      <c r="O37" s="19"/>
      <c r="P37" s="20"/>
      <c r="Q37" s="43"/>
    </row>
    <row r="38" spans="1:17" s="54" customFormat="1" ht="11.25" customHeight="1" x14ac:dyDescent="0.2">
      <c r="A38" s="217"/>
      <c r="B38" s="83" t="s">
        <v>48</v>
      </c>
      <c r="C38" s="45">
        <f>COUNTIFS(DavenportNDD!$E:$E,"&gt;=1/1/2015",DavenportNDD!$E:$E,"&lt;=12/31/2015",DavenportNDD!$C:$C,"PHOSPHORUS, TOTAL (AS P)",DavenportNDD!$G:$G,"MG/L",DavenportNDD!$H:$H,"RAW WASTE")</f>
        <v>50</v>
      </c>
      <c r="D38" s="46">
        <f>AVERAGEIFS(DavenportNDD!$F:$F,DavenportNDD!$E:$E,"&gt;=1/1/2015",DavenportNDD!$E:$E,"&lt;=12/31/2015",(DavenportNDD!$C:$C),("PHOSPHORUS, TOTAL (AS P)"),(DavenportNDD!$H:$H),("RAW WASTE"),(DavenportNDD!$G:$G),("MG/L"))</f>
        <v>2.4791067039999999</v>
      </c>
      <c r="E38" s="45">
        <f>COUNTIFS(DavenportNDD!$E:$E,"&gt;=1/1/2015",DavenportNDD!$E:$E,"&lt;=12/31/2015",DavenportNDD!$C:$C,"PHOSPHORUS, TOTAL (AS P)",DavenportNDD!$G:$G,"LBS/DAY",DavenportNDD!$H:$H,"RAW WASTE")</f>
        <v>50</v>
      </c>
      <c r="F38" s="132">
        <f>AVERAGEIFS(DavenportNDD!$F:$F,DavenportNDD!$E:$E,"&gt;=1/1/2015",DavenportNDD!$E:$E,"&lt;=12/31/2015",(DavenportNDD!$C:$C),("PHOSPHORUS, TOTAL (AS P)"),(DavenportNDD!$H:$H),("RAW WASTE"),(DavenportNDD!$G:$G),("LBS/DAY"))</f>
        <v>458.12203798399997</v>
      </c>
      <c r="G38" s="47">
        <f>SUMIFS(DavenportNDD!$F:$F,DavenportNDD!$E:$E,"&gt;=1/1/2015",DavenportNDD!$E:$E,"&lt;=12/31/2015",(DavenportNDD!$C:$C),("PHOSPHORUS, TOTAL (AS P)"),(DavenportNDD!$H:$H),("RAW WASTE"),(DavenportNDD!$G:$G),("LBS/DAY"))</f>
        <v>22906.101899199999</v>
      </c>
      <c r="H38" s="48">
        <f>F38*365</f>
        <v>167214.54386415999</v>
      </c>
      <c r="I38" s="45">
        <f>COUNTIFS(DavenportNDD!$E:$E,"&gt;=1/1/2015",DavenportNDD!$E:$E,"&lt;=12/31/2015",DavenportNDD!$C:$C,"PHOSPHORUS, TOTAL (AS P)",DavenportNDD!$G:$G,"MG/L",DavenportNDD!$H:$H,"FINAL EFFLUENT")</f>
        <v>50</v>
      </c>
      <c r="J38" s="49">
        <f>AVERAGEIFS(DavenportNDD!$F:$F,DavenportNDD!$E:$E,"&gt;=1/1/2015",DavenportNDD!$E:$E,"&lt;=12/31/2015",(DavenportNDD!$C:$C),("PHOSPHORUS, TOTAL (AS P)"),(DavenportNDD!$H:$H),("FINAL EFFLUENT"),(DavenportNDD!$G:$G),("MG/L"))</f>
        <v>1.1203999980000001</v>
      </c>
      <c r="K38" s="45">
        <f>COUNTIFS(DavenportNDD!$E:$E,"&gt;=1/1/2015",DavenportNDD!$E:$E,"&lt;=12/31/2015",DavenportNDD!$C:$C,"PHOSPHORUS, TOTAL (AS P)",DavenportNDD!$G:$G,"LBS/DAY",DavenportNDD!$H:$H,"FINAL EFFLUENT")</f>
        <v>50</v>
      </c>
      <c r="L38" s="140">
        <f>AVERAGEIFS((DavenportNDD!$F:$F),DavenportNDD!$E:$E,"&gt;=1/1/2015",DavenportNDD!$E:$E,"&lt;=12/31/2015",(DavenportNDD!$C:$C),("PHOSPHORUS, TOTAL (AS P)"),(DavenportNDD!$H:$H),("FINAL EFFLUENT"),(DavenportNDD!$G:$G),("LBS/DAY"))</f>
        <v>224.96032439000001</v>
      </c>
      <c r="M38" s="47">
        <f>SUMIFS(DavenportNDD!$F:$F,DavenportNDD!$E:$E,"&gt;=1/1/2015",DavenportNDD!$E:$E,"&lt;=12/31/2015",(DavenportNDD!$C:$C),("PHOSPHORUS, TOTAL (AS P)"),(DavenportNDD!$H:$H),("FINAL EFFLUENT"),(DavenportNDD!$G:$G),("LBS/DAY"))</f>
        <v>11248.016219500001</v>
      </c>
      <c r="N38" s="50">
        <f>L38*365</f>
        <v>82110.518402350004</v>
      </c>
      <c r="O38" s="51">
        <f>((D38-J38))/D38</f>
        <v>0.54806301955770909</v>
      </c>
      <c r="P38" s="52">
        <f>((F38-L38))/F38</f>
        <v>0.50895109656816639</v>
      </c>
      <c r="Q38" s="53">
        <f>(F38-L38)*365</f>
        <v>85104.025461809986</v>
      </c>
    </row>
    <row r="39" spans="1:17" s="44" customFormat="1" ht="12" customHeight="1" x14ac:dyDescent="0.2">
      <c r="A39" s="217"/>
      <c r="B39" s="84" t="s">
        <v>52</v>
      </c>
      <c r="C39" s="55">
        <f>COUNTIFS(DavenportNDD!$E:$E,"&gt;=5/1/2015",DavenportNDD!$E:$E,"&lt;=4/30/2016",DavenportNDD!$C:$C,"PHOSPHORUS, TOTAL (AS P)",DavenportNDD!$G:$G,"MG/L",DavenportNDD!$H:$H,"RAW WASTE")</f>
        <v>49</v>
      </c>
      <c r="D39" s="56">
        <f>AVERAGEIFS(DavenportNDD!$F:$F,DavenportNDD!$E:$E,"&gt;=5/1/2015",DavenportNDD!$E:$E,"&lt;=4/30/2016",(DavenportNDD!$C:$C),("PHOSPHORUS, TOTAL (AS P)"),(DavenportNDD!$H:$H),("RAW WASTE"),(DavenportNDD!$G:$G),("MG/L"))</f>
        <v>1.9266553244897966</v>
      </c>
      <c r="E39" s="55">
        <f>COUNTIFS(DavenportNDD!$E:$E,"&gt;=5/1/2015",DavenportNDD!$E:$E,"&lt;=4/30/2016",DavenportNDD!$C:$C,"PHOSPHORUS, TOTAL (AS P)",DavenportNDD!$G:$G,"LBS/DAY",DavenportNDD!$H:$H,"RAW WASTE")</f>
        <v>49</v>
      </c>
      <c r="F39" s="133">
        <f>AVERAGEIFS(DavenportNDD!$F:$F,DavenportNDD!$E:$E,"&gt;=5/1/2015",DavenportNDD!$E:$E,"&lt;=4/30/2016",(DavenportNDD!$C:$C),("PHOSPHORUS, TOTAL (AS P)"),(DavenportNDD!$H:$H),("RAW WASTE"),(DavenportNDD!$G:$G),("LBS/DAY"))</f>
        <v>427.38976772857137</v>
      </c>
      <c r="G39" s="57">
        <f>SUMIFS(DavenportNDD!$F:$F,DavenportNDD!$E:$E,"&gt;=5/1/2015",DavenportNDD!$E:$E,"&lt;=4/30/2016",(DavenportNDD!$C:$C),("PHOSPHORUS, TOTAL (AS P)"),(DavenportNDD!$H:$H),("RAW WASTE"),(DavenportNDD!$G:$G),("LBS/DAY"))</f>
        <v>20942.098618699998</v>
      </c>
      <c r="H39" s="58">
        <f>F39*365</f>
        <v>155997.26522092856</v>
      </c>
      <c r="I39" s="55">
        <f>COUNTIFS(DavenportNDD!$E:$E,"&gt;=5/1/2015",DavenportNDD!$E:$E,"&lt;=4/30/2016",DavenportNDD!$C:$C,"PHOSPHORUS, TOTAL (AS P)",DavenportNDD!$G:$G,"MG/L",DavenportNDD!$H:$H,"FINAL EFFLUENT")</f>
        <v>49</v>
      </c>
      <c r="J39" s="56">
        <f>AVERAGEIFS(DavenportNDD!$F:$F,DavenportNDD!$E:$E,"&gt;=5/1/2015",DavenportNDD!$E:$E,"&lt;=4/30/2016",(DavenportNDD!$C:$C),("PHOSPHORUS, TOTAL (AS P)"),(DavenportNDD!$H:$H),("FINAL EFFLUENT"),(DavenportNDD!$G:$G),("MG/L"))</f>
        <v>0.53755101836734687</v>
      </c>
      <c r="K39" s="55">
        <f>COUNTIFS(DavenportNDD!$E:$E,"&gt;=5/1/2015",DavenportNDD!$E:$E,"&lt;=4/30/2016",DavenportNDD!$C:$C,"PHOSPHORUS, TOTAL (AS P)",DavenportNDD!$G:$G,"LBS/DAY",DavenportNDD!$H:$H,"FINAL EFFLUENT")</f>
        <v>49</v>
      </c>
      <c r="L39" s="133">
        <f>AVERAGEIFS((DavenportNDD!$F:$F),DavenportNDD!$E:$E,"&gt;=5/1/2015",DavenportNDD!$E:$E,"&lt;=4/30/2016",(DavenportNDD!$C:$C),("PHOSPHORUS, TOTAL (AS P)"),(DavenportNDD!$H:$H),("FINAL EFFLUENT"),(DavenportNDD!$G:$G),("LBS/DAY"))</f>
        <v>137.28269752244898</v>
      </c>
      <c r="M39" s="57">
        <f>SUMIFS(DavenportNDD!$F:$F,DavenportNDD!$E:$E,"&gt;=5/1/2015",DavenportNDD!$E:$E,"&lt;=4/30/2016",(DavenportNDD!$C:$C),("PHOSPHORUS, TOTAL (AS P)"),(DavenportNDD!$H:$H),("FINAL EFFLUENT"),(DavenportNDD!$G:$G),("LBS/DAY"))</f>
        <v>6726.8521786000001</v>
      </c>
      <c r="N39" s="58">
        <f>L39*365</f>
        <v>50108.184595693878</v>
      </c>
      <c r="O39" s="59">
        <f>((D39-J39))/D39</f>
        <v>0.72099263862377805</v>
      </c>
      <c r="P39" s="60">
        <f>((F39-L39))/F39</f>
        <v>0.67878805743979553</v>
      </c>
      <c r="Q39" s="61">
        <f>(F39-L39)*365</f>
        <v>105889.08062523467</v>
      </c>
    </row>
    <row r="40" spans="1:17" s="71" customFormat="1" ht="5.25" customHeight="1" x14ac:dyDescent="0.2">
      <c r="A40" s="217"/>
      <c r="B40" s="85"/>
      <c r="C40" s="62"/>
      <c r="D40" s="63"/>
      <c r="E40" s="62"/>
      <c r="F40" s="134"/>
      <c r="G40" s="64"/>
      <c r="H40" s="65"/>
      <c r="I40" s="62"/>
      <c r="J40" s="66"/>
      <c r="K40" s="62"/>
      <c r="L40" s="141"/>
      <c r="M40" s="64"/>
      <c r="N40" s="67"/>
      <c r="O40" s="68"/>
      <c r="P40" s="69"/>
      <c r="Q40" s="70"/>
    </row>
    <row r="41" spans="1:17" s="71" customFormat="1" ht="11.25" customHeight="1" x14ac:dyDescent="0.2">
      <c r="A41" s="217"/>
      <c r="B41" s="86" t="s">
        <v>49</v>
      </c>
      <c r="C41" s="22">
        <f>COUNTIFS(DavenportNDD!$E:$E,"&gt;=1/1/2016",DavenportNDD!$E:$E,"&lt;=12/31/2016",DavenportNDD!$C:$C,"PHOSPHORUS, TOTAL (AS P)",DavenportNDD!$G:$G,"MG/L",DavenportNDD!$H:$H,"RAW WASTE")</f>
        <v>52</v>
      </c>
      <c r="D41" s="23">
        <f>AVERAGEIFS(DavenportNDD!$F:$F,DavenportNDD!$E:$E,"&gt;=1/1/2016",DavenportNDD!$E:$E,"&lt;=12/31/2016",(DavenportNDD!$C:$C),("PHOSPHORUS, TOTAL (AS P)"),(DavenportNDD!$H:$H),("RAW WASTE"),(DavenportNDD!$G:$G),("MG/L"))</f>
        <v>2.6525278788461528</v>
      </c>
      <c r="E41" s="22">
        <f>COUNTIFS(DavenportNDD!$E:$E,"&gt;=1/1/2016",DavenportNDD!$E:$E,"&lt;=12/31/2016",DavenportNDD!$C:$C,"PHOSPHORUS, TOTAL (AS P)",DavenportNDD!$G:$G,"LBS/DAY",DavenportNDD!$H:$H,"RAW WASTE")</f>
        <v>52</v>
      </c>
      <c r="F41" s="135">
        <f>AVERAGEIFS(DavenportNDD!$F:$F,DavenportNDD!$E:$E,"&gt;=1/1/2016",DavenportNDD!$E:$E,"&lt;=12/31/2016",(DavenportNDD!$C:$C),("PHOSPHORUS, TOTAL (AS P)"),(DavenportNDD!$H:$H),("RAW WASTE"),(DavenportNDD!$G:$G),("LBS/DAY"))</f>
        <v>688.32698420192287</v>
      </c>
      <c r="G41" s="24">
        <f>SUMIFS(DavenportNDD!$F:$F,DavenportNDD!$E:$E,"&gt;=1/1/2016",DavenportNDD!$E:$E,"&lt;=12/31/2016",(DavenportNDD!$C:$C),("PHOSPHORUS, TOTAL (AS P)"),(DavenportNDD!$H:$H),("RAW WASTE"),(DavenportNDD!$G:$G),("LBS/DAY"))</f>
        <v>35793.003178499988</v>
      </c>
      <c r="H41" s="25">
        <f>F41*365</f>
        <v>251239.34923370185</v>
      </c>
      <c r="I41" s="22">
        <f>COUNTIFS(DavenportNDD!$E:$E,"&gt;=1/1/2016",DavenportNDD!$E:$E,"&lt;=12/31/2016",DavenportNDD!$C:$C,"PHOSPHORUS, TOTAL (AS P)",DavenportNDD!$G:$G,"MG/L",DavenportNDD!$H:$H,"FINAL EFFLUENT")</f>
        <v>52</v>
      </c>
      <c r="J41" s="26">
        <f>AVERAGEIFS(DavenportNDD!$F:$F,DavenportNDD!$E:$E,"&gt;=1/1/2016",DavenportNDD!$E:$E,"&lt;=12/31/2016",(DavenportNDD!$C:$C),("PHOSPHORUS, TOTAL (AS P)"),(DavenportNDD!$H:$H),("FINAL EFFLUENT"),(DavenportNDD!$G:$G),("MG/L"))</f>
        <v>0.90167307692307697</v>
      </c>
      <c r="K41" s="22">
        <f>COUNTIFS(DavenportNDD!$E:$E,"&gt;=1/1/2016",DavenportNDD!$E:$E,"&lt;=12/31/2016",DavenportNDD!$C:$C,"PHOSPHORUS, TOTAL (AS P)",DavenportNDD!$G:$G,"LBS/DAY",DavenportNDD!$H:$H,"FINAL EFFLUENT")</f>
        <v>52</v>
      </c>
      <c r="L41" s="142">
        <f>AVERAGEIFS((DavenportNDD!$F:$F),DavenportNDD!$E:$E,"&gt;=1/1/2016",DavenportNDD!$E:$E,"&lt;=12/31/2016",(DavenportNDD!$C:$C),("PHOSPHORUS, TOTAL (AS P)"),(DavenportNDD!$H:$H),("FINAL EFFLUENT"),(DavenportNDD!$G:$G),("LBS/DAY"))</f>
        <v>255.63383072884614</v>
      </c>
      <c r="M41" s="24">
        <f>SUMIFS(DavenportNDD!$F:$F,DavenportNDD!$E:$E,"&gt;=1/1/2016",DavenportNDD!$E:$E,"&lt;=12/31/2016",(DavenportNDD!$C:$C),("PHOSPHORUS, TOTAL (AS P)"),(DavenportNDD!$H:$H),("FINAL EFFLUENT"),(DavenportNDD!$G:$G),("LBS/DAY"))</f>
        <v>13292.9591979</v>
      </c>
      <c r="N41" s="27">
        <f>L41*365</f>
        <v>93306.34821602884</v>
      </c>
      <c r="O41" s="28">
        <f>((D41-J41))/D41</f>
        <v>0.6600702732989544</v>
      </c>
      <c r="P41" s="29">
        <f>((F41-L41))/F41</f>
        <v>0.62861570649414622</v>
      </c>
      <c r="Q41" s="72">
        <f>(F41-L41)*365</f>
        <v>157933.001017673</v>
      </c>
    </row>
    <row r="42" spans="1:17" s="44" customFormat="1" ht="11.25" customHeight="1" x14ac:dyDescent="0.2">
      <c r="A42" s="217"/>
      <c r="B42" s="87" t="s">
        <v>53</v>
      </c>
      <c r="C42" s="88">
        <f>COUNTIFS(DavenportNDD!$E:$E,"&gt;=5/1/2016",DavenportNDD!$E:$E,"&lt;=4/30/2017",DavenportNDD!$C:$C,"PHOSPHORUS, TOTAL (AS P)",DavenportNDD!$G:$G,"MG/L",DavenportNDD!$H:$H,"RAW WASTE")</f>
        <v>46</v>
      </c>
      <c r="D42" s="89">
        <f>AVERAGEIFS(DavenportNDD!$F:$F,DavenportNDD!$E:$E,"&gt;=5/1/2016",DavenportNDD!$E:$E,"&lt;=4/30/2017",(DavenportNDD!$C:$C),("PHOSPHORUS, TOTAL (AS P)"),(DavenportNDD!$H:$H),("RAW WASTE"),(DavenportNDD!$G:$G),("MG/L"))</f>
        <v>3.289613384782609</v>
      </c>
      <c r="E42" s="88">
        <f>COUNTIFS(DavenportNDD!$E:$E,"&gt;=5/1/2016",DavenportNDD!$E:$E,"&lt;=4/30/2017",DavenportNDD!$C:$C,"PHOSPHORUS, TOTAL (AS P)",DavenportNDD!$G:$G,"LBS/DAY",DavenportNDD!$H:$H,"RAW WASTE")</f>
        <v>46</v>
      </c>
      <c r="F42" s="136">
        <f>AVERAGEIFS(DavenportNDD!$F:$F,DavenportNDD!$E:$E,"&gt;=5/1/2016",DavenportNDD!$E:$E,"&lt;=4/30/2017",(DavenportNDD!$C:$C),("PHOSPHORUS, TOTAL (AS P)"),(DavenportNDD!$H:$H),("RAW WASTE"),(DavenportNDD!$G:$G),("LBS/DAY"))</f>
        <v>812.48696997826073</v>
      </c>
      <c r="G42" s="90">
        <f>SUMIFS(DavenportNDD!$F:$F,DavenportNDD!$E:$E,"&gt;=5/1/2016",DavenportNDD!$E:$E,"&lt;=4/30/2017",(DavenportNDD!$C:$C),("PHOSPHORUS, TOTAL (AS P)"),(DavenportNDD!$H:$H),("RAW WASTE"),(DavenportNDD!$G:$G),("LBS/DAY"))</f>
        <v>37374.400618999993</v>
      </c>
      <c r="H42" s="91">
        <f>F42*365</f>
        <v>296557.74404206517</v>
      </c>
      <c r="I42" s="88">
        <f>COUNTIFS(DavenportNDD!$E:$E,"&gt;=5/1/2016",DavenportNDD!$E:$E,"&lt;=4/30/2017",DavenportNDD!$C:$C,"PHOSPHORUS, TOTAL (AS P)",DavenportNDD!$G:$G,"MG/L",DavenportNDD!$H:$H,"FINAL EFFLUENT")</f>
        <v>46</v>
      </c>
      <c r="J42" s="89">
        <f>AVERAGEIFS(DavenportNDD!$F:$F,DavenportNDD!$E:$E,"&gt;=5/1/2016",DavenportNDD!$E:$E,"&lt;=4/30/2017",(DavenportNDD!$C:$C),("PHOSPHORUS, TOTAL (AS P)"),(DavenportNDD!$H:$H),("FINAL EFFLUENT"),(DavenportNDD!$G:$G),("MG/L"))</f>
        <v>1.0584565217391306</v>
      </c>
      <c r="K42" s="88">
        <f>COUNTIFS(DavenportNDD!$E:$E,"&gt;=5/1/2016",DavenportNDD!$E:$E,"&lt;=4/30/2017",DavenportNDD!$C:$C,"PHOSPHORUS, TOTAL (AS P)",DavenportNDD!$G:$G,"LBS/DAY",DavenportNDD!$H:$H,"FINAL EFFLUENT")</f>
        <v>46</v>
      </c>
      <c r="L42" s="136">
        <f>AVERAGEIFS((DavenportNDD!$F:$F),DavenportNDD!$E:$E,"&gt;=5/1/2016",DavenportNDD!$E:$E,"&lt;=4/30/2017",(DavenportNDD!$C:$C),("PHOSPHORUS, TOTAL (AS P)"),(DavenportNDD!$H:$H),("FINAL EFFLUENT"),(DavenportNDD!$G:$G),("LBS/DAY"))</f>
        <v>281.80145658260875</v>
      </c>
      <c r="M42" s="90">
        <f>SUMIFS(DavenportNDD!$F:$F,DavenportNDD!$E:$E,"&gt;=5/1/2016",DavenportNDD!$E:$E,"&lt;=4/30/2017",(DavenportNDD!$C:$C),("PHOSPHORUS, TOTAL (AS P)"),(DavenportNDD!$H:$H),("FINAL EFFLUENT"),(DavenportNDD!$G:$G),("LBS/DAY"))</f>
        <v>12962.867002800002</v>
      </c>
      <c r="N42" s="91">
        <f>L42*365</f>
        <v>102857.53165265219</v>
      </c>
      <c r="O42" s="92">
        <f>((D42-J42))/D42</f>
        <v>0.67824288208595129</v>
      </c>
      <c r="P42" s="93">
        <f>((F42-L42))/F42</f>
        <v>0.65316187582657625</v>
      </c>
      <c r="Q42" s="94">
        <f>(F42-L42)*365</f>
        <v>193700.21238941295</v>
      </c>
    </row>
    <row r="43" spans="1:17" ht="5.25" customHeight="1" x14ac:dyDescent="0.2">
      <c r="A43" s="217"/>
      <c r="F43" s="137"/>
      <c r="L43" s="137"/>
      <c r="Q43" s="113"/>
    </row>
    <row r="44" spans="1:17" s="112" customFormat="1" ht="11.25" customHeight="1" x14ac:dyDescent="0.2">
      <c r="A44" s="217"/>
      <c r="B44" s="102" t="s">
        <v>54</v>
      </c>
      <c r="C44" s="103">
        <f>COUNTIFS(DavenportNDD!$E:$E,"&gt;=1/1/2017",DavenportNDD!$E:$E,"&lt;=12/31/2017",DavenportNDD!$C:$C,"PHOSPHORUS, TOTAL (AS P)",DavenportNDD!$G:$G,"MG/L",DavenportNDD!$H:$H,"RAW WASTE")</f>
        <v>41</v>
      </c>
      <c r="D44" s="104">
        <f>AVERAGEIFS(DavenportNDD!$F:$F,DavenportNDD!$E:$E,"&gt;=1/1/2017",DavenportNDD!$E:$E,"&lt;=12/31/2017",(DavenportNDD!$C:$C),("PHOSPHORUS, TOTAL (AS P)"),(DavenportNDD!$H:$H),("RAW WASTE"),(DavenportNDD!$G:$G),("MG/L"))</f>
        <v>4.8050990487804883</v>
      </c>
      <c r="E44" s="103">
        <f>COUNTIFS(DavenportNDD!$E:$E,"&gt;=1/1/2017",DavenportNDD!$E:$E,"&lt;=12/31/2017",DavenportNDD!$C:$C,"PHOSPHORUS, TOTAL (AS P)",DavenportNDD!$G:$G,"LBS/DAY",DavenportNDD!$H:$H,"RAW WASTE")</f>
        <v>41</v>
      </c>
      <c r="F44" s="138">
        <f>AVERAGEIFS(DavenportNDD!$F:$F,DavenportNDD!$E:$E,"&gt;=1/1/2017",DavenportNDD!$E:$E,"&lt;=12/31/2017",(DavenportNDD!$C:$C),("PHOSPHORUS, TOTAL (AS P)"),(DavenportNDD!$H:$H),("RAW WASTE"),(DavenportNDD!$G:$G),("LBS/DAY"))</f>
        <v>947.38291024390207</v>
      </c>
      <c r="G44" s="105">
        <f>SUMIFS(DavenportNDD!$F:$F,DavenportNDD!$E:$E,"&gt;=1/1/2017",DavenportNDD!$E:$E,"&lt;=12/31/2017",(DavenportNDD!$C:$C),("PHOSPHORUS, TOTAL (AS P)"),(DavenportNDD!$H:$H),("RAW WASTE"),(DavenportNDD!$G:$G),("LBS/DAY"))</f>
        <v>38842.699319999985</v>
      </c>
      <c r="H44" s="106">
        <f>F44*365</f>
        <v>345794.76223902428</v>
      </c>
      <c r="I44" s="103">
        <f>COUNTIFS(DavenportNDD!$E:$E,"&gt;=1/1/2017",DavenportNDD!$E:$E,"&lt;=12/31/2017",DavenportNDD!$C:$C,"PHOSPHORUS, TOTAL (AS P)",DavenportNDD!$G:$G,"MG/L",DavenportNDD!$H:$H,"FINAL EFFLUENT")</f>
        <v>41</v>
      </c>
      <c r="J44" s="107">
        <f>AVERAGEIFS(DavenportNDD!$F:$F,DavenportNDD!$E:$E,"&gt;=1/1/2017",DavenportNDD!$E:$E,"&lt;=12/31/2017",(DavenportNDD!$C:$C),("PHOSPHORUS, TOTAL (AS P)"),(DavenportNDD!$H:$H),("FINAL EFFLUENT"),(DavenportNDD!$G:$G),("MG/L"))</f>
        <v>0.83758536585365839</v>
      </c>
      <c r="K44" s="103">
        <f>COUNTIFS(DavenportNDD!$E:$E,"&gt;=1/1/2017",DavenportNDD!$E:$E,"&lt;=12/31/2017",DavenportNDD!$C:$C,"PHOSPHORUS, TOTAL (AS P)",DavenportNDD!$G:$G,"LBS/DAY",DavenportNDD!$H:$H,"FINAL EFFLUENT")</f>
        <v>41</v>
      </c>
      <c r="L44" s="143">
        <f>AVERAGEIFS((DavenportNDD!$F:$F),DavenportNDD!$E:$E,"&gt;=1/1/2017",DavenportNDD!$E:$E,"&lt;=12/31/2017",(DavenportNDD!$C:$C),("PHOSPHORUS, TOTAL (AS P)"),(DavenportNDD!$H:$H),("FINAL EFFLUENT"),(DavenportNDD!$G:$G),("LBS/DAY"))</f>
        <v>185.67392853658532</v>
      </c>
      <c r="M44" s="105">
        <f>SUMIFS(DavenportNDD!$F:$F,DavenportNDD!$E:$E,"&gt;=1/1/2017",DavenportNDD!$E:$E,"&lt;=12/31/2017",(DavenportNDD!$C:$C),("PHOSPHORUS, TOTAL (AS P)"),(DavenportNDD!$H:$H),("FINAL EFFLUENT"),(DavenportNDD!$G:$G),("LBS/DAY"))</f>
        <v>7612.6310699999976</v>
      </c>
      <c r="N44" s="108">
        <f>L44*365</f>
        <v>67770.983915853649</v>
      </c>
      <c r="O44" s="109">
        <f>((D44-J44))/D44</f>
        <v>0.82568822050271085</v>
      </c>
      <c r="P44" s="110">
        <f>((F44-L44))/F44</f>
        <v>0.80401385065223108</v>
      </c>
      <c r="Q44" s="111">
        <f>(F44-L44)*365</f>
        <v>278023.77832317061</v>
      </c>
    </row>
    <row r="45" spans="1:17" s="44" customFormat="1" ht="12" customHeight="1" x14ac:dyDescent="0.2">
      <c r="A45" s="217"/>
      <c r="B45" s="169" t="s">
        <v>55</v>
      </c>
      <c r="C45" s="124">
        <f>COUNTIFS(DavenportNDD!$E:$E,"&gt;=5/1/2017",DavenportNDD!$E:$E,"&lt;=4/30/2018",DavenportNDD!$C:$C,"PHOSPHORUS, TOTAL (AS P)",DavenportNDD!$G:$G,"MG/L",DavenportNDD!$H:$H,"RAW WASTE")</f>
        <v>47</v>
      </c>
      <c r="D45" s="125">
        <f>AVERAGEIFS(DavenportNDD!$F:$F,DavenportNDD!$E:$E,"&gt;=5/1/2017",DavenportNDD!$E:$E,"&lt;=4/30/2018",(DavenportNDD!$C:$C),("PHOSPHORUS, TOTAL (AS P)"),(DavenportNDD!$H:$H),("RAW WASTE"),(DavenportNDD!$G:$G),("MG/L"))</f>
        <v>5.2135119765957469</v>
      </c>
      <c r="E45" s="124">
        <f>COUNTIFS(DavenportNDD!$E:$E,"&gt;=5/1/2017",DavenportNDD!$E:$E,"&lt;=4/30/2018",DavenportNDD!$C:$C,"PHOSPHORUS, TOTAL (AS P)",DavenportNDD!$G:$G,"LBS/DAY",DavenportNDD!$H:$H,"RAW WASTE")</f>
        <v>47</v>
      </c>
      <c r="F45" s="139">
        <f>AVERAGEIFS(DavenportNDD!$F:$F,DavenportNDD!$E:$E,"&gt;=5/1/2017",DavenportNDD!$E:$E,"&lt;=4/30/2018",(DavenportNDD!$C:$C),("PHOSPHORUS, TOTAL (AS P)"),(DavenportNDD!$H:$H),("RAW WASTE"),(DavenportNDD!$G:$G),("LBS/DAY"))</f>
        <v>981.95222106382982</v>
      </c>
      <c r="G45" s="126">
        <f>SUMIFS(DavenportNDD!$F:$F,DavenportNDD!$E:$E,"&gt;=5/1/2017",DavenportNDD!$E:$E,"&lt;=4/30/2018",(DavenportNDD!$C:$C),("PHOSPHORUS, TOTAL (AS P)"),(DavenportNDD!$H:$H),("RAW WASTE"),(DavenportNDD!$G:$G),("LBS/DAY"))</f>
        <v>46151.754390000002</v>
      </c>
      <c r="H45" s="127">
        <f>F45*365</f>
        <v>358412.5606882979</v>
      </c>
      <c r="I45" s="124">
        <f>COUNTIFS(DavenportNDD!$E:$E,"&gt;=5/1/2017",DavenportNDD!$E:$E,"&lt;=4/30/2018",DavenportNDD!$C:$C,"PHOSPHORUS, TOTAL (AS P)",DavenportNDD!$G:$G,"MG/L",DavenportNDD!$H:$H,"FINAL EFFLUENT")</f>
        <v>47</v>
      </c>
      <c r="J45" s="125">
        <f>AVERAGEIFS(DavenportNDD!$F:$F,DavenportNDD!$E:$E,"&gt;=5/1/2017",DavenportNDD!$E:$E,"&lt;=4/30/2018",(DavenportNDD!$C:$C),("PHOSPHORUS, TOTAL (AS P)"),(DavenportNDD!$H:$H),("FINAL EFFLUENT"),(DavenportNDD!$G:$G),("MG/L"))</f>
        <v>0.87438297872340476</v>
      </c>
      <c r="K45" s="124">
        <f>COUNTIFS(DavenportNDD!$E:$E,"&gt;=5/1/2017",DavenportNDD!$E:$E,"&lt;=4/30/2018",DavenportNDD!$C:$C,"PHOSPHORUS, TOTAL (AS P)",DavenportNDD!$G:$G,"LBS/DAY",DavenportNDD!$H:$H,"FINAL EFFLUENT")</f>
        <v>47</v>
      </c>
      <c r="L45" s="139">
        <f>AVERAGEIFS((DavenportNDD!$F:$F),DavenportNDD!$E:$E,"&gt;=5/1/2017",DavenportNDD!$E:$E,"&lt;=4/30/2018",(DavenportNDD!$C:$C),("PHOSPHORUS, TOTAL (AS P)"),(DavenportNDD!$H:$H),("FINAL EFFLUENT"),(DavenportNDD!$G:$G),("LBS/DAY"))</f>
        <v>199.68716103829789</v>
      </c>
      <c r="M45" s="126">
        <f>SUMIFS(DavenportNDD!$F:$F,DavenportNDD!$E:$E,"&gt;=5/1/2017",DavenportNDD!$E:$E,"&lt;=4/30/2018",(DavenportNDD!$C:$C),("PHOSPHORUS, TOTAL (AS P)"),(DavenportNDD!$H:$H),("FINAL EFFLUENT"),(DavenportNDD!$G:$G),("LBS/DAY"))</f>
        <v>9385.2965688000004</v>
      </c>
      <c r="N45" s="127">
        <f>L45*365</f>
        <v>72885.813778978729</v>
      </c>
      <c r="O45" s="128">
        <f>((D45-J45))/D45</f>
        <v>0.8322852268013109</v>
      </c>
      <c r="P45" s="129">
        <f>((F45-L45))/F45</f>
        <v>0.7966426912075617</v>
      </c>
      <c r="Q45" s="130">
        <f>(F45-L45)*365</f>
        <v>285526.74690931919</v>
      </c>
    </row>
    <row r="46" spans="1:17" ht="5.25" customHeight="1" x14ac:dyDescent="0.2">
      <c r="A46" s="217"/>
      <c r="Q46" s="113"/>
    </row>
    <row r="47" spans="1:17" s="156" customFormat="1" ht="11.25" customHeight="1" x14ac:dyDescent="0.2">
      <c r="A47" s="217"/>
      <c r="B47" s="144" t="s">
        <v>60</v>
      </c>
      <c r="C47" s="145">
        <f>COUNTIFS(DavenportNDD!$E:$E,"&gt;=1/1/2018",DavenportNDD!$E:$E,"&lt;=12/31/2018",DavenportNDD!$C:$C,"PHOSPHORUS, TOTAL (AS P)",DavenportNDD!$G:$G,"MG/L",DavenportNDD!$H:$H,"RAW WASTE")</f>
        <v>17</v>
      </c>
      <c r="D47" s="146">
        <f>AVERAGEIFS(DavenportNDD!$F:$F,DavenportNDD!$E:$E,"&gt;=1/1/2018",DavenportNDD!$E:$E,"&lt;=12/31/2018",(DavenportNDD!$C:$C),("PHOSPHORUS, TOTAL (AS P)"),(DavenportNDD!$H:$H),("RAW WASTE"),(DavenportNDD!$G:$G),("MG/L"))</f>
        <v>5.2451496235294108</v>
      </c>
      <c r="E47" s="145">
        <f>COUNTIFS(DavenportNDD!$E:$E,"&gt;=1/1/2018",DavenportNDD!$E:$E,"&lt;=12/31/2018",DavenportNDD!$C:$C,"PHOSPHORUS, TOTAL (AS P)",DavenportNDD!$G:$G,"LBS/DAY",DavenportNDD!$H:$H,"RAW WASTE")</f>
        <v>17</v>
      </c>
      <c r="F47" s="147">
        <f>AVERAGEIFS(DavenportNDD!$F:$F,DavenportNDD!$E:$E,"&gt;=1/1/2018",DavenportNDD!$E:$E,"&lt;=12/31/2018",(DavenportNDD!$C:$C),("PHOSPHORUS, TOTAL (AS P)"),(DavenportNDD!$H:$H),("RAW WASTE"),(DavenportNDD!$G:$G),("LBS/DAY"))</f>
        <v>976.4960135294117</v>
      </c>
      <c r="G47" s="148">
        <f>SUMIFS(DavenportNDD!$F:$F,DavenportNDD!$E:$E,"&gt;=1/1/2018",DavenportNDD!$E:$E,"&lt;=12/31/2018",(DavenportNDD!$C:$C),("PHOSPHORUS, TOTAL (AS P)"),(DavenportNDD!$H:$H),("RAW WASTE"),(DavenportNDD!$G:$G),("LBS/DAY"))</f>
        <v>16600.432229999999</v>
      </c>
      <c r="H47" s="149">
        <f>F47*365</f>
        <v>356421.04493823525</v>
      </c>
      <c r="I47" s="145">
        <f>COUNTIFS(DavenportNDD!$E:$E,"&gt;=1/1/2018",DavenportNDD!$E:$E,"&lt;=12/31/2018",DavenportNDD!$C:$C,"PHOSPHORUS, TOTAL (AS P)",DavenportNDD!$G:$G,"MG/L",DavenportNDD!$H:$H,"FINAL EFFLUENT")</f>
        <v>17</v>
      </c>
      <c r="J47" s="150">
        <f>AVERAGEIFS(DavenportNDD!$F:$F,DavenportNDD!$E:$E,"&gt;=1/1/2018",DavenportNDD!$E:$E,"&lt;=12/31/2018",(DavenportNDD!$C:$C),("PHOSPHORUS, TOTAL (AS P)"),(DavenportNDD!$H:$H),("FINAL EFFLUENT"),(DavenportNDD!$G:$G),("MG/L"))</f>
        <v>0.99864705882352944</v>
      </c>
      <c r="K47" s="145">
        <f>COUNTIFS(DavenportNDD!$E:$E,"&gt;=1/1/2018",DavenportNDD!$E:$E,"&lt;=12/31/2018",DavenportNDD!$C:$C,"PHOSPHORUS, TOTAL (AS P)",DavenportNDD!$G:$G,"LBS/DAY",DavenportNDD!$H:$H,"FINAL EFFLUENT")</f>
        <v>17</v>
      </c>
      <c r="L47" s="151">
        <f>AVERAGEIFS((DavenportNDD!$F:$F),DavenportNDD!$E:$E,"&gt;=1/1/2018",DavenportNDD!$E:$E,"&lt;=12/31/2018",(DavenportNDD!$C:$C),("PHOSPHORUS, TOTAL (AS P)"),(DavenportNDD!$H:$H),("FINAL EFFLUENT"),(DavenportNDD!$G:$G),("LBS/DAY"))</f>
        <v>234.8320389882353</v>
      </c>
      <c r="M47" s="148">
        <f>SUMIFS(DavenportNDD!$F:$F,DavenportNDD!$E:$E,"&gt;=1/1/2018",DavenportNDD!$E:$E,"&lt;=12/31/2018",(DavenportNDD!$C:$C),("PHOSPHORUS, TOTAL (AS P)"),(DavenportNDD!$H:$H),("FINAL EFFLUENT"),(DavenportNDD!$G:$G),("LBS/DAY"))</f>
        <v>3992.1446627999999</v>
      </c>
      <c r="N47" s="152">
        <f>L47*365</f>
        <v>85713.694230705878</v>
      </c>
      <c r="O47" s="153">
        <f>((D47-J47))/D47</f>
        <v>0.80960561080209015</v>
      </c>
      <c r="P47" s="154">
        <f>((F47-L47))/F47</f>
        <v>0.75951561938336354</v>
      </c>
      <c r="Q47" s="155">
        <f>(F47-L47)*365</f>
        <v>270707.3507075294</v>
      </c>
    </row>
    <row r="48" spans="1:17" s="44" customFormat="1" ht="11.25" customHeight="1" thickBot="1" x14ac:dyDescent="0.25">
      <c r="A48" s="218"/>
      <c r="B48" s="157" t="s">
        <v>61</v>
      </c>
      <c r="C48" s="158">
        <f>COUNTIFS(DavenportNDD!$E:$E,"&gt;=5/1/2018",DavenportNDD!$E:$E,"&lt;=4/30/2019",DavenportNDD!$C:$C,"PHOSPHORUS, TOTAL (AS P)",DavenportNDD!$G:$G,"MG/L",DavenportNDD!$H:$H,"RAW WASTE")</f>
        <v>0</v>
      </c>
      <c r="D48" s="159" t="e">
        <f>AVERAGEIFS(DavenportNDD!$F:$F,DavenportNDD!$E:$E,"&gt;=5/1/2018",DavenportNDD!$E:$E,"&lt;=4/30/2019",(DavenportNDD!$C:$C),("PHOSPHORUS, TOTAL (AS P)"),(DavenportNDD!$H:$H),("RAW WASTE"),(DavenportNDD!$G:$G),("MG/L"))</f>
        <v>#DIV/0!</v>
      </c>
      <c r="E48" s="158">
        <f>COUNTIFS(DavenportNDD!$E:$E,"&gt;=5/1/2018",DavenportNDD!$E:$E,"&lt;=4/30/2019",DavenportNDD!$C:$C,"PHOSPHORUS, TOTAL (AS P)",DavenportNDD!$G:$G,"LBS/DAY",DavenportNDD!$H:$H,"RAW WASTE")</f>
        <v>0</v>
      </c>
      <c r="F48" s="160" t="e">
        <f>AVERAGEIFS(DavenportNDD!$F:$F,DavenportNDD!$E:$E,"&gt;=5/1/2018",DavenportNDD!$E:$E,"&lt;=4/30/2019",(DavenportNDD!$C:$C),("PHOSPHORUS, TOTAL (AS P)"),(DavenportNDD!$H:$H),("RAW WASTE"),(DavenportNDD!$G:$G),("LBS/DAY"))</f>
        <v>#DIV/0!</v>
      </c>
      <c r="G48" s="161">
        <f>SUMIFS(DavenportNDD!$F:$F,DavenportNDD!$E:$E,"&gt;=5/1/2018",DavenportNDD!$E:$E,"&lt;=4/30/2019",(DavenportNDD!$C:$C),("PHOSPHORUS, TOTAL (AS P)"),(DavenportNDD!$H:$H),("RAW WASTE"),(DavenportNDD!$G:$G),("LBS/DAY"))</f>
        <v>0</v>
      </c>
      <c r="H48" s="162" t="e">
        <f>F48*365</f>
        <v>#DIV/0!</v>
      </c>
      <c r="I48" s="158">
        <f>COUNTIFS(DavenportNDD!$E:$E,"&gt;=5/1/2018",DavenportNDD!$E:$E,"&lt;=4/30/2019",DavenportNDD!$C:$C,"PHOSPHORUS, TOTAL (AS P)",DavenportNDD!$G:$G,"MG/L",DavenportNDD!$H:$H,"FINAL EFFLUENT")</f>
        <v>0</v>
      </c>
      <c r="J48" s="159" t="e">
        <f>AVERAGEIFS(DavenportNDD!$F:$F,DavenportNDD!$E:$E,"&gt;=5/1/2018",DavenportNDD!$E:$E,"&lt;=4/30/2019",(DavenportNDD!$C:$C),("PHOSPHORUS, TOTAL (AS P)"),(DavenportNDD!$H:$H),("FINAL EFFLUENT"),(DavenportNDD!$G:$G),("MG/L"))</f>
        <v>#DIV/0!</v>
      </c>
      <c r="K48" s="158">
        <f>COUNTIFS(DavenportNDD!$E:$E,"&gt;=5/1/2018",DavenportNDD!$E:$E,"&lt;=4/30/2019",DavenportNDD!$C:$C,"PHOSPHORUS, TOTAL (AS P)",DavenportNDD!$G:$G,"LBS/DAY",DavenportNDD!$H:$H,"FINAL EFFLUENT")</f>
        <v>0</v>
      </c>
      <c r="L48" s="160" t="e">
        <f>AVERAGEIFS((DavenportNDD!$F:$F),DavenportNDD!$E:$E,"&gt;=5/1/2018",DavenportNDD!$E:$E,"&lt;=4/30/2019",(DavenportNDD!$C:$C),("PHOSPHORUS, TOTAL (AS P)"),(DavenportNDD!$H:$H),("FINAL EFFLUENT"),(DavenportNDD!$G:$G),("LBS/DAY"))</f>
        <v>#DIV/0!</v>
      </c>
      <c r="M48" s="161">
        <f>SUMIFS(DavenportNDD!$F:$F,DavenportNDD!$E:$E,"&gt;=5/1/2018",DavenportNDD!$E:$E,"&lt;=4/30/2019",(DavenportNDD!$C:$C),("PHOSPHORUS, TOTAL (AS P)"),(DavenportNDD!$H:$H),("FINAL EFFLUENT"),(DavenportNDD!$G:$G),("LBS/DAY"))</f>
        <v>0</v>
      </c>
      <c r="N48" s="162" t="e">
        <f>L48*365</f>
        <v>#DIV/0!</v>
      </c>
      <c r="O48" s="163" t="e">
        <f>((D48-J48))/D48</f>
        <v>#DIV/0!</v>
      </c>
      <c r="P48" s="164" t="e">
        <f>((F48-L48))/F48</f>
        <v>#DIV/0!</v>
      </c>
      <c r="Q48" s="165" t="e">
        <f>(F48-L48)*365</f>
        <v>#DIV/0!</v>
      </c>
    </row>
    <row r="49" spans="16:17" x14ac:dyDescent="0.2">
      <c r="P49" s="166" t="s">
        <v>63</v>
      </c>
      <c r="Q49" s="99">
        <f>_xlfn.STDEV.P(Q39,Q42,Q45)</f>
        <v>73342.876993863872</v>
      </c>
    </row>
    <row r="50" spans="16:17" x14ac:dyDescent="0.2">
      <c r="P50" s="166" t="s">
        <v>64</v>
      </c>
      <c r="Q50" s="167">
        <f>(Q49/(AVERAGE(Q39,Q42,Q45)))</f>
        <v>0.37604272651657838</v>
      </c>
    </row>
    <row r="51" spans="16:17" x14ac:dyDescent="0.2">
      <c r="P51" s="166" t="s">
        <v>65</v>
      </c>
      <c r="Q51" s="99">
        <f>_xlfn.STDEV.P(Q38,Q41,Q44)</f>
        <v>79543.059979725236</v>
      </c>
    </row>
    <row r="52" spans="16:17" x14ac:dyDescent="0.2">
      <c r="P52" s="166" t="s">
        <v>66</v>
      </c>
      <c r="Q52" s="167">
        <f>Q51/(AVERAGE(Q38,Q41,Q44))</f>
        <v>0.45796801014337291</v>
      </c>
    </row>
    <row r="53" spans="16:17" x14ac:dyDescent="0.2">
      <c r="P53" s="166" t="s">
        <v>67</v>
      </c>
      <c r="Q53" s="168">
        <f>_xlfn.STDEV.P(Q38:Q45)</f>
        <v>77247.08572111692</v>
      </c>
    </row>
    <row r="54" spans="16:17" x14ac:dyDescent="0.2">
      <c r="P54" s="166" t="s">
        <v>68</v>
      </c>
      <c r="Q54" s="100">
        <f>Q53/(AVERAGE(Q38:Q45))</f>
        <v>0.41899495233173706</v>
      </c>
    </row>
  </sheetData>
  <mergeCells count="26">
    <mergeCell ref="B31:B33"/>
    <mergeCell ref="C31:H31"/>
    <mergeCell ref="I31:N31"/>
    <mergeCell ref="O31:P32"/>
    <mergeCell ref="A31:A48"/>
    <mergeCell ref="A1:B1"/>
    <mergeCell ref="C1:D1"/>
    <mergeCell ref="E1:F1"/>
    <mergeCell ref="C2:D2"/>
    <mergeCell ref="E2:F2"/>
    <mergeCell ref="C3:F3"/>
    <mergeCell ref="B5:B7"/>
    <mergeCell ref="C5:H5"/>
    <mergeCell ref="I5:N5"/>
    <mergeCell ref="A5:A22"/>
    <mergeCell ref="O5:P6"/>
    <mergeCell ref="Q5:Q6"/>
    <mergeCell ref="C6:D6"/>
    <mergeCell ref="E6:H6"/>
    <mergeCell ref="I6:J6"/>
    <mergeCell ref="K6:N6"/>
    <mergeCell ref="Q31:Q32"/>
    <mergeCell ref="C32:D32"/>
    <mergeCell ref="E32:H32"/>
    <mergeCell ref="I32:J32"/>
    <mergeCell ref="K32:N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5"/>
  <sheetViews>
    <sheetView workbookViewId="0">
      <selection activeCell="A17" sqref="A17"/>
    </sheetView>
  </sheetViews>
  <sheetFormatPr defaultRowHeight="11.25" x14ac:dyDescent="0.2"/>
  <cols>
    <col min="1" max="1" width="7.5703125" style="115" customWidth="1"/>
    <col min="2" max="2" width="12" style="115" customWidth="1"/>
    <col min="3" max="3" width="22.7109375" style="115" customWidth="1"/>
    <col min="4" max="4" width="16.85546875" style="115" customWidth="1"/>
    <col min="5" max="5" width="10" style="115" customWidth="1"/>
    <col min="6" max="6" width="7.5703125" style="115" customWidth="1"/>
    <col min="7" max="7" width="7.85546875" style="115" customWidth="1"/>
    <col min="8" max="8" width="13.7109375" style="115" customWidth="1"/>
    <col min="9" max="9" width="4.7109375" style="115" customWidth="1"/>
    <col min="10" max="10" width="13.7109375" style="115" customWidth="1"/>
    <col min="11" max="11" width="7.28515625" style="115" customWidth="1"/>
    <col min="12" max="12" width="48.42578125" style="115" customWidth="1"/>
    <col min="13" max="13" width="24.7109375" style="115" customWidth="1"/>
    <col min="14" max="16384" width="9.140625" style="115"/>
  </cols>
  <sheetData>
    <row r="1" spans="1:14" s="185" customFormat="1" ht="21" x14ac:dyDescent="0.2">
      <c r="A1" s="117" t="s">
        <v>0</v>
      </c>
      <c r="B1" s="117" t="s">
        <v>1</v>
      </c>
      <c r="C1" s="117" t="s">
        <v>2</v>
      </c>
      <c r="D1" s="117" t="s">
        <v>3</v>
      </c>
      <c r="E1" s="117" t="s">
        <v>4</v>
      </c>
      <c r="F1" s="117" t="s">
        <v>5</v>
      </c>
      <c r="G1" s="117" t="s">
        <v>6</v>
      </c>
      <c r="H1" s="117" t="s">
        <v>7</v>
      </c>
      <c r="I1" s="184" t="s">
        <v>8</v>
      </c>
      <c r="J1" s="184" t="s">
        <v>9</v>
      </c>
      <c r="K1" s="184" t="s">
        <v>10</v>
      </c>
      <c r="L1" s="117" t="s">
        <v>11</v>
      </c>
      <c r="M1" s="117" t="s">
        <v>58</v>
      </c>
      <c r="N1" s="117" t="s">
        <v>59</v>
      </c>
    </row>
    <row r="2" spans="1:14" x14ac:dyDescent="0.2">
      <c r="A2" s="172" t="s">
        <v>72</v>
      </c>
      <c r="B2" s="172" t="s">
        <v>73</v>
      </c>
      <c r="C2" s="172" t="s">
        <v>14</v>
      </c>
      <c r="D2" s="172" t="s">
        <v>15</v>
      </c>
      <c r="E2" s="173">
        <v>43214</v>
      </c>
      <c r="F2" s="174">
        <v>19</v>
      </c>
      <c r="G2" s="175" t="s">
        <v>16</v>
      </c>
      <c r="H2" s="172" t="s">
        <v>17</v>
      </c>
      <c r="I2" s="175">
        <v>1</v>
      </c>
      <c r="J2" s="175" t="s">
        <v>18</v>
      </c>
      <c r="K2" s="175" t="s">
        <v>74</v>
      </c>
      <c r="L2" s="172" t="s">
        <v>75</v>
      </c>
      <c r="M2" s="172" t="s">
        <v>17</v>
      </c>
    </row>
    <row r="3" spans="1:14" x14ac:dyDescent="0.2">
      <c r="A3" s="172" t="s">
        <v>72</v>
      </c>
      <c r="B3" s="172" t="s">
        <v>73</v>
      </c>
      <c r="C3" s="172" t="s">
        <v>14</v>
      </c>
      <c r="D3" s="172" t="s">
        <v>15</v>
      </c>
      <c r="E3" s="173">
        <v>43214</v>
      </c>
      <c r="F3" s="174">
        <v>312.00774000000001</v>
      </c>
      <c r="G3" s="175" t="s">
        <v>19</v>
      </c>
      <c r="H3" s="172" t="s">
        <v>17</v>
      </c>
      <c r="I3" s="175">
        <v>1</v>
      </c>
      <c r="J3" s="175" t="s">
        <v>18</v>
      </c>
      <c r="K3" s="175" t="s">
        <v>74</v>
      </c>
      <c r="L3" s="172" t="s">
        <v>75</v>
      </c>
      <c r="M3" s="172" t="s">
        <v>17</v>
      </c>
    </row>
    <row r="4" spans="1:14" x14ac:dyDescent="0.2">
      <c r="A4" s="172" t="s">
        <v>72</v>
      </c>
      <c r="B4" s="172" t="s">
        <v>73</v>
      </c>
      <c r="C4" s="172" t="s">
        <v>14</v>
      </c>
      <c r="D4" s="172" t="s">
        <v>15</v>
      </c>
      <c r="E4" s="173">
        <v>43214</v>
      </c>
      <c r="F4" s="174">
        <v>12</v>
      </c>
      <c r="G4" s="175" t="s">
        <v>16</v>
      </c>
      <c r="H4" s="172" t="s">
        <v>20</v>
      </c>
      <c r="I4" s="175">
        <v>1</v>
      </c>
      <c r="J4" s="175" t="s">
        <v>18</v>
      </c>
      <c r="K4" s="175" t="s">
        <v>74</v>
      </c>
      <c r="L4" s="172" t="s">
        <v>75</v>
      </c>
      <c r="M4" s="172" t="s">
        <v>76</v>
      </c>
    </row>
    <row r="5" spans="1:14" x14ac:dyDescent="0.2">
      <c r="A5" s="172" t="s">
        <v>72</v>
      </c>
      <c r="B5" s="172" t="s">
        <v>73</v>
      </c>
      <c r="C5" s="172" t="s">
        <v>14</v>
      </c>
      <c r="D5" s="172" t="s">
        <v>15</v>
      </c>
      <c r="E5" s="173">
        <v>43214</v>
      </c>
      <c r="F5" s="174">
        <v>252.80207999999999</v>
      </c>
      <c r="G5" s="175" t="s">
        <v>19</v>
      </c>
      <c r="H5" s="172" t="s">
        <v>20</v>
      </c>
      <c r="I5" s="175">
        <v>1</v>
      </c>
      <c r="J5" s="175" t="s">
        <v>18</v>
      </c>
      <c r="K5" s="175" t="s">
        <v>74</v>
      </c>
      <c r="L5" s="172" t="s">
        <v>75</v>
      </c>
      <c r="M5" s="172" t="s">
        <v>76</v>
      </c>
    </row>
    <row r="6" spans="1:14" x14ac:dyDescent="0.2">
      <c r="A6" s="172" t="s">
        <v>72</v>
      </c>
      <c r="B6" s="172" t="s">
        <v>73</v>
      </c>
      <c r="C6" s="172" t="s">
        <v>14</v>
      </c>
      <c r="D6" s="172" t="s">
        <v>15</v>
      </c>
      <c r="E6" s="173">
        <v>43207</v>
      </c>
      <c r="F6" s="174">
        <v>12</v>
      </c>
      <c r="G6" s="175" t="s">
        <v>16</v>
      </c>
      <c r="H6" s="172" t="s">
        <v>17</v>
      </c>
      <c r="I6" s="175">
        <v>1</v>
      </c>
      <c r="J6" s="175" t="s">
        <v>18</v>
      </c>
      <c r="K6" s="175" t="s">
        <v>74</v>
      </c>
      <c r="L6" s="172" t="s">
        <v>75</v>
      </c>
      <c r="M6" s="172" t="s">
        <v>17</v>
      </c>
    </row>
    <row r="7" spans="1:14" x14ac:dyDescent="0.2">
      <c r="A7" s="172" t="s">
        <v>72</v>
      </c>
      <c r="B7" s="172" t="s">
        <v>73</v>
      </c>
      <c r="C7" s="172" t="s">
        <v>14</v>
      </c>
      <c r="D7" s="172" t="s">
        <v>15</v>
      </c>
      <c r="E7" s="173">
        <v>43207</v>
      </c>
      <c r="F7" s="174">
        <v>294.33528000000001</v>
      </c>
      <c r="G7" s="175" t="s">
        <v>19</v>
      </c>
      <c r="H7" s="172" t="s">
        <v>17</v>
      </c>
      <c r="I7" s="175">
        <v>1</v>
      </c>
      <c r="J7" s="175" t="s">
        <v>18</v>
      </c>
      <c r="K7" s="175" t="s">
        <v>74</v>
      </c>
      <c r="L7" s="172" t="s">
        <v>75</v>
      </c>
      <c r="M7" s="172" t="s">
        <v>17</v>
      </c>
    </row>
    <row r="8" spans="1:14" x14ac:dyDescent="0.2">
      <c r="A8" s="172" t="s">
        <v>72</v>
      </c>
      <c r="B8" s="172" t="s">
        <v>73</v>
      </c>
      <c r="C8" s="172" t="s">
        <v>14</v>
      </c>
      <c r="D8" s="172" t="s">
        <v>15</v>
      </c>
      <c r="E8" s="173">
        <v>43207</v>
      </c>
      <c r="F8" s="174">
        <v>13</v>
      </c>
      <c r="G8" s="175" t="s">
        <v>16</v>
      </c>
      <c r="H8" s="172" t="s">
        <v>20</v>
      </c>
      <c r="I8" s="175">
        <v>1</v>
      </c>
      <c r="J8" s="175" t="s">
        <v>18</v>
      </c>
      <c r="K8" s="175" t="s">
        <v>74</v>
      </c>
      <c r="L8" s="172" t="s">
        <v>75</v>
      </c>
      <c r="M8" s="172" t="s">
        <v>76</v>
      </c>
    </row>
    <row r="9" spans="1:14" x14ac:dyDescent="0.2">
      <c r="A9" s="172" t="s">
        <v>72</v>
      </c>
      <c r="B9" s="172" t="s">
        <v>73</v>
      </c>
      <c r="C9" s="172" t="s">
        <v>14</v>
      </c>
      <c r="D9" s="172" t="s">
        <v>15</v>
      </c>
      <c r="E9" s="173">
        <v>43207</v>
      </c>
      <c r="F9" s="174">
        <v>326.56103999999999</v>
      </c>
      <c r="G9" s="175" t="s">
        <v>19</v>
      </c>
      <c r="H9" s="172" t="s">
        <v>20</v>
      </c>
      <c r="I9" s="175">
        <v>1</v>
      </c>
      <c r="J9" s="175" t="s">
        <v>18</v>
      </c>
      <c r="K9" s="175" t="s">
        <v>74</v>
      </c>
      <c r="L9" s="172" t="s">
        <v>75</v>
      </c>
      <c r="M9" s="172" t="s">
        <v>76</v>
      </c>
    </row>
    <row r="10" spans="1:14" x14ac:dyDescent="0.2">
      <c r="A10" s="172" t="s">
        <v>72</v>
      </c>
      <c r="B10" s="172" t="s">
        <v>73</v>
      </c>
      <c r="C10" s="172" t="s">
        <v>14</v>
      </c>
      <c r="D10" s="172" t="s">
        <v>15</v>
      </c>
      <c r="E10" s="173">
        <v>43200</v>
      </c>
      <c r="F10" s="174">
        <v>16</v>
      </c>
      <c r="G10" s="175" t="s">
        <v>16</v>
      </c>
      <c r="H10" s="172" t="s">
        <v>17</v>
      </c>
      <c r="I10" s="175">
        <v>1</v>
      </c>
      <c r="J10" s="175" t="s">
        <v>18</v>
      </c>
      <c r="K10" s="175" t="s">
        <v>74</v>
      </c>
      <c r="L10" s="172" t="s">
        <v>75</v>
      </c>
      <c r="M10" s="172" t="s">
        <v>17</v>
      </c>
    </row>
    <row r="11" spans="1:14" x14ac:dyDescent="0.2">
      <c r="A11" s="172" t="s">
        <v>72</v>
      </c>
      <c r="B11" s="172" t="s">
        <v>73</v>
      </c>
      <c r="C11" s="172" t="s">
        <v>14</v>
      </c>
      <c r="D11" s="172" t="s">
        <v>15</v>
      </c>
      <c r="E11" s="173">
        <v>43200</v>
      </c>
      <c r="F11" s="174">
        <v>143.44800000000001</v>
      </c>
      <c r="G11" s="175" t="s">
        <v>19</v>
      </c>
      <c r="H11" s="172" t="s">
        <v>17</v>
      </c>
      <c r="I11" s="175">
        <v>1</v>
      </c>
      <c r="J11" s="175" t="s">
        <v>18</v>
      </c>
      <c r="K11" s="175" t="s">
        <v>74</v>
      </c>
      <c r="L11" s="172" t="s">
        <v>75</v>
      </c>
      <c r="M11" s="172" t="s">
        <v>17</v>
      </c>
    </row>
    <row r="12" spans="1:14" x14ac:dyDescent="0.2">
      <c r="A12" s="172" t="s">
        <v>72</v>
      </c>
      <c r="B12" s="172" t="s">
        <v>73</v>
      </c>
      <c r="C12" s="172" t="s">
        <v>14</v>
      </c>
      <c r="D12" s="172" t="s">
        <v>15</v>
      </c>
      <c r="E12" s="173">
        <v>43200</v>
      </c>
      <c r="F12" s="174">
        <v>10</v>
      </c>
      <c r="G12" s="175" t="s">
        <v>16</v>
      </c>
      <c r="H12" s="172" t="s">
        <v>20</v>
      </c>
      <c r="I12" s="175">
        <v>1</v>
      </c>
      <c r="J12" s="175" t="s">
        <v>18</v>
      </c>
      <c r="K12" s="175" t="s">
        <v>74</v>
      </c>
      <c r="L12" s="172" t="s">
        <v>75</v>
      </c>
      <c r="M12" s="172" t="s">
        <v>76</v>
      </c>
    </row>
    <row r="13" spans="1:14" x14ac:dyDescent="0.2">
      <c r="A13" s="172" t="s">
        <v>72</v>
      </c>
      <c r="B13" s="172" t="s">
        <v>73</v>
      </c>
      <c r="C13" s="172" t="s">
        <v>14</v>
      </c>
      <c r="D13" s="172" t="s">
        <v>15</v>
      </c>
      <c r="E13" s="173">
        <v>43200</v>
      </c>
      <c r="F13" s="174">
        <v>119.09520000000001</v>
      </c>
      <c r="G13" s="175" t="s">
        <v>19</v>
      </c>
      <c r="H13" s="172" t="s">
        <v>20</v>
      </c>
      <c r="I13" s="175">
        <v>1</v>
      </c>
      <c r="J13" s="175" t="s">
        <v>18</v>
      </c>
      <c r="K13" s="175" t="s">
        <v>74</v>
      </c>
      <c r="L13" s="172" t="s">
        <v>75</v>
      </c>
      <c r="M13" s="172" t="s">
        <v>76</v>
      </c>
    </row>
    <row r="14" spans="1:14" x14ac:dyDescent="0.2">
      <c r="A14" s="172" t="s">
        <v>72</v>
      </c>
      <c r="B14" s="172" t="s">
        <v>73</v>
      </c>
      <c r="C14" s="172" t="s">
        <v>14</v>
      </c>
      <c r="D14" s="172" t="s">
        <v>15</v>
      </c>
      <c r="E14" s="173">
        <v>43193</v>
      </c>
      <c r="F14" s="174">
        <v>11</v>
      </c>
      <c r="G14" s="175" t="s">
        <v>16</v>
      </c>
      <c r="H14" s="172" t="s">
        <v>17</v>
      </c>
      <c r="I14" s="175">
        <v>1</v>
      </c>
      <c r="J14" s="175" t="s">
        <v>18</v>
      </c>
      <c r="K14" s="175" t="s">
        <v>74</v>
      </c>
      <c r="L14" s="172" t="s">
        <v>75</v>
      </c>
      <c r="M14" s="172" t="s">
        <v>17</v>
      </c>
    </row>
    <row r="15" spans="1:14" x14ac:dyDescent="0.2">
      <c r="A15" s="172" t="s">
        <v>72</v>
      </c>
      <c r="B15" s="172" t="s">
        <v>73</v>
      </c>
      <c r="C15" s="172" t="s">
        <v>14</v>
      </c>
      <c r="D15" s="172" t="s">
        <v>15</v>
      </c>
      <c r="E15" s="173">
        <v>43193</v>
      </c>
      <c r="F15" s="174">
        <v>125.59206</v>
      </c>
      <c r="G15" s="175" t="s">
        <v>19</v>
      </c>
      <c r="H15" s="172" t="s">
        <v>17</v>
      </c>
      <c r="I15" s="175">
        <v>1</v>
      </c>
      <c r="J15" s="175" t="s">
        <v>18</v>
      </c>
      <c r="K15" s="175" t="s">
        <v>74</v>
      </c>
      <c r="L15" s="172" t="s">
        <v>75</v>
      </c>
      <c r="M15" s="172" t="s">
        <v>17</v>
      </c>
    </row>
    <row r="16" spans="1:14" x14ac:dyDescent="0.2">
      <c r="A16" s="172" t="s">
        <v>72</v>
      </c>
      <c r="B16" s="172" t="s">
        <v>73</v>
      </c>
      <c r="C16" s="172" t="s">
        <v>14</v>
      </c>
      <c r="D16" s="172" t="s">
        <v>15</v>
      </c>
      <c r="E16" s="173">
        <v>43193</v>
      </c>
      <c r="F16" s="174">
        <v>14</v>
      </c>
      <c r="G16" s="175" t="s">
        <v>16</v>
      </c>
      <c r="H16" s="172" t="s">
        <v>20</v>
      </c>
      <c r="I16" s="175">
        <v>1</v>
      </c>
      <c r="J16" s="175" t="s">
        <v>18</v>
      </c>
      <c r="K16" s="175" t="s">
        <v>74</v>
      </c>
      <c r="L16" s="172" t="s">
        <v>75</v>
      </c>
      <c r="M16" s="172" t="s">
        <v>76</v>
      </c>
    </row>
    <row r="17" spans="1:13" x14ac:dyDescent="0.2">
      <c r="A17" s="172" t="s">
        <v>72</v>
      </c>
      <c r="B17" s="172" t="s">
        <v>73</v>
      </c>
      <c r="C17" s="172" t="s">
        <v>14</v>
      </c>
      <c r="D17" s="172" t="s">
        <v>15</v>
      </c>
      <c r="E17" s="173">
        <v>43193</v>
      </c>
      <c r="F17" s="174">
        <v>262.82675999999998</v>
      </c>
      <c r="G17" s="175" t="s">
        <v>19</v>
      </c>
      <c r="H17" s="172" t="s">
        <v>20</v>
      </c>
      <c r="I17" s="175">
        <v>1</v>
      </c>
      <c r="J17" s="175" t="s">
        <v>18</v>
      </c>
      <c r="K17" s="175" t="s">
        <v>74</v>
      </c>
      <c r="L17" s="172" t="s">
        <v>75</v>
      </c>
      <c r="M17" s="172" t="s">
        <v>76</v>
      </c>
    </row>
    <row r="18" spans="1:13" x14ac:dyDescent="0.2">
      <c r="A18" s="172" t="s">
        <v>72</v>
      </c>
      <c r="B18" s="172" t="s">
        <v>73</v>
      </c>
      <c r="C18" s="172" t="s">
        <v>14</v>
      </c>
      <c r="D18" s="172" t="s">
        <v>15</v>
      </c>
      <c r="E18" s="173">
        <v>43186</v>
      </c>
      <c r="F18" s="174">
        <v>19</v>
      </c>
      <c r="G18" s="175" t="s">
        <v>16</v>
      </c>
      <c r="H18" s="172" t="s">
        <v>17</v>
      </c>
      <c r="I18" s="175">
        <v>1</v>
      </c>
      <c r="J18" s="175" t="s">
        <v>18</v>
      </c>
      <c r="K18" s="175" t="s">
        <v>74</v>
      </c>
      <c r="L18" s="172" t="s">
        <v>75</v>
      </c>
      <c r="M18" s="172" t="s">
        <v>17</v>
      </c>
    </row>
    <row r="19" spans="1:13" x14ac:dyDescent="0.2">
      <c r="A19" s="172" t="s">
        <v>72</v>
      </c>
      <c r="B19" s="172" t="s">
        <v>73</v>
      </c>
      <c r="C19" s="172" t="s">
        <v>14</v>
      </c>
      <c r="D19" s="172" t="s">
        <v>15</v>
      </c>
      <c r="E19" s="173">
        <v>43186</v>
      </c>
      <c r="F19" s="174">
        <v>208.69182000000001</v>
      </c>
      <c r="G19" s="175" t="s">
        <v>19</v>
      </c>
      <c r="H19" s="172" t="s">
        <v>17</v>
      </c>
      <c r="I19" s="175">
        <v>1</v>
      </c>
      <c r="J19" s="175" t="s">
        <v>18</v>
      </c>
      <c r="K19" s="175" t="s">
        <v>74</v>
      </c>
      <c r="L19" s="172" t="s">
        <v>75</v>
      </c>
      <c r="M19" s="172" t="s">
        <v>17</v>
      </c>
    </row>
    <row r="20" spans="1:13" x14ac:dyDescent="0.2">
      <c r="A20" s="172" t="s">
        <v>72</v>
      </c>
      <c r="B20" s="172" t="s">
        <v>73</v>
      </c>
      <c r="C20" s="172" t="s">
        <v>14</v>
      </c>
      <c r="D20" s="172" t="s">
        <v>15</v>
      </c>
      <c r="E20" s="173">
        <v>43186</v>
      </c>
      <c r="F20" s="174">
        <v>10</v>
      </c>
      <c r="G20" s="175" t="s">
        <v>16</v>
      </c>
      <c r="H20" s="172" t="s">
        <v>20</v>
      </c>
      <c r="I20" s="175">
        <v>1</v>
      </c>
      <c r="J20" s="175" t="s">
        <v>18</v>
      </c>
      <c r="K20" s="175" t="s">
        <v>74</v>
      </c>
      <c r="L20" s="172" t="s">
        <v>75</v>
      </c>
      <c r="M20" s="172" t="s">
        <v>76</v>
      </c>
    </row>
    <row r="21" spans="1:13" x14ac:dyDescent="0.2">
      <c r="A21" s="172" t="s">
        <v>72</v>
      </c>
      <c r="B21" s="172" t="s">
        <v>73</v>
      </c>
      <c r="C21" s="172" t="s">
        <v>14</v>
      </c>
      <c r="D21" s="172" t="s">
        <v>15</v>
      </c>
      <c r="E21" s="173">
        <v>43186</v>
      </c>
      <c r="F21" s="174">
        <v>122.34780000000001</v>
      </c>
      <c r="G21" s="175" t="s">
        <v>19</v>
      </c>
      <c r="H21" s="172" t="s">
        <v>20</v>
      </c>
      <c r="I21" s="175">
        <v>1</v>
      </c>
      <c r="J21" s="175" t="s">
        <v>18</v>
      </c>
      <c r="K21" s="175" t="s">
        <v>74</v>
      </c>
      <c r="L21" s="172" t="s">
        <v>75</v>
      </c>
      <c r="M21" s="172" t="s">
        <v>76</v>
      </c>
    </row>
    <row r="22" spans="1:13" x14ac:dyDescent="0.2">
      <c r="A22" s="172" t="s">
        <v>72</v>
      </c>
      <c r="B22" s="172" t="s">
        <v>73</v>
      </c>
      <c r="C22" s="172" t="s">
        <v>14</v>
      </c>
      <c r="D22" s="172" t="s">
        <v>15</v>
      </c>
      <c r="E22" s="173">
        <v>43179</v>
      </c>
      <c r="F22" s="174">
        <v>21</v>
      </c>
      <c r="G22" s="175" t="s">
        <v>16</v>
      </c>
      <c r="H22" s="172" t="s">
        <v>17</v>
      </c>
      <c r="I22" s="175">
        <v>1</v>
      </c>
      <c r="J22" s="175" t="s">
        <v>18</v>
      </c>
      <c r="K22" s="175" t="s">
        <v>74</v>
      </c>
      <c r="L22" s="172" t="s">
        <v>75</v>
      </c>
      <c r="M22" s="172" t="s">
        <v>17</v>
      </c>
    </row>
    <row r="23" spans="1:13" x14ac:dyDescent="0.2">
      <c r="A23" s="172" t="s">
        <v>72</v>
      </c>
      <c r="B23" s="172" t="s">
        <v>73</v>
      </c>
      <c r="C23" s="172" t="s">
        <v>14</v>
      </c>
      <c r="D23" s="172" t="s">
        <v>15</v>
      </c>
      <c r="E23" s="173">
        <v>43179</v>
      </c>
      <c r="F23" s="174">
        <v>150.79553999999999</v>
      </c>
      <c r="G23" s="175" t="s">
        <v>19</v>
      </c>
      <c r="H23" s="172" t="s">
        <v>17</v>
      </c>
      <c r="I23" s="175">
        <v>1</v>
      </c>
      <c r="J23" s="175" t="s">
        <v>18</v>
      </c>
      <c r="K23" s="175" t="s">
        <v>74</v>
      </c>
      <c r="L23" s="172" t="s">
        <v>75</v>
      </c>
      <c r="M23" s="172" t="s">
        <v>17</v>
      </c>
    </row>
    <row r="24" spans="1:13" x14ac:dyDescent="0.2">
      <c r="A24" s="172" t="s">
        <v>72</v>
      </c>
      <c r="B24" s="172" t="s">
        <v>73</v>
      </c>
      <c r="C24" s="172" t="s">
        <v>14</v>
      </c>
      <c r="D24" s="172" t="s">
        <v>15</v>
      </c>
      <c r="E24" s="173">
        <v>43179</v>
      </c>
      <c r="F24" s="174">
        <v>11</v>
      </c>
      <c r="G24" s="175" t="s">
        <v>16</v>
      </c>
      <c r="H24" s="172" t="s">
        <v>20</v>
      </c>
      <c r="I24" s="175">
        <v>1</v>
      </c>
      <c r="J24" s="175" t="s">
        <v>18</v>
      </c>
      <c r="K24" s="175" t="s">
        <v>74</v>
      </c>
      <c r="L24" s="172" t="s">
        <v>75</v>
      </c>
      <c r="M24" s="172" t="s">
        <v>76</v>
      </c>
    </row>
    <row r="25" spans="1:13" x14ac:dyDescent="0.2">
      <c r="A25" s="172" t="s">
        <v>72</v>
      </c>
      <c r="B25" s="172" t="s">
        <v>73</v>
      </c>
      <c r="C25" s="172" t="s">
        <v>14</v>
      </c>
      <c r="D25" s="172" t="s">
        <v>15</v>
      </c>
      <c r="E25" s="173">
        <v>43179</v>
      </c>
      <c r="F25" s="174">
        <v>93.024360000000001</v>
      </c>
      <c r="G25" s="175" t="s">
        <v>19</v>
      </c>
      <c r="H25" s="172" t="s">
        <v>20</v>
      </c>
      <c r="I25" s="175">
        <v>1</v>
      </c>
      <c r="J25" s="175" t="s">
        <v>18</v>
      </c>
      <c r="K25" s="175" t="s">
        <v>74</v>
      </c>
      <c r="L25" s="172" t="s">
        <v>75</v>
      </c>
      <c r="M25" s="172" t="s">
        <v>76</v>
      </c>
    </row>
    <row r="26" spans="1:13" x14ac:dyDescent="0.2">
      <c r="A26" s="172" t="s">
        <v>72</v>
      </c>
      <c r="B26" s="172" t="s">
        <v>73</v>
      </c>
      <c r="C26" s="172" t="s">
        <v>14</v>
      </c>
      <c r="D26" s="172" t="s">
        <v>15</v>
      </c>
      <c r="E26" s="173">
        <v>43172</v>
      </c>
      <c r="F26" s="174">
        <v>19</v>
      </c>
      <c r="G26" s="175" t="s">
        <v>16</v>
      </c>
      <c r="H26" s="172" t="s">
        <v>17</v>
      </c>
      <c r="I26" s="175">
        <v>1</v>
      </c>
      <c r="J26" s="175" t="s">
        <v>18</v>
      </c>
      <c r="K26" s="175" t="s">
        <v>74</v>
      </c>
      <c r="L26" s="172" t="s">
        <v>75</v>
      </c>
      <c r="M26" s="172" t="s">
        <v>17</v>
      </c>
    </row>
    <row r="27" spans="1:13" x14ac:dyDescent="0.2">
      <c r="A27" s="172" t="s">
        <v>72</v>
      </c>
      <c r="B27" s="172" t="s">
        <v>73</v>
      </c>
      <c r="C27" s="172" t="s">
        <v>14</v>
      </c>
      <c r="D27" s="172" t="s">
        <v>15</v>
      </c>
      <c r="E27" s="173">
        <v>43172</v>
      </c>
      <c r="F27" s="174">
        <v>132.94793999999999</v>
      </c>
      <c r="G27" s="175" t="s">
        <v>19</v>
      </c>
      <c r="H27" s="172" t="s">
        <v>17</v>
      </c>
      <c r="I27" s="175">
        <v>1</v>
      </c>
      <c r="J27" s="175" t="s">
        <v>18</v>
      </c>
      <c r="K27" s="175" t="s">
        <v>74</v>
      </c>
      <c r="L27" s="172" t="s">
        <v>75</v>
      </c>
      <c r="M27" s="172" t="s">
        <v>17</v>
      </c>
    </row>
    <row r="28" spans="1:13" x14ac:dyDescent="0.2">
      <c r="A28" s="172" t="s">
        <v>72</v>
      </c>
      <c r="B28" s="172" t="s">
        <v>73</v>
      </c>
      <c r="C28" s="172" t="s">
        <v>14</v>
      </c>
      <c r="D28" s="172" t="s">
        <v>15</v>
      </c>
      <c r="E28" s="173">
        <v>43172</v>
      </c>
      <c r="F28" s="174">
        <v>9.9589999999999996</v>
      </c>
      <c r="G28" s="175" t="s">
        <v>16</v>
      </c>
      <c r="H28" s="172" t="s">
        <v>20</v>
      </c>
      <c r="I28" s="175">
        <v>1</v>
      </c>
      <c r="J28" s="175" t="s">
        <v>18</v>
      </c>
      <c r="K28" s="175" t="s">
        <v>74</v>
      </c>
      <c r="L28" s="172" t="s">
        <v>75</v>
      </c>
      <c r="M28" s="172" t="s">
        <v>76</v>
      </c>
    </row>
    <row r="29" spans="1:13" x14ac:dyDescent="0.2">
      <c r="A29" s="172" t="s">
        <v>72</v>
      </c>
      <c r="B29" s="172" t="s">
        <v>73</v>
      </c>
      <c r="C29" s="172" t="s">
        <v>14</v>
      </c>
      <c r="D29" s="172" t="s">
        <v>15</v>
      </c>
      <c r="E29" s="173">
        <v>43172</v>
      </c>
      <c r="F29" s="174">
        <v>79.901853700000004</v>
      </c>
      <c r="G29" s="175" t="s">
        <v>19</v>
      </c>
      <c r="H29" s="172" t="s">
        <v>20</v>
      </c>
      <c r="I29" s="175">
        <v>1</v>
      </c>
      <c r="J29" s="175" t="s">
        <v>18</v>
      </c>
      <c r="K29" s="175" t="s">
        <v>74</v>
      </c>
      <c r="L29" s="172" t="s">
        <v>75</v>
      </c>
      <c r="M29" s="172" t="s">
        <v>76</v>
      </c>
    </row>
    <row r="30" spans="1:13" x14ac:dyDescent="0.2">
      <c r="A30" s="172" t="s">
        <v>72</v>
      </c>
      <c r="B30" s="172" t="s">
        <v>73</v>
      </c>
      <c r="C30" s="172" t="s">
        <v>14</v>
      </c>
      <c r="D30" s="172" t="s">
        <v>15</v>
      </c>
      <c r="E30" s="173">
        <v>43165</v>
      </c>
      <c r="F30" s="174">
        <v>16</v>
      </c>
      <c r="G30" s="175" t="s">
        <v>16</v>
      </c>
      <c r="H30" s="172" t="s">
        <v>17</v>
      </c>
      <c r="I30" s="175">
        <v>1</v>
      </c>
      <c r="J30" s="175" t="s">
        <v>18</v>
      </c>
      <c r="K30" s="175" t="s">
        <v>74</v>
      </c>
      <c r="L30" s="172" t="s">
        <v>75</v>
      </c>
      <c r="M30" s="172" t="s">
        <v>17</v>
      </c>
    </row>
    <row r="31" spans="1:13" x14ac:dyDescent="0.2">
      <c r="A31" s="172" t="s">
        <v>72</v>
      </c>
      <c r="B31" s="172" t="s">
        <v>73</v>
      </c>
      <c r="C31" s="172" t="s">
        <v>14</v>
      </c>
      <c r="D31" s="172" t="s">
        <v>15</v>
      </c>
      <c r="E31" s="173">
        <v>43165</v>
      </c>
      <c r="F31" s="174">
        <v>176.40768</v>
      </c>
      <c r="G31" s="175" t="s">
        <v>19</v>
      </c>
      <c r="H31" s="172" t="s">
        <v>17</v>
      </c>
      <c r="I31" s="175">
        <v>1</v>
      </c>
      <c r="J31" s="175" t="s">
        <v>18</v>
      </c>
      <c r="K31" s="175" t="s">
        <v>74</v>
      </c>
      <c r="L31" s="172" t="s">
        <v>75</v>
      </c>
      <c r="M31" s="172" t="s">
        <v>17</v>
      </c>
    </row>
    <row r="32" spans="1:13" x14ac:dyDescent="0.2">
      <c r="A32" s="172" t="s">
        <v>72</v>
      </c>
      <c r="B32" s="172" t="s">
        <v>73</v>
      </c>
      <c r="C32" s="172" t="s">
        <v>14</v>
      </c>
      <c r="D32" s="172" t="s">
        <v>15</v>
      </c>
      <c r="E32" s="173">
        <v>43165</v>
      </c>
      <c r="F32" s="174">
        <v>6.3920000000000003</v>
      </c>
      <c r="G32" s="175" t="s">
        <v>16</v>
      </c>
      <c r="H32" s="172" t="s">
        <v>20</v>
      </c>
      <c r="I32" s="175">
        <v>1</v>
      </c>
      <c r="J32" s="175" t="s">
        <v>18</v>
      </c>
      <c r="K32" s="175" t="s">
        <v>74</v>
      </c>
      <c r="L32" s="172" t="s">
        <v>75</v>
      </c>
      <c r="M32" s="172" t="s">
        <v>76</v>
      </c>
    </row>
    <row r="33" spans="1:13" x14ac:dyDescent="0.2">
      <c r="A33" s="172" t="s">
        <v>72</v>
      </c>
      <c r="B33" s="172" t="s">
        <v>73</v>
      </c>
      <c r="C33" s="172" t="s">
        <v>14</v>
      </c>
      <c r="D33" s="172" t="s">
        <v>15</v>
      </c>
      <c r="E33" s="173">
        <v>43165</v>
      </c>
      <c r="F33" s="174">
        <v>80.177157100000002</v>
      </c>
      <c r="G33" s="175" t="s">
        <v>19</v>
      </c>
      <c r="H33" s="172" t="s">
        <v>20</v>
      </c>
      <c r="I33" s="175">
        <v>1</v>
      </c>
      <c r="J33" s="175" t="s">
        <v>18</v>
      </c>
      <c r="K33" s="175" t="s">
        <v>74</v>
      </c>
      <c r="L33" s="172" t="s">
        <v>75</v>
      </c>
      <c r="M33" s="172" t="s">
        <v>76</v>
      </c>
    </row>
    <row r="34" spans="1:13" x14ac:dyDescent="0.2">
      <c r="A34" s="172" t="s">
        <v>72</v>
      </c>
      <c r="B34" s="172" t="s">
        <v>73</v>
      </c>
      <c r="C34" s="172" t="s">
        <v>14</v>
      </c>
      <c r="D34" s="172" t="s">
        <v>15</v>
      </c>
      <c r="E34" s="173">
        <v>43158</v>
      </c>
      <c r="F34" s="174">
        <v>21</v>
      </c>
      <c r="G34" s="175" t="s">
        <v>16</v>
      </c>
      <c r="H34" s="172" t="s">
        <v>17</v>
      </c>
      <c r="I34" s="175">
        <v>1</v>
      </c>
      <c r="J34" s="175" t="s">
        <v>18</v>
      </c>
      <c r="K34" s="175" t="s">
        <v>74</v>
      </c>
      <c r="L34" s="172" t="s">
        <v>75</v>
      </c>
      <c r="M34" s="172" t="s">
        <v>17</v>
      </c>
    </row>
    <row r="35" spans="1:13" x14ac:dyDescent="0.2">
      <c r="A35" s="172" t="s">
        <v>72</v>
      </c>
      <c r="B35" s="172" t="s">
        <v>73</v>
      </c>
      <c r="C35" s="172" t="s">
        <v>14</v>
      </c>
      <c r="D35" s="172" t="s">
        <v>15</v>
      </c>
      <c r="E35" s="173">
        <v>43158</v>
      </c>
      <c r="F35" s="174">
        <v>109.81278</v>
      </c>
      <c r="G35" s="175" t="s">
        <v>19</v>
      </c>
      <c r="H35" s="172" t="s">
        <v>17</v>
      </c>
      <c r="I35" s="175">
        <v>1</v>
      </c>
      <c r="J35" s="175" t="s">
        <v>18</v>
      </c>
      <c r="K35" s="175" t="s">
        <v>74</v>
      </c>
      <c r="L35" s="172" t="s">
        <v>75</v>
      </c>
      <c r="M35" s="172" t="s">
        <v>17</v>
      </c>
    </row>
    <row r="36" spans="1:13" x14ac:dyDescent="0.2">
      <c r="A36" s="172" t="s">
        <v>72</v>
      </c>
      <c r="B36" s="172" t="s">
        <v>73</v>
      </c>
      <c r="C36" s="172" t="s">
        <v>14</v>
      </c>
      <c r="D36" s="172" t="s">
        <v>15</v>
      </c>
      <c r="E36" s="173">
        <v>43158</v>
      </c>
      <c r="F36" s="174">
        <v>13</v>
      </c>
      <c r="G36" s="175" t="s">
        <v>16</v>
      </c>
      <c r="H36" s="172" t="s">
        <v>20</v>
      </c>
      <c r="I36" s="175">
        <v>1</v>
      </c>
      <c r="J36" s="175" t="s">
        <v>18</v>
      </c>
      <c r="K36" s="175" t="s">
        <v>74</v>
      </c>
      <c r="L36" s="172" t="s">
        <v>75</v>
      </c>
      <c r="M36" s="172" t="s">
        <v>76</v>
      </c>
    </row>
    <row r="37" spans="1:13" x14ac:dyDescent="0.2">
      <c r="A37" s="172" t="s">
        <v>72</v>
      </c>
      <c r="B37" s="172" t="s">
        <v>73</v>
      </c>
      <c r="C37" s="172" t="s">
        <v>14</v>
      </c>
      <c r="D37" s="172" t="s">
        <v>15</v>
      </c>
      <c r="E37" s="173">
        <v>43158</v>
      </c>
      <c r="F37" s="174">
        <v>79.905540000000002</v>
      </c>
      <c r="G37" s="175" t="s">
        <v>19</v>
      </c>
      <c r="H37" s="172" t="s">
        <v>20</v>
      </c>
      <c r="I37" s="175">
        <v>1</v>
      </c>
      <c r="J37" s="175" t="s">
        <v>18</v>
      </c>
      <c r="K37" s="175" t="s">
        <v>74</v>
      </c>
      <c r="L37" s="172" t="s">
        <v>75</v>
      </c>
      <c r="M37" s="172" t="s">
        <v>76</v>
      </c>
    </row>
    <row r="38" spans="1:13" x14ac:dyDescent="0.2">
      <c r="A38" s="172" t="s">
        <v>72</v>
      </c>
      <c r="B38" s="172" t="s">
        <v>73</v>
      </c>
      <c r="C38" s="172" t="s">
        <v>14</v>
      </c>
      <c r="D38" s="172" t="s">
        <v>15</v>
      </c>
      <c r="E38" s="173">
        <v>43151</v>
      </c>
      <c r="F38" s="174">
        <v>23</v>
      </c>
      <c r="G38" s="175" t="s">
        <v>16</v>
      </c>
      <c r="H38" s="172" t="s">
        <v>17</v>
      </c>
      <c r="I38" s="175">
        <v>1</v>
      </c>
      <c r="J38" s="175" t="s">
        <v>18</v>
      </c>
      <c r="K38" s="175" t="s">
        <v>74</v>
      </c>
      <c r="L38" s="172" t="s">
        <v>75</v>
      </c>
      <c r="M38" s="172" t="s">
        <v>17</v>
      </c>
    </row>
    <row r="39" spans="1:13" x14ac:dyDescent="0.2">
      <c r="A39" s="172" t="s">
        <v>72</v>
      </c>
      <c r="B39" s="172" t="s">
        <v>73</v>
      </c>
      <c r="C39" s="172" t="s">
        <v>14</v>
      </c>
      <c r="D39" s="172" t="s">
        <v>15</v>
      </c>
      <c r="E39" s="173">
        <v>43151</v>
      </c>
      <c r="F39" s="174">
        <v>102.81552000000001</v>
      </c>
      <c r="G39" s="175" t="s">
        <v>19</v>
      </c>
      <c r="H39" s="172" t="s">
        <v>17</v>
      </c>
      <c r="I39" s="175">
        <v>1</v>
      </c>
      <c r="J39" s="175" t="s">
        <v>18</v>
      </c>
      <c r="K39" s="175" t="s">
        <v>74</v>
      </c>
      <c r="L39" s="172" t="s">
        <v>75</v>
      </c>
      <c r="M39" s="172" t="s">
        <v>17</v>
      </c>
    </row>
    <row r="40" spans="1:13" x14ac:dyDescent="0.2">
      <c r="A40" s="172" t="s">
        <v>72</v>
      </c>
      <c r="B40" s="172" t="s">
        <v>73</v>
      </c>
      <c r="C40" s="172" t="s">
        <v>14</v>
      </c>
      <c r="D40" s="172" t="s">
        <v>15</v>
      </c>
      <c r="E40" s="173">
        <v>43151</v>
      </c>
      <c r="F40" s="174">
        <v>14</v>
      </c>
      <c r="G40" s="175" t="s">
        <v>16</v>
      </c>
      <c r="H40" s="172" t="s">
        <v>20</v>
      </c>
      <c r="I40" s="175">
        <v>1</v>
      </c>
      <c r="J40" s="175" t="s">
        <v>18</v>
      </c>
      <c r="K40" s="175" t="s">
        <v>74</v>
      </c>
      <c r="L40" s="172" t="s">
        <v>75</v>
      </c>
      <c r="M40" s="172" t="s">
        <v>76</v>
      </c>
    </row>
    <row r="41" spans="1:13" x14ac:dyDescent="0.2">
      <c r="A41" s="172" t="s">
        <v>72</v>
      </c>
      <c r="B41" s="172" t="s">
        <v>73</v>
      </c>
      <c r="C41" s="172" t="s">
        <v>14</v>
      </c>
      <c r="D41" s="172" t="s">
        <v>15</v>
      </c>
      <c r="E41" s="173">
        <v>43151</v>
      </c>
      <c r="F41" s="174">
        <v>74.259360000000001</v>
      </c>
      <c r="G41" s="175" t="s">
        <v>19</v>
      </c>
      <c r="H41" s="172" t="s">
        <v>20</v>
      </c>
      <c r="I41" s="175">
        <v>1</v>
      </c>
      <c r="J41" s="175" t="s">
        <v>18</v>
      </c>
      <c r="K41" s="175" t="s">
        <v>74</v>
      </c>
      <c r="L41" s="172" t="s">
        <v>75</v>
      </c>
      <c r="M41" s="172" t="s">
        <v>76</v>
      </c>
    </row>
    <row r="42" spans="1:13" x14ac:dyDescent="0.2">
      <c r="A42" s="172" t="s">
        <v>72</v>
      </c>
      <c r="B42" s="172" t="s">
        <v>73</v>
      </c>
      <c r="C42" s="172" t="s">
        <v>14</v>
      </c>
      <c r="D42" s="172" t="s">
        <v>15</v>
      </c>
      <c r="E42" s="173">
        <v>43144</v>
      </c>
      <c r="F42" s="174">
        <v>24</v>
      </c>
      <c r="G42" s="175" t="s">
        <v>16</v>
      </c>
      <c r="H42" s="172" t="s">
        <v>17</v>
      </c>
      <c r="I42" s="175">
        <v>1</v>
      </c>
      <c r="J42" s="175" t="s">
        <v>18</v>
      </c>
      <c r="K42" s="175" t="s">
        <v>74</v>
      </c>
      <c r="L42" s="172" t="s">
        <v>75</v>
      </c>
      <c r="M42" s="172" t="s">
        <v>17</v>
      </c>
    </row>
    <row r="43" spans="1:13" x14ac:dyDescent="0.2">
      <c r="A43" s="172" t="s">
        <v>72</v>
      </c>
      <c r="B43" s="172" t="s">
        <v>73</v>
      </c>
      <c r="C43" s="172" t="s">
        <v>14</v>
      </c>
      <c r="D43" s="172" t="s">
        <v>15</v>
      </c>
      <c r="E43" s="173">
        <v>43144</v>
      </c>
      <c r="F43" s="174">
        <v>102.28176000000001</v>
      </c>
      <c r="G43" s="175" t="s">
        <v>19</v>
      </c>
      <c r="H43" s="172" t="s">
        <v>17</v>
      </c>
      <c r="I43" s="175">
        <v>1</v>
      </c>
      <c r="J43" s="175" t="s">
        <v>18</v>
      </c>
      <c r="K43" s="175" t="s">
        <v>74</v>
      </c>
      <c r="L43" s="172" t="s">
        <v>75</v>
      </c>
      <c r="M43" s="172" t="s">
        <v>17</v>
      </c>
    </row>
    <row r="44" spans="1:13" x14ac:dyDescent="0.2">
      <c r="A44" s="172" t="s">
        <v>72</v>
      </c>
      <c r="B44" s="172" t="s">
        <v>73</v>
      </c>
      <c r="C44" s="172" t="s">
        <v>14</v>
      </c>
      <c r="D44" s="172" t="s">
        <v>15</v>
      </c>
      <c r="E44" s="173">
        <v>43144</v>
      </c>
      <c r="F44" s="174">
        <v>15</v>
      </c>
      <c r="G44" s="175" t="s">
        <v>16</v>
      </c>
      <c r="H44" s="172" t="s">
        <v>20</v>
      </c>
      <c r="I44" s="175">
        <v>1</v>
      </c>
      <c r="J44" s="175" t="s">
        <v>18</v>
      </c>
      <c r="K44" s="175" t="s">
        <v>74</v>
      </c>
      <c r="L44" s="172" t="s">
        <v>75</v>
      </c>
      <c r="M44" s="172" t="s">
        <v>76</v>
      </c>
    </row>
    <row r="45" spans="1:13" x14ac:dyDescent="0.2">
      <c r="A45" s="172" t="s">
        <v>72</v>
      </c>
      <c r="B45" s="172" t="s">
        <v>73</v>
      </c>
      <c r="C45" s="172" t="s">
        <v>14</v>
      </c>
      <c r="D45" s="172" t="s">
        <v>15</v>
      </c>
      <c r="E45" s="173">
        <v>43144</v>
      </c>
      <c r="F45" s="174">
        <v>76.311000000000007</v>
      </c>
      <c r="G45" s="175" t="s">
        <v>19</v>
      </c>
      <c r="H45" s="172" t="s">
        <v>20</v>
      </c>
      <c r="I45" s="175">
        <v>1</v>
      </c>
      <c r="J45" s="175" t="s">
        <v>18</v>
      </c>
      <c r="K45" s="175" t="s">
        <v>74</v>
      </c>
      <c r="L45" s="172" t="s">
        <v>75</v>
      </c>
      <c r="M45" s="172" t="s">
        <v>76</v>
      </c>
    </row>
    <row r="46" spans="1:13" x14ac:dyDescent="0.2">
      <c r="A46" s="172" t="s">
        <v>72</v>
      </c>
      <c r="B46" s="172" t="s">
        <v>73</v>
      </c>
      <c r="C46" s="172" t="s">
        <v>14</v>
      </c>
      <c r="D46" s="172" t="s">
        <v>15</v>
      </c>
      <c r="E46" s="173">
        <v>43137</v>
      </c>
      <c r="F46" s="174">
        <v>23</v>
      </c>
      <c r="G46" s="175" t="s">
        <v>16</v>
      </c>
      <c r="H46" s="172" t="s">
        <v>17</v>
      </c>
      <c r="I46" s="175">
        <v>1</v>
      </c>
      <c r="J46" s="175" t="s">
        <v>18</v>
      </c>
      <c r="K46" s="175" t="s">
        <v>74</v>
      </c>
      <c r="L46" s="172" t="s">
        <v>75</v>
      </c>
      <c r="M46" s="172" t="s">
        <v>17</v>
      </c>
    </row>
    <row r="47" spans="1:13" x14ac:dyDescent="0.2">
      <c r="A47" s="172" t="s">
        <v>72</v>
      </c>
      <c r="B47" s="172" t="s">
        <v>73</v>
      </c>
      <c r="C47" s="172" t="s">
        <v>14</v>
      </c>
      <c r="D47" s="172" t="s">
        <v>15</v>
      </c>
      <c r="E47" s="173">
        <v>43137</v>
      </c>
      <c r="F47" s="174">
        <v>96.869100000000003</v>
      </c>
      <c r="G47" s="175" t="s">
        <v>19</v>
      </c>
      <c r="H47" s="172" t="s">
        <v>17</v>
      </c>
      <c r="I47" s="175">
        <v>1</v>
      </c>
      <c r="J47" s="175" t="s">
        <v>18</v>
      </c>
      <c r="K47" s="175" t="s">
        <v>74</v>
      </c>
      <c r="L47" s="172" t="s">
        <v>75</v>
      </c>
      <c r="M47" s="172" t="s">
        <v>17</v>
      </c>
    </row>
    <row r="48" spans="1:13" x14ac:dyDescent="0.2">
      <c r="A48" s="172" t="s">
        <v>72</v>
      </c>
      <c r="B48" s="172" t="s">
        <v>73</v>
      </c>
      <c r="C48" s="172" t="s">
        <v>14</v>
      </c>
      <c r="D48" s="172" t="s">
        <v>15</v>
      </c>
      <c r="E48" s="173">
        <v>43137</v>
      </c>
      <c r="F48" s="174">
        <v>14</v>
      </c>
      <c r="G48" s="175" t="s">
        <v>16</v>
      </c>
      <c r="H48" s="172" t="s">
        <v>20</v>
      </c>
      <c r="I48" s="175">
        <v>1</v>
      </c>
      <c r="J48" s="175" t="s">
        <v>18</v>
      </c>
      <c r="K48" s="175" t="s">
        <v>74</v>
      </c>
      <c r="L48" s="172" t="s">
        <v>75</v>
      </c>
      <c r="M48" s="172" t="s">
        <v>76</v>
      </c>
    </row>
    <row r="49" spans="1:13" x14ac:dyDescent="0.2">
      <c r="A49" s="172" t="s">
        <v>72</v>
      </c>
      <c r="B49" s="172" t="s">
        <v>73</v>
      </c>
      <c r="C49" s="172" t="s">
        <v>14</v>
      </c>
      <c r="D49" s="172" t="s">
        <v>15</v>
      </c>
      <c r="E49" s="173">
        <v>43137</v>
      </c>
      <c r="F49" s="174">
        <v>71.573880000000003</v>
      </c>
      <c r="G49" s="175" t="s">
        <v>19</v>
      </c>
      <c r="H49" s="172" t="s">
        <v>20</v>
      </c>
      <c r="I49" s="175">
        <v>1</v>
      </c>
      <c r="J49" s="175" t="s">
        <v>18</v>
      </c>
      <c r="K49" s="175" t="s">
        <v>74</v>
      </c>
      <c r="L49" s="172" t="s">
        <v>75</v>
      </c>
      <c r="M49" s="172" t="s">
        <v>76</v>
      </c>
    </row>
    <row r="50" spans="1:13" x14ac:dyDescent="0.2">
      <c r="A50" s="172" t="s">
        <v>72</v>
      </c>
      <c r="B50" s="172" t="s">
        <v>73</v>
      </c>
      <c r="C50" s="172" t="s">
        <v>14</v>
      </c>
      <c r="D50" s="172" t="s">
        <v>15</v>
      </c>
      <c r="E50" s="173">
        <v>43130</v>
      </c>
      <c r="F50" s="174">
        <v>24</v>
      </c>
      <c r="G50" s="175" t="s">
        <v>16</v>
      </c>
      <c r="H50" s="172" t="s">
        <v>17</v>
      </c>
      <c r="I50" s="175">
        <v>1</v>
      </c>
      <c r="J50" s="175" t="s">
        <v>18</v>
      </c>
      <c r="K50" s="175" t="s">
        <v>74</v>
      </c>
      <c r="L50" s="172" t="s">
        <v>75</v>
      </c>
      <c r="M50" s="172" t="s">
        <v>17</v>
      </c>
    </row>
    <row r="51" spans="1:13" x14ac:dyDescent="0.2">
      <c r="A51" s="172" t="s">
        <v>72</v>
      </c>
      <c r="B51" s="172" t="s">
        <v>73</v>
      </c>
      <c r="C51" s="172" t="s">
        <v>14</v>
      </c>
      <c r="D51" s="172" t="s">
        <v>15</v>
      </c>
      <c r="E51" s="173">
        <v>43130</v>
      </c>
      <c r="F51" s="174">
        <v>101.68128</v>
      </c>
      <c r="G51" s="175" t="s">
        <v>19</v>
      </c>
      <c r="H51" s="172" t="s">
        <v>17</v>
      </c>
      <c r="I51" s="175">
        <v>1</v>
      </c>
      <c r="J51" s="175" t="s">
        <v>18</v>
      </c>
      <c r="K51" s="175" t="s">
        <v>74</v>
      </c>
      <c r="L51" s="172" t="s">
        <v>75</v>
      </c>
      <c r="M51" s="172" t="s">
        <v>17</v>
      </c>
    </row>
    <row r="52" spans="1:13" x14ac:dyDescent="0.2">
      <c r="A52" s="172" t="s">
        <v>72</v>
      </c>
      <c r="B52" s="172" t="s">
        <v>73</v>
      </c>
      <c r="C52" s="172" t="s">
        <v>14</v>
      </c>
      <c r="D52" s="172" t="s">
        <v>15</v>
      </c>
      <c r="E52" s="173">
        <v>43130</v>
      </c>
      <c r="F52" s="174">
        <v>15</v>
      </c>
      <c r="G52" s="175" t="s">
        <v>16</v>
      </c>
      <c r="H52" s="172" t="s">
        <v>20</v>
      </c>
      <c r="I52" s="175">
        <v>1</v>
      </c>
      <c r="J52" s="175" t="s">
        <v>18</v>
      </c>
      <c r="K52" s="175" t="s">
        <v>74</v>
      </c>
      <c r="L52" s="172" t="s">
        <v>75</v>
      </c>
      <c r="M52" s="172" t="s">
        <v>76</v>
      </c>
    </row>
    <row r="53" spans="1:13" x14ac:dyDescent="0.2">
      <c r="A53" s="172" t="s">
        <v>72</v>
      </c>
      <c r="B53" s="172" t="s">
        <v>73</v>
      </c>
      <c r="C53" s="172" t="s">
        <v>14</v>
      </c>
      <c r="D53" s="172" t="s">
        <v>15</v>
      </c>
      <c r="E53" s="173">
        <v>43130</v>
      </c>
      <c r="F53" s="174">
        <v>76.0608</v>
      </c>
      <c r="G53" s="175" t="s">
        <v>19</v>
      </c>
      <c r="H53" s="172" t="s">
        <v>20</v>
      </c>
      <c r="I53" s="175">
        <v>1</v>
      </c>
      <c r="J53" s="175" t="s">
        <v>18</v>
      </c>
      <c r="K53" s="175" t="s">
        <v>74</v>
      </c>
      <c r="L53" s="172" t="s">
        <v>75</v>
      </c>
      <c r="M53" s="172" t="s">
        <v>76</v>
      </c>
    </row>
    <row r="54" spans="1:13" x14ac:dyDescent="0.2">
      <c r="A54" s="172" t="s">
        <v>72</v>
      </c>
      <c r="B54" s="172" t="s">
        <v>73</v>
      </c>
      <c r="C54" s="172" t="s">
        <v>14</v>
      </c>
      <c r="D54" s="172" t="s">
        <v>15</v>
      </c>
      <c r="E54" s="173">
        <v>43123</v>
      </c>
      <c r="F54" s="174">
        <v>22</v>
      </c>
      <c r="G54" s="175" t="s">
        <v>16</v>
      </c>
      <c r="H54" s="172" t="s">
        <v>17</v>
      </c>
      <c r="I54" s="175">
        <v>1</v>
      </c>
      <c r="J54" s="175" t="s">
        <v>18</v>
      </c>
      <c r="K54" s="175" t="s">
        <v>74</v>
      </c>
      <c r="L54" s="172" t="s">
        <v>75</v>
      </c>
      <c r="M54" s="172" t="s">
        <v>17</v>
      </c>
    </row>
    <row r="55" spans="1:13" x14ac:dyDescent="0.2">
      <c r="A55" s="172" t="s">
        <v>72</v>
      </c>
      <c r="B55" s="172" t="s">
        <v>73</v>
      </c>
      <c r="C55" s="172" t="s">
        <v>14</v>
      </c>
      <c r="D55" s="172" t="s">
        <v>15</v>
      </c>
      <c r="E55" s="173">
        <v>43123</v>
      </c>
      <c r="F55" s="174">
        <v>148.25183999999999</v>
      </c>
      <c r="G55" s="175" t="s">
        <v>19</v>
      </c>
      <c r="H55" s="172" t="s">
        <v>17</v>
      </c>
      <c r="I55" s="175">
        <v>1</v>
      </c>
      <c r="J55" s="175" t="s">
        <v>18</v>
      </c>
      <c r="K55" s="175" t="s">
        <v>74</v>
      </c>
      <c r="L55" s="172" t="s">
        <v>75</v>
      </c>
      <c r="M55" s="172" t="s">
        <v>17</v>
      </c>
    </row>
    <row r="56" spans="1:13" x14ac:dyDescent="0.2">
      <c r="A56" s="172" t="s">
        <v>72</v>
      </c>
      <c r="B56" s="172" t="s">
        <v>73</v>
      </c>
      <c r="C56" s="172" t="s">
        <v>14</v>
      </c>
      <c r="D56" s="172" t="s">
        <v>15</v>
      </c>
      <c r="E56" s="173">
        <v>43123</v>
      </c>
      <c r="F56" s="174">
        <v>13</v>
      </c>
      <c r="G56" s="175" t="s">
        <v>16</v>
      </c>
      <c r="H56" s="172" t="s">
        <v>20</v>
      </c>
      <c r="I56" s="175">
        <v>1</v>
      </c>
      <c r="J56" s="175" t="s">
        <v>18</v>
      </c>
      <c r="K56" s="175" t="s">
        <v>74</v>
      </c>
      <c r="L56" s="172" t="s">
        <v>75</v>
      </c>
      <c r="M56" s="172" t="s">
        <v>76</v>
      </c>
    </row>
    <row r="57" spans="1:13" x14ac:dyDescent="0.2">
      <c r="A57" s="172" t="s">
        <v>72</v>
      </c>
      <c r="B57" s="172" t="s">
        <v>73</v>
      </c>
      <c r="C57" s="172" t="s">
        <v>14</v>
      </c>
      <c r="D57" s="172" t="s">
        <v>15</v>
      </c>
      <c r="E57" s="173">
        <v>43123</v>
      </c>
      <c r="F57" s="174">
        <v>100.50534</v>
      </c>
      <c r="G57" s="175" t="s">
        <v>19</v>
      </c>
      <c r="H57" s="172" t="s">
        <v>20</v>
      </c>
      <c r="I57" s="175">
        <v>1</v>
      </c>
      <c r="J57" s="175" t="s">
        <v>18</v>
      </c>
      <c r="K57" s="175" t="s">
        <v>74</v>
      </c>
      <c r="L57" s="172" t="s">
        <v>75</v>
      </c>
      <c r="M57" s="172" t="s">
        <v>76</v>
      </c>
    </row>
    <row r="58" spans="1:13" x14ac:dyDescent="0.2">
      <c r="A58" s="172" t="s">
        <v>72</v>
      </c>
      <c r="B58" s="172" t="s">
        <v>73</v>
      </c>
      <c r="C58" s="172" t="s">
        <v>14</v>
      </c>
      <c r="D58" s="172" t="s">
        <v>15</v>
      </c>
      <c r="E58" s="173">
        <v>43116</v>
      </c>
      <c r="F58" s="174">
        <v>25</v>
      </c>
      <c r="G58" s="175" t="s">
        <v>16</v>
      </c>
      <c r="H58" s="172" t="s">
        <v>17</v>
      </c>
      <c r="I58" s="175">
        <v>1</v>
      </c>
      <c r="J58" s="175" t="s">
        <v>18</v>
      </c>
      <c r="K58" s="175" t="s">
        <v>74</v>
      </c>
      <c r="L58" s="172" t="s">
        <v>75</v>
      </c>
      <c r="M58" s="172" t="s">
        <v>17</v>
      </c>
    </row>
    <row r="59" spans="1:13" x14ac:dyDescent="0.2">
      <c r="A59" s="172" t="s">
        <v>72</v>
      </c>
      <c r="B59" s="172" t="s">
        <v>73</v>
      </c>
      <c r="C59" s="172" t="s">
        <v>14</v>
      </c>
      <c r="D59" s="172" t="s">
        <v>15</v>
      </c>
      <c r="E59" s="173">
        <v>43116</v>
      </c>
      <c r="F59" s="174">
        <v>100.914</v>
      </c>
      <c r="G59" s="175" t="s">
        <v>19</v>
      </c>
      <c r="H59" s="172" t="s">
        <v>17</v>
      </c>
      <c r="I59" s="175">
        <v>1</v>
      </c>
      <c r="J59" s="175" t="s">
        <v>18</v>
      </c>
      <c r="K59" s="175" t="s">
        <v>74</v>
      </c>
      <c r="L59" s="172" t="s">
        <v>75</v>
      </c>
      <c r="M59" s="172" t="s">
        <v>17</v>
      </c>
    </row>
    <row r="60" spans="1:13" x14ac:dyDescent="0.2">
      <c r="A60" s="172" t="s">
        <v>72</v>
      </c>
      <c r="B60" s="172" t="s">
        <v>73</v>
      </c>
      <c r="C60" s="172" t="s">
        <v>14</v>
      </c>
      <c r="D60" s="172" t="s">
        <v>15</v>
      </c>
      <c r="E60" s="173">
        <v>43116</v>
      </c>
      <c r="F60" s="174">
        <v>16</v>
      </c>
      <c r="G60" s="175" t="s">
        <v>16</v>
      </c>
      <c r="H60" s="172" t="s">
        <v>20</v>
      </c>
      <c r="I60" s="175">
        <v>1</v>
      </c>
      <c r="J60" s="175" t="s">
        <v>18</v>
      </c>
      <c r="K60" s="175" t="s">
        <v>74</v>
      </c>
      <c r="L60" s="172" t="s">
        <v>75</v>
      </c>
      <c r="M60" s="172" t="s">
        <v>76</v>
      </c>
    </row>
    <row r="61" spans="1:13" x14ac:dyDescent="0.2">
      <c r="A61" s="172" t="s">
        <v>72</v>
      </c>
      <c r="B61" s="172" t="s">
        <v>73</v>
      </c>
      <c r="C61" s="172" t="s">
        <v>14</v>
      </c>
      <c r="D61" s="172" t="s">
        <v>15</v>
      </c>
      <c r="E61" s="173">
        <v>43116</v>
      </c>
      <c r="F61" s="174">
        <v>72.591359999999995</v>
      </c>
      <c r="G61" s="175" t="s">
        <v>19</v>
      </c>
      <c r="H61" s="172" t="s">
        <v>20</v>
      </c>
      <c r="I61" s="175">
        <v>1</v>
      </c>
      <c r="J61" s="175" t="s">
        <v>18</v>
      </c>
      <c r="K61" s="175" t="s">
        <v>74</v>
      </c>
      <c r="L61" s="172" t="s">
        <v>75</v>
      </c>
      <c r="M61" s="172" t="s">
        <v>76</v>
      </c>
    </row>
    <row r="62" spans="1:13" x14ac:dyDescent="0.2">
      <c r="A62" s="172" t="s">
        <v>72</v>
      </c>
      <c r="B62" s="172" t="s">
        <v>73</v>
      </c>
      <c r="C62" s="172" t="s">
        <v>14</v>
      </c>
      <c r="D62" s="172" t="s">
        <v>15</v>
      </c>
      <c r="E62" s="173">
        <v>43109</v>
      </c>
      <c r="F62" s="174">
        <v>28</v>
      </c>
      <c r="G62" s="175" t="s">
        <v>16</v>
      </c>
      <c r="H62" s="172" t="s">
        <v>17</v>
      </c>
      <c r="I62" s="175">
        <v>1</v>
      </c>
      <c r="J62" s="175" t="s">
        <v>18</v>
      </c>
      <c r="K62" s="175" t="s">
        <v>74</v>
      </c>
      <c r="L62" s="172" t="s">
        <v>75</v>
      </c>
      <c r="M62" s="172" t="s">
        <v>17</v>
      </c>
    </row>
    <row r="63" spans="1:13" x14ac:dyDescent="0.2">
      <c r="A63" s="172" t="s">
        <v>72</v>
      </c>
      <c r="B63" s="172" t="s">
        <v>73</v>
      </c>
      <c r="C63" s="172" t="s">
        <v>14</v>
      </c>
      <c r="D63" s="172" t="s">
        <v>15</v>
      </c>
      <c r="E63" s="173">
        <v>43109</v>
      </c>
      <c r="F63" s="174">
        <v>116.99352</v>
      </c>
      <c r="G63" s="175" t="s">
        <v>19</v>
      </c>
      <c r="H63" s="172" t="s">
        <v>17</v>
      </c>
      <c r="I63" s="175">
        <v>1</v>
      </c>
      <c r="J63" s="175" t="s">
        <v>18</v>
      </c>
      <c r="K63" s="175" t="s">
        <v>74</v>
      </c>
      <c r="L63" s="172" t="s">
        <v>75</v>
      </c>
      <c r="M63" s="172" t="s">
        <v>17</v>
      </c>
    </row>
    <row r="64" spans="1:13" x14ac:dyDescent="0.2">
      <c r="A64" s="172" t="s">
        <v>72</v>
      </c>
      <c r="B64" s="172" t="s">
        <v>73</v>
      </c>
      <c r="C64" s="172" t="s">
        <v>14</v>
      </c>
      <c r="D64" s="172" t="s">
        <v>15</v>
      </c>
      <c r="E64" s="173">
        <v>43109</v>
      </c>
      <c r="F64" s="174">
        <v>15</v>
      </c>
      <c r="G64" s="175" t="s">
        <v>16</v>
      </c>
      <c r="H64" s="172" t="s">
        <v>20</v>
      </c>
      <c r="I64" s="175">
        <v>1</v>
      </c>
      <c r="J64" s="175" t="s">
        <v>18</v>
      </c>
      <c r="K64" s="175" t="s">
        <v>74</v>
      </c>
      <c r="L64" s="172" t="s">
        <v>75</v>
      </c>
      <c r="M64" s="172" t="s">
        <v>76</v>
      </c>
    </row>
    <row r="65" spans="1:13" x14ac:dyDescent="0.2">
      <c r="A65" s="172" t="s">
        <v>72</v>
      </c>
      <c r="B65" s="172" t="s">
        <v>73</v>
      </c>
      <c r="C65" s="172" t="s">
        <v>14</v>
      </c>
      <c r="D65" s="172" t="s">
        <v>15</v>
      </c>
      <c r="E65" s="173">
        <v>43109</v>
      </c>
      <c r="F65" s="174">
        <v>73.808999999999997</v>
      </c>
      <c r="G65" s="175" t="s">
        <v>19</v>
      </c>
      <c r="H65" s="172" t="s">
        <v>20</v>
      </c>
      <c r="I65" s="175">
        <v>1</v>
      </c>
      <c r="J65" s="175" t="s">
        <v>18</v>
      </c>
      <c r="K65" s="175" t="s">
        <v>74</v>
      </c>
      <c r="L65" s="172" t="s">
        <v>75</v>
      </c>
      <c r="M65" s="172" t="s">
        <v>76</v>
      </c>
    </row>
    <row r="66" spans="1:13" x14ac:dyDescent="0.2">
      <c r="A66" s="172" t="s">
        <v>72</v>
      </c>
      <c r="B66" s="172" t="s">
        <v>73</v>
      </c>
      <c r="C66" s="172" t="s">
        <v>14</v>
      </c>
      <c r="D66" s="172" t="s">
        <v>15</v>
      </c>
      <c r="E66" s="173">
        <v>43103</v>
      </c>
      <c r="F66" s="174">
        <v>23</v>
      </c>
      <c r="G66" s="175" t="s">
        <v>16</v>
      </c>
      <c r="H66" s="172" t="s">
        <v>17</v>
      </c>
      <c r="I66" s="175">
        <v>1</v>
      </c>
      <c r="J66" s="175" t="s">
        <v>18</v>
      </c>
      <c r="K66" s="175" t="s">
        <v>74</v>
      </c>
      <c r="L66" s="172" t="s">
        <v>75</v>
      </c>
      <c r="M66" s="172" t="s">
        <v>17</v>
      </c>
    </row>
    <row r="67" spans="1:13" x14ac:dyDescent="0.2">
      <c r="A67" s="172" t="s">
        <v>72</v>
      </c>
      <c r="B67" s="172" t="s">
        <v>73</v>
      </c>
      <c r="C67" s="172" t="s">
        <v>14</v>
      </c>
      <c r="D67" s="172" t="s">
        <v>15</v>
      </c>
      <c r="E67" s="173">
        <v>43103</v>
      </c>
      <c r="F67" s="174">
        <v>104.5419</v>
      </c>
      <c r="G67" s="175" t="s">
        <v>19</v>
      </c>
      <c r="H67" s="172" t="s">
        <v>17</v>
      </c>
      <c r="I67" s="175">
        <v>1</v>
      </c>
      <c r="J67" s="175" t="s">
        <v>18</v>
      </c>
      <c r="K67" s="175" t="s">
        <v>74</v>
      </c>
      <c r="L67" s="172" t="s">
        <v>75</v>
      </c>
      <c r="M67" s="172" t="s">
        <v>17</v>
      </c>
    </row>
    <row r="68" spans="1:13" x14ac:dyDescent="0.2">
      <c r="A68" s="172" t="s">
        <v>72</v>
      </c>
      <c r="B68" s="172" t="s">
        <v>73</v>
      </c>
      <c r="C68" s="172" t="s">
        <v>14</v>
      </c>
      <c r="D68" s="172" t="s">
        <v>15</v>
      </c>
      <c r="E68" s="173">
        <v>43103</v>
      </c>
      <c r="F68" s="174">
        <v>15</v>
      </c>
      <c r="G68" s="175" t="s">
        <v>16</v>
      </c>
      <c r="H68" s="172" t="s">
        <v>20</v>
      </c>
      <c r="I68" s="175">
        <v>1</v>
      </c>
      <c r="J68" s="175" t="s">
        <v>18</v>
      </c>
      <c r="K68" s="175" t="s">
        <v>74</v>
      </c>
      <c r="L68" s="172" t="s">
        <v>75</v>
      </c>
      <c r="M68" s="172" t="s">
        <v>76</v>
      </c>
    </row>
    <row r="69" spans="1:13" x14ac:dyDescent="0.2">
      <c r="A69" s="172" t="s">
        <v>72</v>
      </c>
      <c r="B69" s="172" t="s">
        <v>73</v>
      </c>
      <c r="C69" s="172" t="s">
        <v>14</v>
      </c>
      <c r="D69" s="172" t="s">
        <v>15</v>
      </c>
      <c r="E69" s="173">
        <v>43103</v>
      </c>
      <c r="F69" s="174">
        <v>79.563599999999994</v>
      </c>
      <c r="G69" s="175" t="s">
        <v>19</v>
      </c>
      <c r="H69" s="172" t="s">
        <v>20</v>
      </c>
      <c r="I69" s="175">
        <v>1</v>
      </c>
      <c r="J69" s="175" t="s">
        <v>18</v>
      </c>
      <c r="K69" s="175" t="s">
        <v>74</v>
      </c>
      <c r="L69" s="172" t="s">
        <v>75</v>
      </c>
      <c r="M69" s="172" t="s">
        <v>76</v>
      </c>
    </row>
    <row r="70" spans="1:13" x14ac:dyDescent="0.2">
      <c r="A70" s="172" t="s">
        <v>72</v>
      </c>
      <c r="B70" s="172" t="s">
        <v>73</v>
      </c>
      <c r="C70" s="172" t="s">
        <v>14</v>
      </c>
      <c r="D70" s="172" t="s">
        <v>15</v>
      </c>
      <c r="E70" s="173">
        <v>43095</v>
      </c>
      <c r="F70" s="174">
        <v>26</v>
      </c>
      <c r="G70" s="175" t="s">
        <v>16</v>
      </c>
      <c r="H70" s="172" t="s">
        <v>17</v>
      </c>
      <c r="I70" s="175">
        <v>1</v>
      </c>
      <c r="J70" s="175" t="s">
        <v>18</v>
      </c>
      <c r="K70" s="175" t="s">
        <v>74</v>
      </c>
      <c r="L70" s="172" t="s">
        <v>75</v>
      </c>
      <c r="M70" s="172" t="s">
        <v>17</v>
      </c>
    </row>
    <row r="71" spans="1:13" x14ac:dyDescent="0.2">
      <c r="A71" s="172" t="s">
        <v>72</v>
      </c>
      <c r="B71" s="172" t="s">
        <v>73</v>
      </c>
      <c r="C71" s="172" t="s">
        <v>14</v>
      </c>
      <c r="D71" s="172" t="s">
        <v>15</v>
      </c>
      <c r="E71" s="173">
        <v>43095</v>
      </c>
      <c r="F71" s="174">
        <v>64.835160000000002</v>
      </c>
      <c r="G71" s="175" t="s">
        <v>19</v>
      </c>
      <c r="H71" s="172" t="s">
        <v>17</v>
      </c>
      <c r="I71" s="175">
        <v>1</v>
      </c>
      <c r="J71" s="175" t="s">
        <v>18</v>
      </c>
      <c r="K71" s="175" t="s">
        <v>74</v>
      </c>
      <c r="L71" s="172" t="s">
        <v>75</v>
      </c>
      <c r="M71" s="172" t="s">
        <v>17</v>
      </c>
    </row>
    <row r="72" spans="1:13" x14ac:dyDescent="0.2">
      <c r="A72" s="172" t="s">
        <v>72</v>
      </c>
      <c r="B72" s="172" t="s">
        <v>73</v>
      </c>
      <c r="C72" s="172" t="s">
        <v>14</v>
      </c>
      <c r="D72" s="172" t="s">
        <v>15</v>
      </c>
      <c r="E72" s="173">
        <v>43095</v>
      </c>
      <c r="F72" s="174">
        <v>16</v>
      </c>
      <c r="G72" s="175" t="s">
        <v>16</v>
      </c>
      <c r="H72" s="172" t="s">
        <v>20</v>
      </c>
      <c r="I72" s="175">
        <v>1</v>
      </c>
      <c r="J72" s="175" t="s">
        <v>18</v>
      </c>
      <c r="K72" s="175" t="s">
        <v>74</v>
      </c>
      <c r="L72" s="172" t="s">
        <v>75</v>
      </c>
      <c r="M72" s="172" t="s">
        <v>76</v>
      </c>
    </row>
    <row r="73" spans="1:13" x14ac:dyDescent="0.2">
      <c r="A73" s="172" t="s">
        <v>72</v>
      </c>
      <c r="B73" s="172" t="s">
        <v>73</v>
      </c>
      <c r="C73" s="172" t="s">
        <v>14</v>
      </c>
      <c r="D73" s="172" t="s">
        <v>15</v>
      </c>
      <c r="E73" s="173">
        <v>43095</v>
      </c>
      <c r="F73" s="174">
        <v>73.792320000000004</v>
      </c>
      <c r="G73" s="175" t="s">
        <v>19</v>
      </c>
      <c r="H73" s="172" t="s">
        <v>20</v>
      </c>
      <c r="I73" s="175">
        <v>1</v>
      </c>
      <c r="J73" s="175" t="s">
        <v>18</v>
      </c>
      <c r="K73" s="175" t="s">
        <v>74</v>
      </c>
      <c r="L73" s="172" t="s">
        <v>75</v>
      </c>
      <c r="M73" s="172" t="s">
        <v>76</v>
      </c>
    </row>
    <row r="74" spans="1:13" x14ac:dyDescent="0.2">
      <c r="A74" s="172" t="s">
        <v>72</v>
      </c>
      <c r="B74" s="172" t="s">
        <v>73</v>
      </c>
      <c r="C74" s="172" t="s">
        <v>14</v>
      </c>
      <c r="D74" s="172" t="s">
        <v>15</v>
      </c>
      <c r="E74" s="173">
        <v>43088</v>
      </c>
      <c r="F74" s="174">
        <v>26</v>
      </c>
      <c r="G74" s="175" t="s">
        <v>16</v>
      </c>
      <c r="H74" s="172" t="s">
        <v>17</v>
      </c>
      <c r="I74" s="175">
        <v>1</v>
      </c>
      <c r="J74" s="175" t="s">
        <v>18</v>
      </c>
      <c r="K74" s="175" t="s">
        <v>74</v>
      </c>
      <c r="L74" s="172" t="s">
        <v>75</v>
      </c>
      <c r="M74" s="172" t="s">
        <v>17</v>
      </c>
    </row>
    <row r="75" spans="1:13" x14ac:dyDescent="0.2">
      <c r="A75" s="172" t="s">
        <v>72</v>
      </c>
      <c r="B75" s="172" t="s">
        <v>73</v>
      </c>
      <c r="C75" s="172" t="s">
        <v>14</v>
      </c>
      <c r="D75" s="172" t="s">
        <v>15</v>
      </c>
      <c r="E75" s="173">
        <v>43088</v>
      </c>
      <c r="F75" s="174">
        <v>105.38424000000001</v>
      </c>
      <c r="G75" s="175" t="s">
        <v>19</v>
      </c>
      <c r="H75" s="172" t="s">
        <v>17</v>
      </c>
      <c r="I75" s="175">
        <v>1</v>
      </c>
      <c r="J75" s="175" t="s">
        <v>18</v>
      </c>
      <c r="K75" s="175" t="s">
        <v>74</v>
      </c>
      <c r="L75" s="172" t="s">
        <v>75</v>
      </c>
      <c r="M75" s="172" t="s">
        <v>17</v>
      </c>
    </row>
    <row r="76" spans="1:13" x14ac:dyDescent="0.2">
      <c r="A76" s="172" t="s">
        <v>72</v>
      </c>
      <c r="B76" s="172" t="s">
        <v>73</v>
      </c>
      <c r="C76" s="172" t="s">
        <v>14</v>
      </c>
      <c r="D76" s="172" t="s">
        <v>15</v>
      </c>
      <c r="E76" s="173">
        <v>43088</v>
      </c>
      <c r="F76" s="174">
        <v>16</v>
      </c>
      <c r="G76" s="175" t="s">
        <v>16</v>
      </c>
      <c r="H76" s="172" t="s">
        <v>20</v>
      </c>
      <c r="I76" s="175">
        <v>1</v>
      </c>
      <c r="J76" s="175" t="s">
        <v>18</v>
      </c>
      <c r="K76" s="175" t="s">
        <v>74</v>
      </c>
      <c r="L76" s="172" t="s">
        <v>75</v>
      </c>
      <c r="M76" s="172" t="s">
        <v>76</v>
      </c>
    </row>
    <row r="77" spans="1:13" x14ac:dyDescent="0.2">
      <c r="A77" s="172" t="s">
        <v>72</v>
      </c>
      <c r="B77" s="172" t="s">
        <v>73</v>
      </c>
      <c r="C77" s="172" t="s">
        <v>14</v>
      </c>
      <c r="D77" s="172" t="s">
        <v>15</v>
      </c>
      <c r="E77" s="173">
        <v>43088</v>
      </c>
      <c r="F77" s="174">
        <v>75.927359999999993</v>
      </c>
      <c r="G77" s="175" t="s">
        <v>19</v>
      </c>
      <c r="H77" s="172" t="s">
        <v>20</v>
      </c>
      <c r="I77" s="175">
        <v>1</v>
      </c>
      <c r="J77" s="175" t="s">
        <v>18</v>
      </c>
      <c r="K77" s="175" t="s">
        <v>74</v>
      </c>
      <c r="L77" s="172" t="s">
        <v>75</v>
      </c>
      <c r="M77" s="172" t="s">
        <v>76</v>
      </c>
    </row>
    <row r="78" spans="1:13" x14ac:dyDescent="0.2">
      <c r="A78" s="172" t="s">
        <v>72</v>
      </c>
      <c r="B78" s="172" t="s">
        <v>73</v>
      </c>
      <c r="C78" s="172" t="s">
        <v>14</v>
      </c>
      <c r="D78" s="172" t="s">
        <v>15</v>
      </c>
      <c r="E78" s="173">
        <v>43081</v>
      </c>
      <c r="F78" s="174">
        <v>26</v>
      </c>
      <c r="G78" s="175" t="s">
        <v>16</v>
      </c>
      <c r="H78" s="172" t="s">
        <v>17</v>
      </c>
      <c r="I78" s="175">
        <v>1</v>
      </c>
      <c r="J78" s="175" t="s">
        <v>18</v>
      </c>
      <c r="K78" s="175" t="s">
        <v>74</v>
      </c>
      <c r="L78" s="172" t="s">
        <v>75</v>
      </c>
      <c r="M78" s="172" t="s">
        <v>17</v>
      </c>
    </row>
    <row r="79" spans="1:13" x14ac:dyDescent="0.2">
      <c r="A79" s="172" t="s">
        <v>72</v>
      </c>
      <c r="B79" s="172" t="s">
        <v>73</v>
      </c>
      <c r="C79" s="172" t="s">
        <v>14</v>
      </c>
      <c r="D79" s="172" t="s">
        <v>15</v>
      </c>
      <c r="E79" s="173">
        <v>43081</v>
      </c>
      <c r="F79" s="174">
        <v>105.81792</v>
      </c>
      <c r="G79" s="175" t="s">
        <v>19</v>
      </c>
      <c r="H79" s="172" t="s">
        <v>17</v>
      </c>
      <c r="I79" s="175">
        <v>1</v>
      </c>
      <c r="J79" s="175" t="s">
        <v>18</v>
      </c>
      <c r="K79" s="175" t="s">
        <v>74</v>
      </c>
      <c r="L79" s="172" t="s">
        <v>75</v>
      </c>
      <c r="M79" s="172" t="s">
        <v>17</v>
      </c>
    </row>
    <row r="80" spans="1:13" x14ac:dyDescent="0.2">
      <c r="A80" s="172" t="s">
        <v>72</v>
      </c>
      <c r="B80" s="172" t="s">
        <v>73</v>
      </c>
      <c r="C80" s="172" t="s">
        <v>14</v>
      </c>
      <c r="D80" s="172" t="s">
        <v>15</v>
      </c>
      <c r="E80" s="173">
        <v>43081</v>
      </c>
      <c r="F80" s="174">
        <v>15</v>
      </c>
      <c r="G80" s="175" t="s">
        <v>16</v>
      </c>
      <c r="H80" s="172" t="s">
        <v>20</v>
      </c>
      <c r="I80" s="175">
        <v>1</v>
      </c>
      <c r="J80" s="175" t="s">
        <v>18</v>
      </c>
      <c r="K80" s="175" t="s">
        <v>74</v>
      </c>
      <c r="L80" s="172" t="s">
        <v>75</v>
      </c>
      <c r="M80" s="172" t="s">
        <v>76</v>
      </c>
    </row>
    <row r="81" spans="1:13" x14ac:dyDescent="0.2">
      <c r="A81" s="172" t="s">
        <v>72</v>
      </c>
      <c r="B81" s="172" t="s">
        <v>73</v>
      </c>
      <c r="C81" s="172" t="s">
        <v>14</v>
      </c>
      <c r="D81" s="172" t="s">
        <v>15</v>
      </c>
      <c r="E81" s="173">
        <v>43081</v>
      </c>
      <c r="F81" s="174">
        <v>69.555599999999998</v>
      </c>
      <c r="G81" s="175" t="s">
        <v>19</v>
      </c>
      <c r="H81" s="172" t="s">
        <v>20</v>
      </c>
      <c r="I81" s="175">
        <v>1</v>
      </c>
      <c r="J81" s="175" t="s">
        <v>18</v>
      </c>
      <c r="K81" s="175" t="s">
        <v>74</v>
      </c>
      <c r="L81" s="172" t="s">
        <v>75</v>
      </c>
      <c r="M81" s="172" t="s">
        <v>76</v>
      </c>
    </row>
    <row r="82" spans="1:13" x14ac:dyDescent="0.2">
      <c r="A82" s="172" t="s">
        <v>72</v>
      </c>
      <c r="B82" s="172" t="s">
        <v>73</v>
      </c>
      <c r="C82" s="172" t="s">
        <v>14</v>
      </c>
      <c r="D82" s="172" t="s">
        <v>15</v>
      </c>
      <c r="E82" s="173">
        <v>43074</v>
      </c>
      <c r="F82" s="174">
        <v>30</v>
      </c>
      <c r="G82" s="175" t="s">
        <v>16</v>
      </c>
      <c r="H82" s="172" t="s">
        <v>17</v>
      </c>
      <c r="I82" s="175">
        <v>1</v>
      </c>
      <c r="J82" s="175" t="s">
        <v>18</v>
      </c>
      <c r="K82" s="175" t="s">
        <v>74</v>
      </c>
      <c r="L82" s="172" t="s">
        <v>75</v>
      </c>
      <c r="M82" s="172" t="s">
        <v>17</v>
      </c>
    </row>
    <row r="83" spans="1:13" x14ac:dyDescent="0.2">
      <c r="A83" s="172" t="s">
        <v>72</v>
      </c>
      <c r="B83" s="172" t="s">
        <v>73</v>
      </c>
      <c r="C83" s="172" t="s">
        <v>14</v>
      </c>
      <c r="D83" s="172" t="s">
        <v>15</v>
      </c>
      <c r="E83" s="173">
        <v>43074</v>
      </c>
      <c r="F83" s="174">
        <v>121.84739999999999</v>
      </c>
      <c r="G83" s="175" t="s">
        <v>19</v>
      </c>
      <c r="H83" s="172" t="s">
        <v>17</v>
      </c>
      <c r="I83" s="175">
        <v>1</v>
      </c>
      <c r="J83" s="175" t="s">
        <v>18</v>
      </c>
      <c r="K83" s="175" t="s">
        <v>74</v>
      </c>
      <c r="L83" s="172" t="s">
        <v>75</v>
      </c>
      <c r="M83" s="172" t="s">
        <v>17</v>
      </c>
    </row>
    <row r="84" spans="1:13" x14ac:dyDescent="0.2">
      <c r="A84" s="172" t="s">
        <v>72</v>
      </c>
      <c r="B84" s="172" t="s">
        <v>73</v>
      </c>
      <c r="C84" s="172" t="s">
        <v>14</v>
      </c>
      <c r="D84" s="172" t="s">
        <v>15</v>
      </c>
      <c r="E84" s="173">
        <v>43074</v>
      </c>
      <c r="F84" s="174">
        <v>20</v>
      </c>
      <c r="G84" s="175" t="s">
        <v>16</v>
      </c>
      <c r="H84" s="172" t="s">
        <v>20</v>
      </c>
      <c r="I84" s="175">
        <v>1</v>
      </c>
      <c r="J84" s="175" t="s">
        <v>18</v>
      </c>
      <c r="K84" s="175" t="s">
        <v>74</v>
      </c>
      <c r="L84" s="172" t="s">
        <v>75</v>
      </c>
      <c r="M84" s="172" t="s">
        <v>76</v>
      </c>
    </row>
    <row r="85" spans="1:13" x14ac:dyDescent="0.2">
      <c r="A85" s="172" t="s">
        <v>72</v>
      </c>
      <c r="B85" s="172" t="s">
        <v>73</v>
      </c>
      <c r="C85" s="172" t="s">
        <v>14</v>
      </c>
      <c r="D85" s="172" t="s">
        <v>15</v>
      </c>
      <c r="E85" s="173">
        <v>43074</v>
      </c>
      <c r="F85" s="174">
        <v>98.078400000000002</v>
      </c>
      <c r="G85" s="175" t="s">
        <v>19</v>
      </c>
      <c r="H85" s="172" t="s">
        <v>20</v>
      </c>
      <c r="I85" s="175">
        <v>1</v>
      </c>
      <c r="J85" s="175" t="s">
        <v>18</v>
      </c>
      <c r="K85" s="175" t="s">
        <v>74</v>
      </c>
      <c r="L85" s="172" t="s">
        <v>75</v>
      </c>
      <c r="M85" s="172" t="s">
        <v>76</v>
      </c>
    </row>
    <row r="86" spans="1:13" x14ac:dyDescent="0.2">
      <c r="A86" s="172" t="s">
        <v>72</v>
      </c>
      <c r="B86" s="172" t="s">
        <v>73</v>
      </c>
      <c r="C86" s="172" t="s">
        <v>14</v>
      </c>
      <c r="D86" s="172" t="s">
        <v>15</v>
      </c>
      <c r="E86" s="173">
        <v>43067</v>
      </c>
      <c r="F86" s="174">
        <v>29</v>
      </c>
      <c r="G86" s="175" t="s">
        <v>16</v>
      </c>
      <c r="H86" s="172" t="s">
        <v>17</v>
      </c>
      <c r="I86" s="175">
        <v>1</v>
      </c>
      <c r="J86" s="175" t="s">
        <v>18</v>
      </c>
      <c r="K86" s="175" t="s">
        <v>74</v>
      </c>
      <c r="L86" s="172" t="s">
        <v>75</v>
      </c>
      <c r="M86" s="172" t="s">
        <v>17</v>
      </c>
    </row>
    <row r="87" spans="1:13" x14ac:dyDescent="0.2">
      <c r="A87" s="172" t="s">
        <v>72</v>
      </c>
      <c r="B87" s="172" t="s">
        <v>73</v>
      </c>
      <c r="C87" s="172" t="s">
        <v>14</v>
      </c>
      <c r="D87" s="172" t="s">
        <v>15</v>
      </c>
      <c r="E87" s="173">
        <v>43067</v>
      </c>
      <c r="F87" s="174">
        <v>122.86488</v>
      </c>
      <c r="G87" s="175" t="s">
        <v>19</v>
      </c>
      <c r="H87" s="172" t="s">
        <v>17</v>
      </c>
      <c r="I87" s="175">
        <v>1</v>
      </c>
      <c r="J87" s="175" t="s">
        <v>18</v>
      </c>
      <c r="K87" s="175" t="s">
        <v>74</v>
      </c>
      <c r="L87" s="172" t="s">
        <v>75</v>
      </c>
      <c r="M87" s="172" t="s">
        <v>17</v>
      </c>
    </row>
    <row r="88" spans="1:13" x14ac:dyDescent="0.2">
      <c r="A88" s="172" t="s">
        <v>72</v>
      </c>
      <c r="B88" s="172" t="s">
        <v>73</v>
      </c>
      <c r="C88" s="172" t="s">
        <v>14</v>
      </c>
      <c r="D88" s="172" t="s">
        <v>15</v>
      </c>
      <c r="E88" s="173">
        <v>43067</v>
      </c>
      <c r="F88" s="174">
        <v>17</v>
      </c>
      <c r="G88" s="175" t="s">
        <v>16</v>
      </c>
      <c r="H88" s="172" t="s">
        <v>20</v>
      </c>
      <c r="I88" s="175">
        <v>1</v>
      </c>
      <c r="J88" s="175" t="s">
        <v>18</v>
      </c>
      <c r="K88" s="175" t="s">
        <v>74</v>
      </c>
      <c r="L88" s="172" t="s">
        <v>75</v>
      </c>
      <c r="M88" s="172" t="s">
        <v>76</v>
      </c>
    </row>
    <row r="89" spans="1:13" x14ac:dyDescent="0.2">
      <c r="A89" s="172" t="s">
        <v>72</v>
      </c>
      <c r="B89" s="172" t="s">
        <v>73</v>
      </c>
      <c r="C89" s="172" t="s">
        <v>14</v>
      </c>
      <c r="D89" s="172" t="s">
        <v>15</v>
      </c>
      <c r="E89" s="173">
        <v>43067</v>
      </c>
      <c r="F89" s="174">
        <v>84.784440000000004</v>
      </c>
      <c r="G89" s="175" t="s">
        <v>19</v>
      </c>
      <c r="H89" s="172" t="s">
        <v>20</v>
      </c>
      <c r="I89" s="175">
        <v>1</v>
      </c>
      <c r="J89" s="175" t="s">
        <v>18</v>
      </c>
      <c r="K89" s="175" t="s">
        <v>74</v>
      </c>
      <c r="L89" s="172" t="s">
        <v>75</v>
      </c>
      <c r="M89" s="172" t="s">
        <v>76</v>
      </c>
    </row>
    <row r="90" spans="1:13" x14ac:dyDescent="0.2">
      <c r="A90" s="172" t="s">
        <v>72</v>
      </c>
      <c r="B90" s="172" t="s">
        <v>73</v>
      </c>
      <c r="C90" s="172" t="s">
        <v>14</v>
      </c>
      <c r="D90" s="172" t="s">
        <v>15</v>
      </c>
      <c r="E90" s="173">
        <v>43059</v>
      </c>
      <c r="F90" s="174">
        <v>28</v>
      </c>
      <c r="G90" s="175" t="s">
        <v>16</v>
      </c>
      <c r="H90" s="172" t="s">
        <v>17</v>
      </c>
      <c r="I90" s="175">
        <v>1</v>
      </c>
      <c r="J90" s="175" t="s">
        <v>18</v>
      </c>
      <c r="K90" s="175" t="s">
        <v>74</v>
      </c>
      <c r="L90" s="172" t="s">
        <v>75</v>
      </c>
      <c r="M90" s="172" t="s">
        <v>17</v>
      </c>
    </row>
    <row r="91" spans="1:13" x14ac:dyDescent="0.2">
      <c r="A91" s="172" t="s">
        <v>72</v>
      </c>
      <c r="B91" s="172" t="s">
        <v>73</v>
      </c>
      <c r="C91" s="172" t="s">
        <v>14</v>
      </c>
      <c r="D91" s="172" t="s">
        <v>15</v>
      </c>
      <c r="E91" s="173">
        <v>43059</v>
      </c>
      <c r="F91" s="174">
        <v>121.19687999999999</v>
      </c>
      <c r="G91" s="175" t="s">
        <v>19</v>
      </c>
      <c r="H91" s="172" t="s">
        <v>17</v>
      </c>
      <c r="I91" s="175">
        <v>1</v>
      </c>
      <c r="J91" s="175" t="s">
        <v>18</v>
      </c>
      <c r="K91" s="175" t="s">
        <v>74</v>
      </c>
      <c r="L91" s="172" t="s">
        <v>75</v>
      </c>
      <c r="M91" s="172" t="s">
        <v>17</v>
      </c>
    </row>
    <row r="92" spans="1:13" x14ac:dyDescent="0.2">
      <c r="A92" s="172" t="s">
        <v>72</v>
      </c>
      <c r="B92" s="172" t="s">
        <v>73</v>
      </c>
      <c r="C92" s="172" t="s">
        <v>14</v>
      </c>
      <c r="D92" s="172" t="s">
        <v>15</v>
      </c>
      <c r="E92" s="173">
        <v>43059</v>
      </c>
      <c r="F92" s="174">
        <v>16</v>
      </c>
      <c r="G92" s="175" t="s">
        <v>16</v>
      </c>
      <c r="H92" s="172" t="s">
        <v>20</v>
      </c>
      <c r="I92" s="175">
        <v>1</v>
      </c>
      <c r="J92" s="175" t="s">
        <v>18</v>
      </c>
      <c r="K92" s="175" t="s">
        <v>74</v>
      </c>
      <c r="L92" s="172" t="s">
        <v>75</v>
      </c>
      <c r="M92" s="172" t="s">
        <v>76</v>
      </c>
    </row>
    <row r="93" spans="1:13" x14ac:dyDescent="0.2">
      <c r="A93" s="172" t="s">
        <v>72</v>
      </c>
      <c r="B93" s="172" t="s">
        <v>73</v>
      </c>
      <c r="C93" s="172" t="s">
        <v>14</v>
      </c>
      <c r="D93" s="172" t="s">
        <v>15</v>
      </c>
      <c r="E93" s="173">
        <v>43059</v>
      </c>
      <c r="F93" s="174">
        <v>84.0672</v>
      </c>
      <c r="G93" s="175" t="s">
        <v>19</v>
      </c>
      <c r="H93" s="172" t="s">
        <v>20</v>
      </c>
      <c r="I93" s="175">
        <v>1</v>
      </c>
      <c r="J93" s="175" t="s">
        <v>18</v>
      </c>
      <c r="K93" s="175" t="s">
        <v>74</v>
      </c>
      <c r="L93" s="172" t="s">
        <v>75</v>
      </c>
      <c r="M93" s="172" t="s">
        <v>76</v>
      </c>
    </row>
    <row r="94" spans="1:13" x14ac:dyDescent="0.2">
      <c r="A94" s="172" t="s">
        <v>72</v>
      </c>
      <c r="B94" s="172" t="s">
        <v>73</v>
      </c>
      <c r="C94" s="172" t="s">
        <v>14</v>
      </c>
      <c r="D94" s="172" t="s">
        <v>15</v>
      </c>
      <c r="E94" s="173">
        <v>43053</v>
      </c>
      <c r="F94" s="174">
        <v>30</v>
      </c>
      <c r="G94" s="175" t="s">
        <v>16</v>
      </c>
      <c r="H94" s="172" t="s">
        <v>17</v>
      </c>
      <c r="I94" s="175">
        <v>1</v>
      </c>
      <c r="J94" s="175" t="s">
        <v>18</v>
      </c>
      <c r="K94" s="175" t="s">
        <v>74</v>
      </c>
      <c r="L94" s="172" t="s">
        <v>75</v>
      </c>
      <c r="M94" s="172" t="s">
        <v>17</v>
      </c>
    </row>
    <row r="95" spans="1:13" x14ac:dyDescent="0.2">
      <c r="A95" s="172" t="s">
        <v>72</v>
      </c>
      <c r="B95" s="172" t="s">
        <v>73</v>
      </c>
      <c r="C95" s="172" t="s">
        <v>14</v>
      </c>
      <c r="D95" s="172" t="s">
        <v>15</v>
      </c>
      <c r="E95" s="173">
        <v>43053</v>
      </c>
      <c r="F95" s="174">
        <v>130.10400000000001</v>
      </c>
      <c r="G95" s="175" t="s">
        <v>19</v>
      </c>
      <c r="H95" s="172" t="s">
        <v>17</v>
      </c>
      <c r="I95" s="175">
        <v>1</v>
      </c>
      <c r="J95" s="175" t="s">
        <v>18</v>
      </c>
      <c r="K95" s="175" t="s">
        <v>74</v>
      </c>
      <c r="L95" s="172" t="s">
        <v>75</v>
      </c>
      <c r="M95" s="172" t="s">
        <v>17</v>
      </c>
    </row>
    <row r="96" spans="1:13" x14ac:dyDescent="0.2">
      <c r="A96" s="172" t="s">
        <v>72</v>
      </c>
      <c r="B96" s="172" t="s">
        <v>73</v>
      </c>
      <c r="C96" s="172" t="s">
        <v>14</v>
      </c>
      <c r="D96" s="172" t="s">
        <v>15</v>
      </c>
      <c r="E96" s="173">
        <v>43053</v>
      </c>
      <c r="F96" s="174">
        <v>17</v>
      </c>
      <c r="G96" s="175" t="s">
        <v>16</v>
      </c>
      <c r="H96" s="172" t="s">
        <v>20</v>
      </c>
      <c r="I96" s="175">
        <v>1</v>
      </c>
      <c r="J96" s="175" t="s">
        <v>18</v>
      </c>
      <c r="K96" s="175" t="s">
        <v>74</v>
      </c>
      <c r="L96" s="172" t="s">
        <v>75</v>
      </c>
      <c r="M96" s="172" t="s">
        <v>76</v>
      </c>
    </row>
    <row r="97" spans="1:13" x14ac:dyDescent="0.2">
      <c r="A97" s="172" t="s">
        <v>72</v>
      </c>
      <c r="B97" s="172" t="s">
        <v>73</v>
      </c>
      <c r="C97" s="172" t="s">
        <v>14</v>
      </c>
      <c r="D97" s="172" t="s">
        <v>15</v>
      </c>
      <c r="E97" s="173">
        <v>43053</v>
      </c>
      <c r="F97" s="174">
        <v>89.88852</v>
      </c>
      <c r="G97" s="175" t="s">
        <v>19</v>
      </c>
      <c r="H97" s="172" t="s">
        <v>20</v>
      </c>
      <c r="I97" s="175">
        <v>1</v>
      </c>
      <c r="J97" s="175" t="s">
        <v>18</v>
      </c>
      <c r="K97" s="175" t="s">
        <v>74</v>
      </c>
      <c r="L97" s="172" t="s">
        <v>75</v>
      </c>
      <c r="M97" s="172" t="s">
        <v>76</v>
      </c>
    </row>
    <row r="98" spans="1:13" x14ac:dyDescent="0.2">
      <c r="A98" s="172" t="s">
        <v>72</v>
      </c>
      <c r="B98" s="172" t="s">
        <v>73</v>
      </c>
      <c r="C98" s="172" t="s">
        <v>14</v>
      </c>
      <c r="D98" s="172" t="s">
        <v>15</v>
      </c>
      <c r="E98" s="173">
        <v>43046</v>
      </c>
      <c r="F98" s="174">
        <v>22</v>
      </c>
      <c r="G98" s="175" t="s">
        <v>16</v>
      </c>
      <c r="H98" s="172" t="s">
        <v>17</v>
      </c>
      <c r="I98" s="175">
        <v>1</v>
      </c>
      <c r="J98" s="175" t="s">
        <v>18</v>
      </c>
      <c r="K98" s="175" t="s">
        <v>74</v>
      </c>
      <c r="L98" s="172" t="s">
        <v>75</v>
      </c>
      <c r="M98" s="172" t="s">
        <v>17</v>
      </c>
    </row>
    <row r="99" spans="1:13" x14ac:dyDescent="0.2">
      <c r="A99" s="172" t="s">
        <v>72</v>
      </c>
      <c r="B99" s="172" t="s">
        <v>73</v>
      </c>
      <c r="C99" s="172" t="s">
        <v>14</v>
      </c>
      <c r="D99" s="172" t="s">
        <v>15</v>
      </c>
      <c r="E99" s="173">
        <v>43046</v>
      </c>
      <c r="F99" s="174">
        <v>97.611360000000005</v>
      </c>
      <c r="G99" s="175" t="s">
        <v>19</v>
      </c>
      <c r="H99" s="172" t="s">
        <v>17</v>
      </c>
      <c r="I99" s="175">
        <v>1</v>
      </c>
      <c r="J99" s="175" t="s">
        <v>18</v>
      </c>
      <c r="K99" s="175" t="s">
        <v>74</v>
      </c>
      <c r="L99" s="172" t="s">
        <v>75</v>
      </c>
      <c r="M99" s="172" t="s">
        <v>17</v>
      </c>
    </row>
    <row r="100" spans="1:13" x14ac:dyDescent="0.2">
      <c r="A100" s="172" t="s">
        <v>72</v>
      </c>
      <c r="B100" s="172" t="s">
        <v>73</v>
      </c>
      <c r="C100" s="172" t="s">
        <v>14</v>
      </c>
      <c r="D100" s="172" t="s">
        <v>15</v>
      </c>
      <c r="E100" s="173">
        <v>43046</v>
      </c>
      <c r="F100" s="174">
        <v>15</v>
      </c>
      <c r="G100" s="175" t="s">
        <v>16</v>
      </c>
      <c r="H100" s="172" t="s">
        <v>20</v>
      </c>
      <c r="I100" s="175">
        <v>1</v>
      </c>
      <c r="J100" s="175" t="s">
        <v>18</v>
      </c>
      <c r="K100" s="175" t="s">
        <v>74</v>
      </c>
      <c r="L100" s="172" t="s">
        <v>75</v>
      </c>
      <c r="M100" s="172" t="s">
        <v>76</v>
      </c>
    </row>
    <row r="101" spans="1:13" x14ac:dyDescent="0.2">
      <c r="A101" s="172" t="s">
        <v>72</v>
      </c>
      <c r="B101" s="172" t="s">
        <v>73</v>
      </c>
      <c r="C101" s="172" t="s">
        <v>14</v>
      </c>
      <c r="D101" s="172" t="s">
        <v>15</v>
      </c>
      <c r="E101" s="173">
        <v>43046</v>
      </c>
      <c r="F101" s="174">
        <v>76.686300000000003</v>
      </c>
      <c r="G101" s="175" t="s">
        <v>19</v>
      </c>
      <c r="H101" s="172" t="s">
        <v>20</v>
      </c>
      <c r="I101" s="175">
        <v>1</v>
      </c>
      <c r="J101" s="175" t="s">
        <v>18</v>
      </c>
      <c r="K101" s="175" t="s">
        <v>74</v>
      </c>
      <c r="L101" s="172" t="s">
        <v>75</v>
      </c>
      <c r="M101" s="172" t="s">
        <v>76</v>
      </c>
    </row>
    <row r="102" spans="1:13" x14ac:dyDescent="0.2">
      <c r="A102" s="172" t="s">
        <v>72</v>
      </c>
      <c r="B102" s="172" t="s">
        <v>73</v>
      </c>
      <c r="C102" s="172" t="s">
        <v>14</v>
      </c>
      <c r="D102" s="172" t="s">
        <v>15</v>
      </c>
      <c r="E102" s="173">
        <v>43039</v>
      </c>
      <c r="F102" s="174">
        <v>27</v>
      </c>
      <c r="G102" s="175" t="s">
        <v>16</v>
      </c>
      <c r="H102" s="172" t="s">
        <v>17</v>
      </c>
      <c r="I102" s="175">
        <v>1</v>
      </c>
      <c r="J102" s="175" t="s">
        <v>18</v>
      </c>
      <c r="K102" s="175" t="s">
        <v>74</v>
      </c>
      <c r="L102" s="172" t="s">
        <v>75</v>
      </c>
      <c r="M102" s="172" t="s">
        <v>17</v>
      </c>
    </row>
    <row r="103" spans="1:13" x14ac:dyDescent="0.2">
      <c r="A103" s="172" t="s">
        <v>72</v>
      </c>
      <c r="B103" s="172" t="s">
        <v>73</v>
      </c>
      <c r="C103" s="172" t="s">
        <v>14</v>
      </c>
      <c r="D103" s="172" t="s">
        <v>15</v>
      </c>
      <c r="E103" s="173">
        <v>43039</v>
      </c>
      <c r="F103" s="174">
        <v>130.37922</v>
      </c>
      <c r="G103" s="175" t="s">
        <v>19</v>
      </c>
      <c r="H103" s="172" t="s">
        <v>17</v>
      </c>
      <c r="I103" s="175">
        <v>1</v>
      </c>
      <c r="J103" s="175" t="s">
        <v>18</v>
      </c>
      <c r="K103" s="175" t="s">
        <v>74</v>
      </c>
      <c r="L103" s="172" t="s">
        <v>75</v>
      </c>
      <c r="M103" s="172" t="s">
        <v>17</v>
      </c>
    </row>
    <row r="104" spans="1:13" x14ac:dyDescent="0.2">
      <c r="A104" s="172" t="s">
        <v>72</v>
      </c>
      <c r="B104" s="172" t="s">
        <v>73</v>
      </c>
      <c r="C104" s="172" t="s">
        <v>14</v>
      </c>
      <c r="D104" s="172" t="s">
        <v>15</v>
      </c>
      <c r="E104" s="173">
        <v>43039</v>
      </c>
      <c r="F104" s="174">
        <v>25</v>
      </c>
      <c r="G104" s="175" t="s">
        <v>16</v>
      </c>
      <c r="H104" s="172" t="s">
        <v>20</v>
      </c>
      <c r="I104" s="175">
        <v>1</v>
      </c>
      <c r="J104" s="175" t="s">
        <v>18</v>
      </c>
      <c r="K104" s="175" t="s">
        <v>74</v>
      </c>
      <c r="L104" s="172" t="s">
        <v>75</v>
      </c>
      <c r="M104" s="172" t="s">
        <v>76</v>
      </c>
    </row>
    <row r="105" spans="1:13" x14ac:dyDescent="0.2">
      <c r="A105" s="172" t="s">
        <v>72</v>
      </c>
      <c r="B105" s="172" t="s">
        <v>73</v>
      </c>
      <c r="C105" s="172" t="s">
        <v>14</v>
      </c>
      <c r="D105" s="172" t="s">
        <v>15</v>
      </c>
      <c r="E105" s="173">
        <v>43039</v>
      </c>
      <c r="F105" s="174">
        <v>137.19300000000001</v>
      </c>
      <c r="G105" s="175" t="s">
        <v>19</v>
      </c>
      <c r="H105" s="172" t="s">
        <v>20</v>
      </c>
      <c r="I105" s="175">
        <v>1</v>
      </c>
      <c r="J105" s="175" t="s">
        <v>18</v>
      </c>
      <c r="K105" s="175" t="s">
        <v>74</v>
      </c>
      <c r="L105" s="172" t="s">
        <v>75</v>
      </c>
      <c r="M105" s="172" t="s">
        <v>76</v>
      </c>
    </row>
    <row r="106" spans="1:13" x14ac:dyDescent="0.2">
      <c r="A106" s="172" t="s">
        <v>72</v>
      </c>
      <c r="B106" s="172" t="s">
        <v>73</v>
      </c>
      <c r="C106" s="172" t="s">
        <v>14</v>
      </c>
      <c r="D106" s="172" t="s">
        <v>15</v>
      </c>
      <c r="E106" s="173">
        <v>43032</v>
      </c>
      <c r="F106" s="174">
        <v>20</v>
      </c>
      <c r="G106" s="175" t="s">
        <v>16</v>
      </c>
      <c r="H106" s="172" t="s">
        <v>17</v>
      </c>
      <c r="I106" s="175">
        <v>1</v>
      </c>
      <c r="J106" s="175" t="s">
        <v>18</v>
      </c>
      <c r="K106" s="175" t="s">
        <v>74</v>
      </c>
      <c r="L106" s="172" t="s">
        <v>75</v>
      </c>
      <c r="M106" s="172" t="s">
        <v>17</v>
      </c>
    </row>
    <row r="107" spans="1:13" x14ac:dyDescent="0.2">
      <c r="A107" s="172" t="s">
        <v>72</v>
      </c>
      <c r="B107" s="172" t="s">
        <v>73</v>
      </c>
      <c r="C107" s="172" t="s">
        <v>14</v>
      </c>
      <c r="D107" s="172" t="s">
        <v>15</v>
      </c>
      <c r="E107" s="173">
        <v>43032</v>
      </c>
      <c r="F107" s="174">
        <v>102.4152</v>
      </c>
      <c r="G107" s="175" t="s">
        <v>19</v>
      </c>
      <c r="H107" s="172" t="s">
        <v>17</v>
      </c>
      <c r="I107" s="175">
        <v>1</v>
      </c>
      <c r="J107" s="175" t="s">
        <v>18</v>
      </c>
      <c r="K107" s="175" t="s">
        <v>74</v>
      </c>
      <c r="L107" s="172" t="s">
        <v>75</v>
      </c>
      <c r="M107" s="172" t="s">
        <v>17</v>
      </c>
    </row>
    <row r="108" spans="1:13" x14ac:dyDescent="0.2">
      <c r="A108" s="172" t="s">
        <v>72</v>
      </c>
      <c r="B108" s="172" t="s">
        <v>73</v>
      </c>
      <c r="C108" s="172" t="s">
        <v>14</v>
      </c>
      <c r="D108" s="172" t="s">
        <v>15</v>
      </c>
      <c r="E108" s="173">
        <v>43032</v>
      </c>
      <c r="F108" s="174">
        <v>16</v>
      </c>
      <c r="G108" s="175" t="s">
        <v>16</v>
      </c>
      <c r="H108" s="172" t="s">
        <v>20</v>
      </c>
      <c r="I108" s="175">
        <v>1</v>
      </c>
      <c r="J108" s="175" t="s">
        <v>18</v>
      </c>
      <c r="K108" s="175" t="s">
        <v>74</v>
      </c>
      <c r="L108" s="172" t="s">
        <v>75</v>
      </c>
      <c r="M108" s="172" t="s">
        <v>76</v>
      </c>
    </row>
    <row r="109" spans="1:13" x14ac:dyDescent="0.2">
      <c r="A109" s="172" t="s">
        <v>72</v>
      </c>
      <c r="B109" s="172" t="s">
        <v>73</v>
      </c>
      <c r="C109" s="172" t="s">
        <v>14</v>
      </c>
      <c r="D109" s="172" t="s">
        <v>15</v>
      </c>
      <c r="E109" s="173">
        <v>43032</v>
      </c>
      <c r="F109" s="174">
        <v>93.674880000000002</v>
      </c>
      <c r="G109" s="175" t="s">
        <v>19</v>
      </c>
      <c r="H109" s="172" t="s">
        <v>20</v>
      </c>
      <c r="I109" s="175">
        <v>1</v>
      </c>
      <c r="J109" s="175" t="s">
        <v>18</v>
      </c>
      <c r="K109" s="175" t="s">
        <v>74</v>
      </c>
      <c r="L109" s="172" t="s">
        <v>75</v>
      </c>
      <c r="M109" s="172" t="s">
        <v>76</v>
      </c>
    </row>
    <row r="110" spans="1:13" x14ac:dyDescent="0.2">
      <c r="A110" s="172" t="s">
        <v>72</v>
      </c>
      <c r="B110" s="172" t="s">
        <v>73</v>
      </c>
      <c r="C110" s="172" t="s">
        <v>14</v>
      </c>
      <c r="D110" s="172" t="s">
        <v>15</v>
      </c>
      <c r="E110" s="173">
        <v>43025</v>
      </c>
      <c r="F110" s="174">
        <v>21</v>
      </c>
      <c r="G110" s="175" t="s">
        <v>16</v>
      </c>
      <c r="H110" s="172" t="s">
        <v>17</v>
      </c>
      <c r="I110" s="175">
        <v>1</v>
      </c>
      <c r="J110" s="175" t="s">
        <v>18</v>
      </c>
      <c r="K110" s="175" t="s">
        <v>74</v>
      </c>
      <c r="L110" s="172" t="s">
        <v>75</v>
      </c>
      <c r="M110" s="172" t="s">
        <v>17</v>
      </c>
    </row>
    <row r="111" spans="1:13" x14ac:dyDescent="0.2">
      <c r="A111" s="172" t="s">
        <v>72</v>
      </c>
      <c r="B111" s="172" t="s">
        <v>73</v>
      </c>
      <c r="C111" s="172" t="s">
        <v>14</v>
      </c>
      <c r="D111" s="172" t="s">
        <v>15</v>
      </c>
      <c r="E111" s="173">
        <v>43025</v>
      </c>
      <c r="F111" s="174">
        <v>104.55858000000001</v>
      </c>
      <c r="G111" s="175" t="s">
        <v>19</v>
      </c>
      <c r="H111" s="172" t="s">
        <v>17</v>
      </c>
      <c r="I111" s="175">
        <v>1</v>
      </c>
      <c r="J111" s="175" t="s">
        <v>18</v>
      </c>
      <c r="K111" s="175" t="s">
        <v>74</v>
      </c>
      <c r="L111" s="172" t="s">
        <v>75</v>
      </c>
      <c r="M111" s="172" t="s">
        <v>17</v>
      </c>
    </row>
    <row r="112" spans="1:13" x14ac:dyDescent="0.2">
      <c r="A112" s="172" t="s">
        <v>72</v>
      </c>
      <c r="B112" s="172" t="s">
        <v>73</v>
      </c>
      <c r="C112" s="172" t="s">
        <v>14</v>
      </c>
      <c r="D112" s="172" t="s">
        <v>15</v>
      </c>
      <c r="E112" s="173">
        <v>43025</v>
      </c>
      <c r="F112" s="174">
        <v>14</v>
      </c>
      <c r="G112" s="175" t="s">
        <v>16</v>
      </c>
      <c r="H112" s="172" t="s">
        <v>20</v>
      </c>
      <c r="I112" s="175">
        <v>1</v>
      </c>
      <c r="J112" s="175" t="s">
        <v>18</v>
      </c>
      <c r="K112" s="175" t="s">
        <v>74</v>
      </c>
      <c r="L112" s="172" t="s">
        <v>75</v>
      </c>
      <c r="M112" s="172" t="s">
        <v>76</v>
      </c>
    </row>
    <row r="113" spans="1:13" x14ac:dyDescent="0.2">
      <c r="A113" s="172" t="s">
        <v>72</v>
      </c>
      <c r="B113" s="172" t="s">
        <v>73</v>
      </c>
      <c r="C113" s="172" t="s">
        <v>14</v>
      </c>
      <c r="D113" s="172" t="s">
        <v>15</v>
      </c>
      <c r="E113" s="173">
        <v>43025</v>
      </c>
      <c r="F113" s="174">
        <v>89.554919999999996</v>
      </c>
      <c r="G113" s="175" t="s">
        <v>19</v>
      </c>
      <c r="H113" s="172" t="s">
        <v>20</v>
      </c>
      <c r="I113" s="175">
        <v>1</v>
      </c>
      <c r="J113" s="175" t="s">
        <v>18</v>
      </c>
      <c r="K113" s="175" t="s">
        <v>74</v>
      </c>
      <c r="L113" s="172" t="s">
        <v>75</v>
      </c>
      <c r="M113" s="172" t="s">
        <v>76</v>
      </c>
    </row>
    <row r="114" spans="1:13" x14ac:dyDescent="0.2">
      <c r="A114" s="172" t="s">
        <v>72</v>
      </c>
      <c r="B114" s="172" t="s">
        <v>73</v>
      </c>
      <c r="C114" s="172" t="s">
        <v>14</v>
      </c>
      <c r="D114" s="172" t="s">
        <v>15</v>
      </c>
      <c r="E114" s="173">
        <v>43019</v>
      </c>
      <c r="F114" s="174">
        <v>26</v>
      </c>
      <c r="G114" s="175" t="s">
        <v>16</v>
      </c>
      <c r="H114" s="172" t="s">
        <v>17</v>
      </c>
      <c r="I114" s="175">
        <v>1</v>
      </c>
      <c r="J114" s="175" t="s">
        <v>18</v>
      </c>
      <c r="K114" s="175" t="s">
        <v>74</v>
      </c>
      <c r="L114" s="172" t="s">
        <v>75</v>
      </c>
      <c r="M114" s="172" t="s">
        <v>17</v>
      </c>
    </row>
    <row r="115" spans="1:13" x14ac:dyDescent="0.2">
      <c r="A115" s="172" t="s">
        <v>72</v>
      </c>
      <c r="B115" s="172" t="s">
        <v>73</v>
      </c>
      <c r="C115" s="172" t="s">
        <v>14</v>
      </c>
      <c r="D115" s="172" t="s">
        <v>15</v>
      </c>
      <c r="E115" s="173">
        <v>43019</v>
      </c>
      <c r="F115" s="174">
        <v>250.23336</v>
      </c>
      <c r="G115" s="175" t="s">
        <v>19</v>
      </c>
      <c r="H115" s="172" t="s">
        <v>17</v>
      </c>
      <c r="I115" s="175">
        <v>1</v>
      </c>
      <c r="J115" s="175" t="s">
        <v>18</v>
      </c>
      <c r="K115" s="175" t="s">
        <v>74</v>
      </c>
      <c r="L115" s="172" t="s">
        <v>75</v>
      </c>
      <c r="M115" s="172" t="s">
        <v>17</v>
      </c>
    </row>
    <row r="116" spans="1:13" x14ac:dyDescent="0.2">
      <c r="A116" s="172" t="s">
        <v>72</v>
      </c>
      <c r="B116" s="172" t="s">
        <v>73</v>
      </c>
      <c r="C116" s="172" t="s">
        <v>14</v>
      </c>
      <c r="D116" s="172" t="s">
        <v>15</v>
      </c>
      <c r="E116" s="173">
        <v>43019</v>
      </c>
      <c r="F116" s="174">
        <v>13</v>
      </c>
      <c r="G116" s="175" t="s">
        <v>16</v>
      </c>
      <c r="H116" s="172" t="s">
        <v>20</v>
      </c>
      <c r="I116" s="175">
        <v>1</v>
      </c>
      <c r="J116" s="175" t="s">
        <v>18</v>
      </c>
      <c r="K116" s="175" t="s">
        <v>74</v>
      </c>
      <c r="L116" s="172" t="s">
        <v>75</v>
      </c>
      <c r="M116" s="172" t="s">
        <v>76</v>
      </c>
    </row>
    <row r="117" spans="1:13" x14ac:dyDescent="0.2">
      <c r="A117" s="172" t="s">
        <v>72</v>
      </c>
      <c r="B117" s="172" t="s">
        <v>73</v>
      </c>
      <c r="C117" s="172" t="s">
        <v>14</v>
      </c>
      <c r="D117" s="172" t="s">
        <v>15</v>
      </c>
      <c r="E117" s="173">
        <v>43019</v>
      </c>
      <c r="F117" s="174">
        <v>135.74184</v>
      </c>
      <c r="G117" s="175" t="s">
        <v>19</v>
      </c>
      <c r="H117" s="172" t="s">
        <v>20</v>
      </c>
      <c r="I117" s="175">
        <v>1</v>
      </c>
      <c r="J117" s="175" t="s">
        <v>18</v>
      </c>
      <c r="K117" s="175" t="s">
        <v>74</v>
      </c>
      <c r="L117" s="172" t="s">
        <v>75</v>
      </c>
      <c r="M117" s="172" t="s">
        <v>76</v>
      </c>
    </row>
    <row r="118" spans="1:13" x14ac:dyDescent="0.2">
      <c r="A118" s="172" t="s">
        <v>72</v>
      </c>
      <c r="B118" s="172" t="s">
        <v>73</v>
      </c>
      <c r="C118" s="172" t="s">
        <v>14</v>
      </c>
      <c r="D118" s="172" t="s">
        <v>15</v>
      </c>
      <c r="E118" s="173">
        <v>43011</v>
      </c>
      <c r="F118" s="174">
        <v>29</v>
      </c>
      <c r="G118" s="175" t="s">
        <v>16</v>
      </c>
      <c r="H118" s="172" t="s">
        <v>17</v>
      </c>
      <c r="I118" s="175">
        <v>1</v>
      </c>
      <c r="J118" s="175" t="s">
        <v>18</v>
      </c>
      <c r="K118" s="175" t="s">
        <v>74</v>
      </c>
      <c r="L118" s="172" t="s">
        <v>75</v>
      </c>
      <c r="M118" s="172" t="s">
        <v>17</v>
      </c>
    </row>
    <row r="119" spans="1:13" x14ac:dyDescent="0.2">
      <c r="A119" s="172" t="s">
        <v>72</v>
      </c>
      <c r="B119" s="172" t="s">
        <v>73</v>
      </c>
      <c r="C119" s="172" t="s">
        <v>14</v>
      </c>
      <c r="D119" s="172" t="s">
        <v>15</v>
      </c>
      <c r="E119" s="173">
        <v>43011</v>
      </c>
      <c r="F119" s="174">
        <v>120.68814</v>
      </c>
      <c r="G119" s="175" t="s">
        <v>19</v>
      </c>
      <c r="H119" s="172" t="s">
        <v>17</v>
      </c>
      <c r="I119" s="175">
        <v>1</v>
      </c>
      <c r="J119" s="175" t="s">
        <v>18</v>
      </c>
      <c r="K119" s="175" t="s">
        <v>74</v>
      </c>
      <c r="L119" s="172" t="s">
        <v>75</v>
      </c>
      <c r="M119" s="172" t="s">
        <v>17</v>
      </c>
    </row>
    <row r="120" spans="1:13" x14ac:dyDescent="0.2">
      <c r="A120" s="172" t="s">
        <v>72</v>
      </c>
      <c r="B120" s="172" t="s">
        <v>73</v>
      </c>
      <c r="C120" s="172" t="s">
        <v>14</v>
      </c>
      <c r="D120" s="172" t="s">
        <v>15</v>
      </c>
      <c r="E120" s="173">
        <v>43011</v>
      </c>
      <c r="F120" s="174">
        <v>6.42</v>
      </c>
      <c r="G120" s="175" t="s">
        <v>16</v>
      </c>
      <c r="H120" s="172" t="s">
        <v>20</v>
      </c>
      <c r="I120" s="175">
        <v>1</v>
      </c>
      <c r="J120" s="175" t="s">
        <v>18</v>
      </c>
      <c r="K120" s="175" t="s">
        <v>74</v>
      </c>
      <c r="L120" s="172" t="s">
        <v>75</v>
      </c>
      <c r="M120" s="172" t="s">
        <v>76</v>
      </c>
    </row>
    <row r="121" spans="1:13" x14ac:dyDescent="0.2">
      <c r="A121" s="172" t="s">
        <v>72</v>
      </c>
      <c r="B121" s="172" t="s">
        <v>73</v>
      </c>
      <c r="C121" s="172" t="s">
        <v>14</v>
      </c>
      <c r="D121" s="172" t="s">
        <v>15</v>
      </c>
      <c r="E121" s="173">
        <v>43011</v>
      </c>
      <c r="F121" s="174">
        <v>32.446936800000003</v>
      </c>
      <c r="G121" s="175" t="s">
        <v>19</v>
      </c>
      <c r="H121" s="172" t="s">
        <v>20</v>
      </c>
      <c r="I121" s="175">
        <v>1</v>
      </c>
      <c r="J121" s="175" t="s">
        <v>18</v>
      </c>
      <c r="K121" s="175" t="s">
        <v>74</v>
      </c>
      <c r="L121" s="172" t="s">
        <v>75</v>
      </c>
      <c r="M121" s="172" t="s">
        <v>76</v>
      </c>
    </row>
    <row r="122" spans="1:13" x14ac:dyDescent="0.2">
      <c r="A122" s="172" t="s">
        <v>72</v>
      </c>
      <c r="B122" s="172" t="s">
        <v>73</v>
      </c>
      <c r="C122" s="172" t="s">
        <v>14</v>
      </c>
      <c r="D122" s="172" t="s">
        <v>15</v>
      </c>
      <c r="E122" s="173">
        <v>43004</v>
      </c>
      <c r="F122" s="174">
        <v>29</v>
      </c>
      <c r="G122" s="175" t="s">
        <v>16</v>
      </c>
      <c r="H122" s="172" t="s">
        <v>17</v>
      </c>
      <c r="I122" s="175">
        <v>1</v>
      </c>
      <c r="J122" s="175" t="s">
        <v>18</v>
      </c>
      <c r="K122" s="175" t="s">
        <v>74</v>
      </c>
      <c r="L122" s="172" t="s">
        <v>75</v>
      </c>
      <c r="M122" s="172" t="s">
        <v>17</v>
      </c>
    </row>
    <row r="123" spans="1:13" x14ac:dyDescent="0.2">
      <c r="A123" s="172" t="s">
        <v>72</v>
      </c>
      <c r="B123" s="172" t="s">
        <v>73</v>
      </c>
      <c r="C123" s="172" t="s">
        <v>14</v>
      </c>
      <c r="D123" s="172" t="s">
        <v>15</v>
      </c>
      <c r="E123" s="173">
        <v>43004</v>
      </c>
      <c r="F123" s="174">
        <v>112.94862000000001</v>
      </c>
      <c r="G123" s="175" t="s">
        <v>19</v>
      </c>
      <c r="H123" s="172" t="s">
        <v>17</v>
      </c>
      <c r="I123" s="175">
        <v>1</v>
      </c>
      <c r="J123" s="175" t="s">
        <v>18</v>
      </c>
      <c r="K123" s="175" t="s">
        <v>74</v>
      </c>
      <c r="L123" s="172" t="s">
        <v>75</v>
      </c>
      <c r="M123" s="172" t="s">
        <v>17</v>
      </c>
    </row>
    <row r="124" spans="1:13" x14ac:dyDescent="0.2">
      <c r="A124" s="172" t="s">
        <v>72</v>
      </c>
      <c r="B124" s="172" t="s">
        <v>73</v>
      </c>
      <c r="C124" s="172" t="s">
        <v>14</v>
      </c>
      <c r="D124" s="172" t="s">
        <v>15</v>
      </c>
      <c r="E124" s="173">
        <v>43004</v>
      </c>
      <c r="F124" s="174">
        <v>15</v>
      </c>
      <c r="G124" s="175" t="s">
        <v>16</v>
      </c>
      <c r="H124" s="172" t="s">
        <v>20</v>
      </c>
      <c r="I124" s="175">
        <v>1</v>
      </c>
      <c r="J124" s="175" t="s">
        <v>18</v>
      </c>
      <c r="K124" s="175" t="s">
        <v>74</v>
      </c>
      <c r="L124" s="172" t="s">
        <v>75</v>
      </c>
      <c r="M124" s="172" t="s">
        <v>76</v>
      </c>
    </row>
    <row r="125" spans="1:13" x14ac:dyDescent="0.2">
      <c r="A125" s="172" t="s">
        <v>72</v>
      </c>
      <c r="B125" s="172" t="s">
        <v>73</v>
      </c>
      <c r="C125" s="172" t="s">
        <v>14</v>
      </c>
      <c r="D125" s="172" t="s">
        <v>15</v>
      </c>
      <c r="E125" s="173">
        <v>43004</v>
      </c>
      <c r="F125" s="174">
        <v>67.303799999999995</v>
      </c>
      <c r="G125" s="175" t="s">
        <v>19</v>
      </c>
      <c r="H125" s="172" t="s">
        <v>20</v>
      </c>
      <c r="I125" s="175">
        <v>1</v>
      </c>
      <c r="J125" s="175" t="s">
        <v>18</v>
      </c>
      <c r="K125" s="175" t="s">
        <v>74</v>
      </c>
      <c r="L125" s="172" t="s">
        <v>75</v>
      </c>
      <c r="M125" s="172" t="s">
        <v>76</v>
      </c>
    </row>
    <row r="126" spans="1:13" x14ac:dyDescent="0.2">
      <c r="A126" s="172" t="s">
        <v>72</v>
      </c>
      <c r="B126" s="172" t="s">
        <v>73</v>
      </c>
      <c r="C126" s="172" t="s">
        <v>14</v>
      </c>
      <c r="D126" s="172" t="s">
        <v>15</v>
      </c>
      <c r="E126" s="173">
        <v>42997</v>
      </c>
      <c r="F126" s="174">
        <v>6.165</v>
      </c>
      <c r="G126" s="175" t="s">
        <v>16</v>
      </c>
      <c r="H126" s="172" t="s">
        <v>17</v>
      </c>
      <c r="I126" s="175">
        <v>1</v>
      </c>
      <c r="J126" s="175" t="s">
        <v>18</v>
      </c>
      <c r="K126" s="175" t="s">
        <v>74</v>
      </c>
      <c r="L126" s="172" t="s">
        <v>75</v>
      </c>
      <c r="M126" s="172" t="s">
        <v>17</v>
      </c>
    </row>
    <row r="127" spans="1:13" x14ac:dyDescent="0.2">
      <c r="A127" s="172" t="s">
        <v>72</v>
      </c>
      <c r="B127" s="172" t="s">
        <v>73</v>
      </c>
      <c r="C127" s="172" t="s">
        <v>14</v>
      </c>
      <c r="D127" s="172" t="s">
        <v>15</v>
      </c>
      <c r="E127" s="173">
        <v>42997</v>
      </c>
      <c r="F127" s="174">
        <v>30.952492199999998</v>
      </c>
      <c r="G127" s="175" t="s">
        <v>19</v>
      </c>
      <c r="H127" s="172" t="s">
        <v>17</v>
      </c>
      <c r="I127" s="175">
        <v>1</v>
      </c>
      <c r="J127" s="175" t="s">
        <v>18</v>
      </c>
      <c r="K127" s="175" t="s">
        <v>74</v>
      </c>
      <c r="L127" s="172" t="s">
        <v>75</v>
      </c>
      <c r="M127" s="172" t="s">
        <v>17</v>
      </c>
    </row>
    <row r="128" spans="1:13" x14ac:dyDescent="0.2">
      <c r="A128" s="172" t="s">
        <v>72</v>
      </c>
      <c r="B128" s="172" t="s">
        <v>73</v>
      </c>
      <c r="C128" s="172" t="s">
        <v>14</v>
      </c>
      <c r="D128" s="172" t="s">
        <v>15</v>
      </c>
      <c r="E128" s="173">
        <v>42997</v>
      </c>
      <c r="F128" s="174">
        <v>2.6179999999999999</v>
      </c>
      <c r="G128" s="175" t="s">
        <v>16</v>
      </c>
      <c r="H128" s="172" t="s">
        <v>20</v>
      </c>
      <c r="I128" s="175">
        <v>1</v>
      </c>
      <c r="J128" s="175" t="s">
        <v>18</v>
      </c>
      <c r="K128" s="175" t="s">
        <v>74</v>
      </c>
      <c r="L128" s="172" t="s">
        <v>75</v>
      </c>
      <c r="M128" s="172" t="s">
        <v>76</v>
      </c>
    </row>
    <row r="129" spans="1:13" x14ac:dyDescent="0.2">
      <c r="A129" s="172" t="s">
        <v>72</v>
      </c>
      <c r="B129" s="172" t="s">
        <v>73</v>
      </c>
      <c r="C129" s="172" t="s">
        <v>14</v>
      </c>
      <c r="D129" s="172" t="s">
        <v>15</v>
      </c>
      <c r="E129" s="173">
        <v>42997</v>
      </c>
      <c r="F129" s="174">
        <v>13.3624814</v>
      </c>
      <c r="G129" s="175" t="s">
        <v>19</v>
      </c>
      <c r="H129" s="172" t="s">
        <v>20</v>
      </c>
      <c r="I129" s="175">
        <v>1</v>
      </c>
      <c r="J129" s="175" t="s">
        <v>18</v>
      </c>
      <c r="K129" s="175" t="s">
        <v>74</v>
      </c>
      <c r="L129" s="172" t="s">
        <v>75</v>
      </c>
      <c r="M129" s="172" t="s">
        <v>76</v>
      </c>
    </row>
    <row r="130" spans="1:13" x14ac:dyDescent="0.2">
      <c r="A130" s="172" t="s">
        <v>72</v>
      </c>
      <c r="B130" s="172" t="s">
        <v>73</v>
      </c>
      <c r="C130" s="172" t="s">
        <v>14</v>
      </c>
      <c r="D130" s="172" t="s">
        <v>15</v>
      </c>
      <c r="E130" s="173">
        <v>42990</v>
      </c>
      <c r="F130" s="174">
        <v>6.9790000000000001</v>
      </c>
      <c r="G130" s="175" t="s">
        <v>16</v>
      </c>
      <c r="H130" s="172" t="s">
        <v>17</v>
      </c>
      <c r="I130" s="175">
        <v>1</v>
      </c>
      <c r="J130" s="175" t="s">
        <v>18</v>
      </c>
      <c r="K130" s="175" t="s">
        <v>74</v>
      </c>
      <c r="L130" s="172" t="s">
        <v>75</v>
      </c>
      <c r="M130" s="172" t="s">
        <v>17</v>
      </c>
    </row>
    <row r="131" spans="1:13" x14ac:dyDescent="0.2">
      <c r="A131" s="172" t="s">
        <v>72</v>
      </c>
      <c r="B131" s="172" t="s">
        <v>73</v>
      </c>
      <c r="C131" s="172" t="s">
        <v>14</v>
      </c>
      <c r="D131" s="172" t="s">
        <v>15</v>
      </c>
      <c r="E131" s="173">
        <v>42990</v>
      </c>
      <c r="F131" s="174">
        <v>24.6206557</v>
      </c>
      <c r="G131" s="175" t="s">
        <v>19</v>
      </c>
      <c r="H131" s="172" t="s">
        <v>17</v>
      </c>
      <c r="I131" s="175">
        <v>1</v>
      </c>
      <c r="J131" s="175" t="s">
        <v>18</v>
      </c>
      <c r="K131" s="175" t="s">
        <v>74</v>
      </c>
      <c r="L131" s="172" t="s">
        <v>75</v>
      </c>
      <c r="M131" s="172" t="s">
        <v>17</v>
      </c>
    </row>
    <row r="132" spans="1:13" x14ac:dyDescent="0.2">
      <c r="A132" s="172" t="s">
        <v>72</v>
      </c>
      <c r="B132" s="172" t="s">
        <v>73</v>
      </c>
      <c r="C132" s="172" t="s">
        <v>14</v>
      </c>
      <c r="D132" s="172" t="s">
        <v>15</v>
      </c>
      <c r="E132" s="173">
        <v>42990</v>
      </c>
      <c r="F132" s="174">
        <v>3.0465</v>
      </c>
      <c r="G132" s="175" t="s">
        <v>16</v>
      </c>
      <c r="H132" s="172" t="s">
        <v>20</v>
      </c>
      <c r="I132" s="175">
        <v>1</v>
      </c>
      <c r="J132" s="175" t="s">
        <v>18</v>
      </c>
      <c r="K132" s="175" t="s">
        <v>74</v>
      </c>
      <c r="L132" s="172" t="s">
        <v>75</v>
      </c>
      <c r="M132" s="172" t="s">
        <v>76</v>
      </c>
    </row>
    <row r="133" spans="1:13" x14ac:dyDescent="0.2">
      <c r="A133" s="172" t="s">
        <v>72</v>
      </c>
      <c r="B133" s="172" t="s">
        <v>73</v>
      </c>
      <c r="C133" s="172" t="s">
        <v>14</v>
      </c>
      <c r="D133" s="172" t="s">
        <v>15</v>
      </c>
      <c r="E133" s="173">
        <v>42990</v>
      </c>
      <c r="F133" s="174">
        <v>12.5260503</v>
      </c>
      <c r="G133" s="175" t="s">
        <v>19</v>
      </c>
      <c r="H133" s="172" t="s">
        <v>20</v>
      </c>
      <c r="I133" s="175">
        <v>1</v>
      </c>
      <c r="J133" s="175" t="s">
        <v>18</v>
      </c>
      <c r="K133" s="175" t="s">
        <v>74</v>
      </c>
      <c r="L133" s="172" t="s">
        <v>75</v>
      </c>
      <c r="M133" s="172" t="s">
        <v>76</v>
      </c>
    </row>
    <row r="134" spans="1:13" x14ac:dyDescent="0.2">
      <c r="A134" s="172" t="s">
        <v>72</v>
      </c>
      <c r="B134" s="172" t="s">
        <v>73</v>
      </c>
      <c r="C134" s="172" t="s">
        <v>14</v>
      </c>
      <c r="D134" s="172" t="s">
        <v>15</v>
      </c>
      <c r="E134" s="173">
        <v>42983</v>
      </c>
      <c r="F134" s="174">
        <v>6.5190000000000001</v>
      </c>
      <c r="G134" s="175" t="s">
        <v>16</v>
      </c>
      <c r="H134" s="172" t="s">
        <v>17</v>
      </c>
      <c r="I134" s="175">
        <v>1</v>
      </c>
      <c r="J134" s="175" t="s">
        <v>18</v>
      </c>
      <c r="K134" s="175" t="s">
        <v>74</v>
      </c>
      <c r="L134" s="172" t="s">
        <v>75</v>
      </c>
      <c r="M134" s="172" t="s">
        <v>17</v>
      </c>
    </row>
    <row r="135" spans="1:13" x14ac:dyDescent="0.2">
      <c r="A135" s="172" t="s">
        <v>72</v>
      </c>
      <c r="B135" s="172" t="s">
        <v>73</v>
      </c>
      <c r="C135" s="172" t="s">
        <v>14</v>
      </c>
      <c r="D135" s="172" t="s">
        <v>15</v>
      </c>
      <c r="E135" s="173">
        <v>42983</v>
      </c>
      <c r="F135" s="174">
        <v>23.160963899999999</v>
      </c>
      <c r="G135" s="175" t="s">
        <v>19</v>
      </c>
      <c r="H135" s="172" t="s">
        <v>17</v>
      </c>
      <c r="I135" s="175">
        <v>1</v>
      </c>
      <c r="J135" s="175" t="s">
        <v>18</v>
      </c>
      <c r="K135" s="175" t="s">
        <v>74</v>
      </c>
      <c r="L135" s="172" t="s">
        <v>75</v>
      </c>
      <c r="M135" s="172" t="s">
        <v>17</v>
      </c>
    </row>
    <row r="136" spans="1:13" x14ac:dyDescent="0.2">
      <c r="A136" s="172" t="s">
        <v>72</v>
      </c>
      <c r="B136" s="172" t="s">
        <v>73</v>
      </c>
      <c r="C136" s="172" t="s">
        <v>14</v>
      </c>
      <c r="D136" s="172" t="s">
        <v>15</v>
      </c>
      <c r="E136" s="173">
        <v>42983</v>
      </c>
      <c r="F136" s="174">
        <v>2.2759999999999998</v>
      </c>
      <c r="G136" s="175" t="s">
        <v>16</v>
      </c>
      <c r="H136" s="172" t="s">
        <v>20</v>
      </c>
      <c r="I136" s="175">
        <v>1</v>
      </c>
      <c r="J136" s="175" t="s">
        <v>18</v>
      </c>
      <c r="K136" s="175" t="s">
        <v>74</v>
      </c>
      <c r="L136" s="172" t="s">
        <v>75</v>
      </c>
      <c r="M136" s="172" t="s">
        <v>76</v>
      </c>
    </row>
    <row r="137" spans="1:13" x14ac:dyDescent="0.2">
      <c r="A137" s="172" t="s">
        <v>72</v>
      </c>
      <c r="B137" s="172" t="s">
        <v>73</v>
      </c>
      <c r="C137" s="172" t="s">
        <v>14</v>
      </c>
      <c r="D137" s="172" t="s">
        <v>15</v>
      </c>
      <c r="E137" s="173">
        <v>42983</v>
      </c>
      <c r="F137" s="174">
        <v>9.4339744000000003</v>
      </c>
      <c r="G137" s="175" t="s">
        <v>19</v>
      </c>
      <c r="H137" s="172" t="s">
        <v>20</v>
      </c>
      <c r="I137" s="175">
        <v>1</v>
      </c>
      <c r="J137" s="175" t="s">
        <v>18</v>
      </c>
      <c r="K137" s="175" t="s">
        <v>74</v>
      </c>
      <c r="L137" s="172" t="s">
        <v>75</v>
      </c>
      <c r="M137" s="172" t="s">
        <v>76</v>
      </c>
    </row>
    <row r="138" spans="1:13" x14ac:dyDescent="0.2">
      <c r="A138" s="172" t="s">
        <v>72</v>
      </c>
      <c r="B138" s="172" t="s">
        <v>73</v>
      </c>
      <c r="C138" s="172" t="s">
        <v>14</v>
      </c>
      <c r="D138" s="172" t="s">
        <v>15</v>
      </c>
      <c r="E138" s="173">
        <v>42976</v>
      </c>
      <c r="F138" s="174">
        <v>6.4</v>
      </c>
      <c r="G138" s="175" t="s">
        <v>16</v>
      </c>
      <c r="H138" s="172" t="s">
        <v>17</v>
      </c>
      <c r="I138" s="175">
        <v>1</v>
      </c>
      <c r="J138" s="175" t="s">
        <v>18</v>
      </c>
      <c r="K138" s="175" t="s">
        <v>74</v>
      </c>
      <c r="L138" s="172" t="s">
        <v>75</v>
      </c>
      <c r="M138" s="172" t="s">
        <v>17</v>
      </c>
    </row>
    <row r="139" spans="1:13" x14ac:dyDescent="0.2">
      <c r="A139" s="172" t="s">
        <v>72</v>
      </c>
      <c r="B139" s="172" t="s">
        <v>73</v>
      </c>
      <c r="C139" s="172" t="s">
        <v>14</v>
      </c>
      <c r="D139" s="172" t="s">
        <v>15</v>
      </c>
      <c r="E139" s="173">
        <v>42976</v>
      </c>
      <c r="F139" s="174">
        <v>23.592192000000001</v>
      </c>
      <c r="G139" s="175" t="s">
        <v>19</v>
      </c>
      <c r="H139" s="172" t="s">
        <v>17</v>
      </c>
      <c r="I139" s="175">
        <v>1</v>
      </c>
      <c r="J139" s="175" t="s">
        <v>18</v>
      </c>
      <c r="K139" s="175" t="s">
        <v>74</v>
      </c>
      <c r="L139" s="172" t="s">
        <v>75</v>
      </c>
      <c r="M139" s="172" t="s">
        <v>17</v>
      </c>
    </row>
    <row r="140" spans="1:13" x14ac:dyDescent="0.2">
      <c r="A140" s="172" t="s">
        <v>72</v>
      </c>
      <c r="B140" s="172" t="s">
        <v>73</v>
      </c>
      <c r="C140" s="172" t="s">
        <v>14</v>
      </c>
      <c r="D140" s="172" t="s">
        <v>15</v>
      </c>
      <c r="E140" s="173">
        <v>42976</v>
      </c>
      <c r="F140" s="174">
        <v>2.141</v>
      </c>
      <c r="G140" s="175" t="s">
        <v>16</v>
      </c>
      <c r="H140" s="172" t="s">
        <v>20</v>
      </c>
      <c r="I140" s="175">
        <v>1</v>
      </c>
      <c r="J140" s="175" t="s">
        <v>18</v>
      </c>
      <c r="K140" s="175" t="s">
        <v>74</v>
      </c>
      <c r="L140" s="172" t="s">
        <v>75</v>
      </c>
      <c r="M140" s="172" t="s">
        <v>76</v>
      </c>
    </row>
    <row r="141" spans="1:13" x14ac:dyDescent="0.2">
      <c r="A141" s="172" t="s">
        <v>72</v>
      </c>
      <c r="B141" s="172" t="s">
        <v>73</v>
      </c>
      <c r="C141" s="172" t="s">
        <v>14</v>
      </c>
      <c r="D141" s="172" t="s">
        <v>15</v>
      </c>
      <c r="E141" s="173">
        <v>42976</v>
      </c>
      <c r="F141" s="174">
        <v>9.7314872999999995</v>
      </c>
      <c r="G141" s="175" t="s">
        <v>19</v>
      </c>
      <c r="H141" s="172" t="s">
        <v>20</v>
      </c>
      <c r="I141" s="175">
        <v>1</v>
      </c>
      <c r="J141" s="175" t="s">
        <v>18</v>
      </c>
      <c r="K141" s="175" t="s">
        <v>74</v>
      </c>
      <c r="L141" s="172" t="s">
        <v>75</v>
      </c>
      <c r="M141" s="172" t="s">
        <v>76</v>
      </c>
    </row>
    <row r="142" spans="1:13" x14ac:dyDescent="0.2">
      <c r="A142" s="172" t="s">
        <v>72</v>
      </c>
      <c r="B142" s="172" t="s">
        <v>73</v>
      </c>
      <c r="C142" s="172" t="s">
        <v>14</v>
      </c>
      <c r="D142" s="172" t="s">
        <v>15</v>
      </c>
      <c r="E142" s="173">
        <v>42969</v>
      </c>
      <c r="F142" s="174">
        <v>5.5119999999999996</v>
      </c>
      <c r="G142" s="175" t="s">
        <v>16</v>
      </c>
      <c r="H142" s="172" t="s">
        <v>17</v>
      </c>
      <c r="I142" s="175">
        <v>1</v>
      </c>
      <c r="J142" s="175" t="s">
        <v>18</v>
      </c>
      <c r="K142" s="175" t="s">
        <v>74</v>
      </c>
      <c r="L142" s="172" t="s">
        <v>75</v>
      </c>
      <c r="M142" s="172" t="s">
        <v>17</v>
      </c>
    </row>
    <row r="143" spans="1:13" x14ac:dyDescent="0.2">
      <c r="A143" s="172" t="s">
        <v>72</v>
      </c>
      <c r="B143" s="172" t="s">
        <v>73</v>
      </c>
      <c r="C143" s="172" t="s">
        <v>14</v>
      </c>
      <c r="D143" s="172" t="s">
        <v>15</v>
      </c>
      <c r="E143" s="173">
        <v>42969</v>
      </c>
      <c r="F143" s="174">
        <v>35.718752100000003</v>
      </c>
      <c r="G143" s="175" t="s">
        <v>19</v>
      </c>
      <c r="H143" s="172" t="s">
        <v>17</v>
      </c>
      <c r="I143" s="175">
        <v>1</v>
      </c>
      <c r="J143" s="175" t="s">
        <v>18</v>
      </c>
      <c r="K143" s="175" t="s">
        <v>74</v>
      </c>
      <c r="L143" s="172" t="s">
        <v>75</v>
      </c>
      <c r="M143" s="172" t="s">
        <v>17</v>
      </c>
    </row>
    <row r="144" spans="1:13" x14ac:dyDescent="0.2">
      <c r="A144" s="172" t="s">
        <v>72</v>
      </c>
      <c r="B144" s="172" t="s">
        <v>73</v>
      </c>
      <c r="C144" s="172" t="s">
        <v>14</v>
      </c>
      <c r="D144" s="172" t="s">
        <v>15</v>
      </c>
      <c r="E144" s="173">
        <v>42969</v>
      </c>
      <c r="F144" s="174">
        <v>1.8720000000000001</v>
      </c>
      <c r="G144" s="175" t="s">
        <v>16</v>
      </c>
      <c r="H144" s="172" t="s">
        <v>20</v>
      </c>
      <c r="I144" s="175">
        <v>1</v>
      </c>
      <c r="J144" s="175" t="s">
        <v>18</v>
      </c>
      <c r="K144" s="175" t="s">
        <v>74</v>
      </c>
      <c r="L144" s="172" t="s">
        <v>75</v>
      </c>
      <c r="M144" s="172" t="s">
        <v>76</v>
      </c>
    </row>
    <row r="145" spans="1:13" x14ac:dyDescent="0.2">
      <c r="A145" s="172" t="s">
        <v>72</v>
      </c>
      <c r="B145" s="172" t="s">
        <v>73</v>
      </c>
      <c r="C145" s="172" t="s">
        <v>14</v>
      </c>
      <c r="D145" s="172" t="s">
        <v>15</v>
      </c>
      <c r="E145" s="173">
        <v>42969</v>
      </c>
      <c r="F145" s="174">
        <v>12.3182467</v>
      </c>
      <c r="G145" s="175" t="s">
        <v>19</v>
      </c>
      <c r="H145" s="172" t="s">
        <v>20</v>
      </c>
      <c r="I145" s="175">
        <v>1</v>
      </c>
      <c r="J145" s="175" t="s">
        <v>18</v>
      </c>
      <c r="K145" s="175" t="s">
        <v>74</v>
      </c>
      <c r="L145" s="172" t="s">
        <v>75</v>
      </c>
      <c r="M145" s="172" t="s">
        <v>76</v>
      </c>
    </row>
    <row r="146" spans="1:13" x14ac:dyDescent="0.2">
      <c r="A146" s="172" t="s">
        <v>72</v>
      </c>
      <c r="B146" s="172" t="s">
        <v>73</v>
      </c>
      <c r="C146" s="172" t="s">
        <v>14</v>
      </c>
      <c r="D146" s="172" t="s">
        <v>15</v>
      </c>
      <c r="E146" s="173">
        <v>42962</v>
      </c>
      <c r="F146" s="174">
        <v>6.1379999999999999</v>
      </c>
      <c r="G146" s="175" t="s">
        <v>16</v>
      </c>
      <c r="H146" s="172" t="s">
        <v>17</v>
      </c>
      <c r="I146" s="175">
        <v>1</v>
      </c>
      <c r="J146" s="175" t="s">
        <v>18</v>
      </c>
      <c r="K146" s="175" t="s">
        <v>74</v>
      </c>
      <c r="L146" s="172" t="s">
        <v>75</v>
      </c>
      <c r="M146" s="172" t="s">
        <v>17</v>
      </c>
    </row>
    <row r="147" spans="1:13" x14ac:dyDescent="0.2">
      <c r="A147" s="172" t="s">
        <v>72</v>
      </c>
      <c r="B147" s="172" t="s">
        <v>73</v>
      </c>
      <c r="C147" s="172" t="s">
        <v>14</v>
      </c>
      <c r="D147" s="172" t="s">
        <v>15</v>
      </c>
      <c r="E147" s="173">
        <v>42962</v>
      </c>
      <c r="F147" s="174">
        <v>25.3395054</v>
      </c>
      <c r="G147" s="175" t="s">
        <v>19</v>
      </c>
      <c r="H147" s="172" t="s">
        <v>17</v>
      </c>
      <c r="I147" s="175">
        <v>1</v>
      </c>
      <c r="J147" s="175" t="s">
        <v>18</v>
      </c>
      <c r="K147" s="175" t="s">
        <v>74</v>
      </c>
      <c r="L147" s="172" t="s">
        <v>75</v>
      </c>
      <c r="M147" s="172" t="s">
        <v>17</v>
      </c>
    </row>
    <row r="148" spans="1:13" x14ac:dyDescent="0.2">
      <c r="A148" s="172" t="s">
        <v>72</v>
      </c>
      <c r="B148" s="172" t="s">
        <v>73</v>
      </c>
      <c r="C148" s="172" t="s">
        <v>14</v>
      </c>
      <c r="D148" s="172" t="s">
        <v>15</v>
      </c>
      <c r="E148" s="173">
        <v>42962</v>
      </c>
      <c r="F148" s="174">
        <v>1.6759999999999999</v>
      </c>
      <c r="G148" s="175" t="s">
        <v>16</v>
      </c>
      <c r="H148" s="172" t="s">
        <v>20</v>
      </c>
      <c r="I148" s="175">
        <v>1</v>
      </c>
      <c r="J148" s="175" t="s">
        <v>18</v>
      </c>
      <c r="K148" s="175" t="s">
        <v>74</v>
      </c>
      <c r="L148" s="172" t="s">
        <v>75</v>
      </c>
      <c r="M148" s="172" t="s">
        <v>76</v>
      </c>
    </row>
    <row r="149" spans="1:13" x14ac:dyDescent="0.2">
      <c r="A149" s="172" t="s">
        <v>72</v>
      </c>
      <c r="B149" s="172" t="s">
        <v>73</v>
      </c>
      <c r="C149" s="172" t="s">
        <v>14</v>
      </c>
      <c r="D149" s="172" t="s">
        <v>15</v>
      </c>
      <c r="E149" s="173">
        <v>42962</v>
      </c>
      <c r="F149" s="174">
        <v>7.7157676000000004</v>
      </c>
      <c r="G149" s="175" t="s">
        <v>19</v>
      </c>
      <c r="H149" s="172" t="s">
        <v>20</v>
      </c>
      <c r="I149" s="175">
        <v>1</v>
      </c>
      <c r="J149" s="175" t="s">
        <v>18</v>
      </c>
      <c r="K149" s="175" t="s">
        <v>74</v>
      </c>
      <c r="L149" s="172" t="s">
        <v>75</v>
      </c>
      <c r="M149" s="172" t="s">
        <v>76</v>
      </c>
    </row>
    <row r="150" spans="1:13" x14ac:dyDescent="0.2">
      <c r="A150" s="172" t="s">
        <v>72</v>
      </c>
      <c r="B150" s="172" t="s">
        <v>73</v>
      </c>
      <c r="C150" s="172" t="s">
        <v>14</v>
      </c>
      <c r="D150" s="172" t="s">
        <v>15</v>
      </c>
      <c r="E150" s="173">
        <v>42955</v>
      </c>
      <c r="F150" s="174">
        <v>6.8810000000000002</v>
      </c>
      <c r="G150" s="175" t="s">
        <v>16</v>
      </c>
      <c r="H150" s="172" t="s">
        <v>17</v>
      </c>
      <c r="I150" s="175">
        <v>1</v>
      </c>
      <c r="J150" s="175" t="s">
        <v>18</v>
      </c>
      <c r="K150" s="175" t="s">
        <v>74</v>
      </c>
      <c r="L150" s="172" t="s">
        <v>75</v>
      </c>
      <c r="M150" s="172" t="s">
        <v>17</v>
      </c>
    </row>
    <row r="151" spans="1:13" x14ac:dyDescent="0.2">
      <c r="A151" s="172" t="s">
        <v>72</v>
      </c>
      <c r="B151" s="172" t="s">
        <v>73</v>
      </c>
      <c r="C151" s="172" t="s">
        <v>14</v>
      </c>
      <c r="D151" s="172" t="s">
        <v>15</v>
      </c>
      <c r="E151" s="173">
        <v>42955</v>
      </c>
      <c r="F151" s="174">
        <v>25.250517599999998</v>
      </c>
      <c r="G151" s="175" t="s">
        <v>19</v>
      </c>
      <c r="H151" s="172" t="s">
        <v>17</v>
      </c>
      <c r="I151" s="175">
        <v>1</v>
      </c>
      <c r="J151" s="175" t="s">
        <v>18</v>
      </c>
      <c r="K151" s="175" t="s">
        <v>74</v>
      </c>
      <c r="L151" s="172" t="s">
        <v>75</v>
      </c>
      <c r="M151" s="172" t="s">
        <v>17</v>
      </c>
    </row>
    <row r="152" spans="1:13" x14ac:dyDescent="0.2">
      <c r="A152" s="172" t="s">
        <v>72</v>
      </c>
      <c r="B152" s="172" t="s">
        <v>73</v>
      </c>
      <c r="C152" s="172" t="s">
        <v>14</v>
      </c>
      <c r="D152" s="172" t="s">
        <v>15</v>
      </c>
      <c r="E152" s="173">
        <v>42955</v>
      </c>
      <c r="F152" s="174">
        <v>2.528</v>
      </c>
      <c r="G152" s="175" t="s">
        <v>16</v>
      </c>
      <c r="H152" s="172" t="s">
        <v>20</v>
      </c>
      <c r="I152" s="175">
        <v>1</v>
      </c>
      <c r="J152" s="175" t="s">
        <v>18</v>
      </c>
      <c r="K152" s="175" t="s">
        <v>74</v>
      </c>
      <c r="L152" s="172" t="s">
        <v>75</v>
      </c>
      <c r="M152" s="172" t="s">
        <v>76</v>
      </c>
    </row>
    <row r="153" spans="1:13" x14ac:dyDescent="0.2">
      <c r="A153" s="172" t="s">
        <v>72</v>
      </c>
      <c r="B153" s="172" t="s">
        <v>73</v>
      </c>
      <c r="C153" s="172" t="s">
        <v>14</v>
      </c>
      <c r="D153" s="172" t="s">
        <v>15</v>
      </c>
      <c r="E153" s="173">
        <v>42955</v>
      </c>
      <c r="F153" s="174">
        <v>10.9001798</v>
      </c>
      <c r="G153" s="175" t="s">
        <v>19</v>
      </c>
      <c r="H153" s="172" t="s">
        <v>20</v>
      </c>
      <c r="I153" s="175">
        <v>1</v>
      </c>
      <c r="J153" s="175" t="s">
        <v>18</v>
      </c>
      <c r="K153" s="175" t="s">
        <v>74</v>
      </c>
      <c r="L153" s="172" t="s">
        <v>75</v>
      </c>
      <c r="M153" s="172" t="s">
        <v>76</v>
      </c>
    </row>
    <row r="154" spans="1:13" x14ac:dyDescent="0.2">
      <c r="A154" s="172" t="s">
        <v>72</v>
      </c>
      <c r="B154" s="172" t="s">
        <v>73</v>
      </c>
      <c r="C154" s="172" t="s">
        <v>14</v>
      </c>
      <c r="D154" s="172" t="s">
        <v>15</v>
      </c>
      <c r="E154" s="173">
        <v>42949</v>
      </c>
      <c r="F154" s="174">
        <v>6.6070000000000002</v>
      </c>
      <c r="G154" s="175" t="s">
        <v>16</v>
      </c>
      <c r="H154" s="172" t="s">
        <v>17</v>
      </c>
      <c r="I154" s="175">
        <v>1</v>
      </c>
      <c r="J154" s="175" t="s">
        <v>18</v>
      </c>
      <c r="K154" s="175" t="s">
        <v>74</v>
      </c>
      <c r="L154" s="172" t="s">
        <v>75</v>
      </c>
      <c r="M154" s="172" t="s">
        <v>17</v>
      </c>
    </row>
    <row r="155" spans="1:13" x14ac:dyDescent="0.2">
      <c r="A155" s="172" t="s">
        <v>72</v>
      </c>
      <c r="B155" s="172" t="s">
        <v>73</v>
      </c>
      <c r="C155" s="172" t="s">
        <v>14</v>
      </c>
      <c r="D155" s="172" t="s">
        <v>15</v>
      </c>
      <c r="E155" s="173">
        <v>42949</v>
      </c>
      <c r="F155" s="174">
        <v>25.8981186</v>
      </c>
      <c r="G155" s="175" t="s">
        <v>19</v>
      </c>
      <c r="H155" s="172" t="s">
        <v>17</v>
      </c>
      <c r="I155" s="175">
        <v>1</v>
      </c>
      <c r="J155" s="175" t="s">
        <v>18</v>
      </c>
      <c r="K155" s="175" t="s">
        <v>74</v>
      </c>
      <c r="L155" s="172" t="s">
        <v>75</v>
      </c>
      <c r="M155" s="172" t="s">
        <v>17</v>
      </c>
    </row>
    <row r="156" spans="1:13" x14ac:dyDescent="0.2">
      <c r="A156" s="172" t="s">
        <v>72</v>
      </c>
      <c r="B156" s="172" t="s">
        <v>73</v>
      </c>
      <c r="C156" s="172" t="s">
        <v>14</v>
      </c>
      <c r="D156" s="172" t="s">
        <v>15</v>
      </c>
      <c r="E156" s="173">
        <v>42949</v>
      </c>
      <c r="F156" s="174">
        <v>3.6419999999999999</v>
      </c>
      <c r="G156" s="175" t="s">
        <v>16</v>
      </c>
      <c r="H156" s="172" t="s">
        <v>20</v>
      </c>
      <c r="I156" s="175">
        <v>1</v>
      </c>
      <c r="J156" s="175" t="s">
        <v>18</v>
      </c>
      <c r="K156" s="175" t="s">
        <v>74</v>
      </c>
      <c r="L156" s="172" t="s">
        <v>75</v>
      </c>
      <c r="M156" s="172" t="s">
        <v>76</v>
      </c>
    </row>
    <row r="157" spans="1:13" x14ac:dyDescent="0.2">
      <c r="A157" s="172" t="s">
        <v>72</v>
      </c>
      <c r="B157" s="172" t="s">
        <v>73</v>
      </c>
      <c r="C157" s="172" t="s">
        <v>14</v>
      </c>
      <c r="D157" s="172" t="s">
        <v>15</v>
      </c>
      <c r="E157" s="173">
        <v>42949</v>
      </c>
      <c r="F157" s="174">
        <v>16.796976799999999</v>
      </c>
      <c r="G157" s="175" t="s">
        <v>19</v>
      </c>
      <c r="H157" s="172" t="s">
        <v>20</v>
      </c>
      <c r="I157" s="175">
        <v>1</v>
      </c>
      <c r="J157" s="175" t="s">
        <v>18</v>
      </c>
      <c r="K157" s="175" t="s">
        <v>74</v>
      </c>
      <c r="L157" s="172" t="s">
        <v>75</v>
      </c>
      <c r="M157" s="172" t="s">
        <v>76</v>
      </c>
    </row>
    <row r="158" spans="1:13" x14ac:dyDescent="0.2">
      <c r="A158" s="172" t="s">
        <v>72</v>
      </c>
      <c r="B158" s="172" t="s">
        <v>73</v>
      </c>
      <c r="C158" s="172" t="s">
        <v>14</v>
      </c>
      <c r="D158" s="172" t="s">
        <v>15</v>
      </c>
      <c r="E158" s="173">
        <v>42941</v>
      </c>
      <c r="F158" s="174">
        <v>5.9870000000000001</v>
      </c>
      <c r="G158" s="175" t="s">
        <v>16</v>
      </c>
      <c r="H158" s="172" t="s">
        <v>17</v>
      </c>
      <c r="I158" s="175">
        <v>1</v>
      </c>
      <c r="J158" s="175" t="s">
        <v>18</v>
      </c>
      <c r="K158" s="175" t="s">
        <v>74</v>
      </c>
      <c r="L158" s="172" t="s">
        <v>75</v>
      </c>
      <c r="M158" s="172" t="s">
        <v>17</v>
      </c>
    </row>
    <row r="159" spans="1:13" x14ac:dyDescent="0.2">
      <c r="A159" s="172" t="s">
        <v>72</v>
      </c>
      <c r="B159" s="172" t="s">
        <v>73</v>
      </c>
      <c r="C159" s="172" t="s">
        <v>14</v>
      </c>
      <c r="D159" s="172" t="s">
        <v>15</v>
      </c>
      <c r="E159" s="173">
        <v>42941</v>
      </c>
      <c r="F159" s="174">
        <v>24.366610999999999</v>
      </c>
      <c r="G159" s="175" t="s">
        <v>19</v>
      </c>
      <c r="H159" s="172" t="s">
        <v>17</v>
      </c>
      <c r="I159" s="175">
        <v>1</v>
      </c>
      <c r="J159" s="175" t="s">
        <v>18</v>
      </c>
      <c r="K159" s="175" t="s">
        <v>74</v>
      </c>
      <c r="L159" s="172" t="s">
        <v>75</v>
      </c>
      <c r="M159" s="172" t="s">
        <v>17</v>
      </c>
    </row>
    <row r="160" spans="1:13" x14ac:dyDescent="0.2">
      <c r="A160" s="172" t="s">
        <v>72</v>
      </c>
      <c r="B160" s="172" t="s">
        <v>73</v>
      </c>
      <c r="C160" s="172" t="s">
        <v>14</v>
      </c>
      <c r="D160" s="172" t="s">
        <v>15</v>
      </c>
      <c r="E160" s="173">
        <v>42941</v>
      </c>
      <c r="F160" s="174">
        <v>2.2709999999999999</v>
      </c>
      <c r="G160" s="175" t="s">
        <v>16</v>
      </c>
      <c r="H160" s="172" t="s">
        <v>20</v>
      </c>
      <c r="I160" s="175">
        <v>1</v>
      </c>
      <c r="J160" s="175" t="s">
        <v>18</v>
      </c>
      <c r="K160" s="175" t="s">
        <v>74</v>
      </c>
      <c r="L160" s="172" t="s">
        <v>75</v>
      </c>
      <c r="M160" s="172" t="s">
        <v>76</v>
      </c>
    </row>
    <row r="161" spans="1:13" x14ac:dyDescent="0.2">
      <c r="A161" s="172" t="s">
        <v>72</v>
      </c>
      <c r="B161" s="172" t="s">
        <v>73</v>
      </c>
      <c r="C161" s="172" t="s">
        <v>14</v>
      </c>
      <c r="D161" s="172" t="s">
        <v>15</v>
      </c>
      <c r="E161" s="173">
        <v>42941</v>
      </c>
      <c r="F161" s="174">
        <v>10.2087354</v>
      </c>
      <c r="G161" s="175" t="s">
        <v>19</v>
      </c>
      <c r="H161" s="172" t="s">
        <v>20</v>
      </c>
      <c r="I161" s="175">
        <v>1</v>
      </c>
      <c r="J161" s="175" t="s">
        <v>18</v>
      </c>
      <c r="K161" s="175" t="s">
        <v>74</v>
      </c>
      <c r="L161" s="172" t="s">
        <v>75</v>
      </c>
      <c r="M161" s="172" t="s">
        <v>76</v>
      </c>
    </row>
    <row r="162" spans="1:13" x14ac:dyDescent="0.2">
      <c r="A162" s="172" t="s">
        <v>72</v>
      </c>
      <c r="B162" s="172" t="s">
        <v>73</v>
      </c>
      <c r="C162" s="172" t="s">
        <v>14</v>
      </c>
      <c r="D162" s="172" t="s">
        <v>15</v>
      </c>
      <c r="E162" s="173">
        <v>42934</v>
      </c>
      <c r="F162" s="174">
        <v>6.3330000000000002</v>
      </c>
      <c r="G162" s="175" t="s">
        <v>16</v>
      </c>
      <c r="H162" s="172" t="s">
        <v>17</v>
      </c>
      <c r="I162" s="175">
        <v>1</v>
      </c>
      <c r="J162" s="175" t="s">
        <v>18</v>
      </c>
      <c r="K162" s="175" t="s">
        <v>74</v>
      </c>
      <c r="L162" s="172" t="s">
        <v>75</v>
      </c>
      <c r="M162" s="172" t="s">
        <v>17</v>
      </c>
    </row>
    <row r="163" spans="1:13" x14ac:dyDescent="0.2">
      <c r="A163" s="172" t="s">
        <v>72</v>
      </c>
      <c r="B163" s="172" t="s">
        <v>73</v>
      </c>
      <c r="C163" s="172" t="s">
        <v>14</v>
      </c>
      <c r="D163" s="172" t="s">
        <v>15</v>
      </c>
      <c r="E163" s="173">
        <v>42934</v>
      </c>
      <c r="F163" s="174">
        <v>26.778330499999999</v>
      </c>
      <c r="G163" s="175" t="s">
        <v>19</v>
      </c>
      <c r="H163" s="172" t="s">
        <v>17</v>
      </c>
      <c r="I163" s="175">
        <v>1</v>
      </c>
      <c r="J163" s="175" t="s">
        <v>18</v>
      </c>
      <c r="K163" s="175" t="s">
        <v>74</v>
      </c>
      <c r="L163" s="172" t="s">
        <v>75</v>
      </c>
      <c r="M163" s="172" t="s">
        <v>17</v>
      </c>
    </row>
    <row r="164" spans="1:13" x14ac:dyDescent="0.2">
      <c r="A164" s="172" t="s">
        <v>72</v>
      </c>
      <c r="B164" s="172" t="s">
        <v>73</v>
      </c>
      <c r="C164" s="172" t="s">
        <v>14</v>
      </c>
      <c r="D164" s="172" t="s">
        <v>15</v>
      </c>
      <c r="E164" s="173">
        <v>42934</v>
      </c>
      <c r="F164" s="174">
        <v>2.0990000000000002</v>
      </c>
      <c r="G164" s="175" t="s">
        <v>16</v>
      </c>
      <c r="H164" s="172" t="s">
        <v>20</v>
      </c>
      <c r="I164" s="175">
        <v>1</v>
      </c>
      <c r="J164" s="175" t="s">
        <v>18</v>
      </c>
      <c r="K164" s="175" t="s">
        <v>74</v>
      </c>
      <c r="L164" s="172" t="s">
        <v>75</v>
      </c>
      <c r="M164" s="172" t="s">
        <v>76</v>
      </c>
    </row>
    <row r="165" spans="1:13" x14ac:dyDescent="0.2">
      <c r="A165" s="172" t="s">
        <v>72</v>
      </c>
      <c r="B165" s="172" t="s">
        <v>73</v>
      </c>
      <c r="C165" s="172" t="s">
        <v>14</v>
      </c>
      <c r="D165" s="172" t="s">
        <v>15</v>
      </c>
      <c r="E165" s="173">
        <v>42934</v>
      </c>
      <c r="F165" s="174">
        <v>10.0307431</v>
      </c>
      <c r="G165" s="175" t="s">
        <v>19</v>
      </c>
      <c r="H165" s="172" t="s">
        <v>20</v>
      </c>
      <c r="I165" s="175">
        <v>1</v>
      </c>
      <c r="J165" s="175" t="s">
        <v>18</v>
      </c>
      <c r="K165" s="175" t="s">
        <v>74</v>
      </c>
      <c r="L165" s="172" t="s">
        <v>75</v>
      </c>
      <c r="M165" s="172" t="s">
        <v>76</v>
      </c>
    </row>
    <row r="166" spans="1:13" x14ac:dyDescent="0.2">
      <c r="A166" s="172" t="s">
        <v>72</v>
      </c>
      <c r="B166" s="172" t="s">
        <v>73</v>
      </c>
      <c r="C166" s="172" t="s">
        <v>14</v>
      </c>
      <c r="D166" s="172" t="s">
        <v>15</v>
      </c>
      <c r="E166" s="173">
        <v>42927</v>
      </c>
      <c r="F166" s="174">
        <v>6.8789999999999996</v>
      </c>
      <c r="G166" s="175" t="s">
        <v>16</v>
      </c>
      <c r="H166" s="172" t="s">
        <v>17</v>
      </c>
      <c r="I166" s="175">
        <v>1</v>
      </c>
      <c r="J166" s="175" t="s">
        <v>18</v>
      </c>
      <c r="K166" s="175" t="s">
        <v>74</v>
      </c>
      <c r="L166" s="172" t="s">
        <v>75</v>
      </c>
      <c r="M166" s="172" t="s">
        <v>17</v>
      </c>
    </row>
    <row r="167" spans="1:13" x14ac:dyDescent="0.2">
      <c r="A167" s="172" t="s">
        <v>72</v>
      </c>
      <c r="B167" s="172" t="s">
        <v>73</v>
      </c>
      <c r="C167" s="172" t="s">
        <v>14</v>
      </c>
      <c r="D167" s="172" t="s">
        <v>15</v>
      </c>
      <c r="E167" s="173">
        <v>42927</v>
      </c>
      <c r="F167" s="174">
        <v>29.488621999999999</v>
      </c>
      <c r="G167" s="175" t="s">
        <v>19</v>
      </c>
      <c r="H167" s="172" t="s">
        <v>17</v>
      </c>
      <c r="I167" s="175">
        <v>1</v>
      </c>
      <c r="J167" s="175" t="s">
        <v>18</v>
      </c>
      <c r="K167" s="175" t="s">
        <v>74</v>
      </c>
      <c r="L167" s="172" t="s">
        <v>75</v>
      </c>
      <c r="M167" s="172" t="s">
        <v>17</v>
      </c>
    </row>
    <row r="168" spans="1:13" x14ac:dyDescent="0.2">
      <c r="A168" s="172" t="s">
        <v>72</v>
      </c>
      <c r="B168" s="172" t="s">
        <v>73</v>
      </c>
      <c r="C168" s="172" t="s">
        <v>14</v>
      </c>
      <c r="D168" s="172" t="s">
        <v>15</v>
      </c>
      <c r="E168" s="173">
        <v>42927</v>
      </c>
      <c r="F168" s="174">
        <v>2.1629999999999998</v>
      </c>
      <c r="G168" s="175" t="s">
        <v>16</v>
      </c>
      <c r="H168" s="172" t="s">
        <v>20</v>
      </c>
      <c r="I168" s="175">
        <v>1</v>
      </c>
      <c r="J168" s="175" t="s">
        <v>18</v>
      </c>
      <c r="K168" s="175" t="s">
        <v>74</v>
      </c>
      <c r="L168" s="172" t="s">
        <v>75</v>
      </c>
      <c r="M168" s="172" t="s">
        <v>76</v>
      </c>
    </row>
    <row r="169" spans="1:13" x14ac:dyDescent="0.2">
      <c r="A169" s="172" t="s">
        <v>72</v>
      </c>
      <c r="B169" s="172" t="s">
        <v>73</v>
      </c>
      <c r="C169" s="172" t="s">
        <v>14</v>
      </c>
      <c r="D169" s="172" t="s">
        <v>15</v>
      </c>
      <c r="E169" s="173">
        <v>42927</v>
      </c>
      <c r="F169" s="174">
        <v>10.679336599999999</v>
      </c>
      <c r="G169" s="175" t="s">
        <v>19</v>
      </c>
      <c r="H169" s="172" t="s">
        <v>20</v>
      </c>
      <c r="I169" s="175">
        <v>1</v>
      </c>
      <c r="J169" s="175" t="s">
        <v>18</v>
      </c>
      <c r="K169" s="175" t="s">
        <v>74</v>
      </c>
      <c r="L169" s="172" t="s">
        <v>75</v>
      </c>
      <c r="M169" s="172" t="s">
        <v>76</v>
      </c>
    </row>
    <row r="170" spans="1:13" x14ac:dyDescent="0.2">
      <c r="A170" s="172" t="s">
        <v>72</v>
      </c>
      <c r="B170" s="172" t="s">
        <v>73</v>
      </c>
      <c r="C170" s="172" t="s">
        <v>14</v>
      </c>
      <c r="D170" s="172" t="s">
        <v>15</v>
      </c>
      <c r="E170" s="173">
        <v>42921</v>
      </c>
      <c r="F170" s="174">
        <v>4.8899999999999997</v>
      </c>
      <c r="G170" s="175" t="s">
        <v>16</v>
      </c>
      <c r="H170" s="172" t="s">
        <v>17</v>
      </c>
      <c r="I170" s="175">
        <v>1</v>
      </c>
      <c r="J170" s="175" t="s">
        <v>18</v>
      </c>
      <c r="K170" s="175" t="s">
        <v>74</v>
      </c>
      <c r="L170" s="172" t="s">
        <v>75</v>
      </c>
      <c r="M170" s="172" t="s">
        <v>17</v>
      </c>
    </row>
    <row r="171" spans="1:13" x14ac:dyDescent="0.2">
      <c r="A171" s="172" t="s">
        <v>72</v>
      </c>
      <c r="B171" s="172" t="s">
        <v>73</v>
      </c>
      <c r="C171" s="172" t="s">
        <v>14</v>
      </c>
      <c r="D171" s="172" t="s">
        <v>15</v>
      </c>
      <c r="E171" s="173">
        <v>42921</v>
      </c>
      <c r="F171" s="174">
        <v>23.246082000000001</v>
      </c>
      <c r="G171" s="175" t="s">
        <v>19</v>
      </c>
      <c r="H171" s="172" t="s">
        <v>17</v>
      </c>
      <c r="I171" s="175">
        <v>1</v>
      </c>
      <c r="J171" s="175" t="s">
        <v>18</v>
      </c>
      <c r="K171" s="175" t="s">
        <v>74</v>
      </c>
      <c r="L171" s="172" t="s">
        <v>75</v>
      </c>
      <c r="M171" s="172" t="s">
        <v>17</v>
      </c>
    </row>
    <row r="172" spans="1:13" x14ac:dyDescent="0.2">
      <c r="A172" s="172" t="s">
        <v>72</v>
      </c>
      <c r="B172" s="172" t="s">
        <v>73</v>
      </c>
      <c r="C172" s="172" t="s">
        <v>14</v>
      </c>
      <c r="D172" s="172" t="s">
        <v>15</v>
      </c>
      <c r="E172" s="173">
        <v>42921</v>
      </c>
      <c r="F172" s="174">
        <v>2.0470000000000002</v>
      </c>
      <c r="G172" s="175" t="s">
        <v>16</v>
      </c>
      <c r="H172" s="172" t="s">
        <v>20</v>
      </c>
      <c r="I172" s="175">
        <v>1</v>
      </c>
      <c r="J172" s="175" t="s">
        <v>18</v>
      </c>
      <c r="K172" s="175" t="s">
        <v>74</v>
      </c>
      <c r="L172" s="172" t="s">
        <v>75</v>
      </c>
      <c r="M172" s="172" t="s">
        <v>76</v>
      </c>
    </row>
    <row r="173" spans="1:13" x14ac:dyDescent="0.2">
      <c r="A173" s="172" t="s">
        <v>72</v>
      </c>
      <c r="B173" s="172" t="s">
        <v>73</v>
      </c>
      <c r="C173" s="172" t="s">
        <v>14</v>
      </c>
      <c r="D173" s="172" t="s">
        <v>15</v>
      </c>
      <c r="E173" s="173">
        <v>42921</v>
      </c>
      <c r="F173" s="174">
        <v>10.2773319</v>
      </c>
      <c r="G173" s="175" t="s">
        <v>19</v>
      </c>
      <c r="H173" s="172" t="s">
        <v>20</v>
      </c>
      <c r="I173" s="175">
        <v>1</v>
      </c>
      <c r="J173" s="175" t="s">
        <v>18</v>
      </c>
      <c r="K173" s="175" t="s">
        <v>74</v>
      </c>
      <c r="L173" s="172" t="s">
        <v>75</v>
      </c>
      <c r="M173" s="172" t="s">
        <v>76</v>
      </c>
    </row>
    <row r="174" spans="1:13" x14ac:dyDescent="0.2">
      <c r="A174" s="172" t="s">
        <v>72</v>
      </c>
      <c r="B174" s="172" t="s">
        <v>73</v>
      </c>
      <c r="C174" s="172" t="s">
        <v>14</v>
      </c>
      <c r="D174" s="172" t="s">
        <v>15</v>
      </c>
      <c r="E174" s="173">
        <v>42913</v>
      </c>
      <c r="F174" s="174">
        <v>4.5519999999999996</v>
      </c>
      <c r="G174" s="175" t="s">
        <v>16</v>
      </c>
      <c r="H174" s="172" t="s">
        <v>17</v>
      </c>
      <c r="I174" s="175">
        <v>1</v>
      </c>
      <c r="J174" s="175" t="s">
        <v>18</v>
      </c>
      <c r="K174" s="175" t="s">
        <v>74</v>
      </c>
      <c r="L174" s="172" t="s">
        <v>75</v>
      </c>
      <c r="M174" s="172" t="s">
        <v>17</v>
      </c>
    </row>
    <row r="175" spans="1:13" x14ac:dyDescent="0.2">
      <c r="A175" s="172" t="s">
        <v>72</v>
      </c>
      <c r="B175" s="172" t="s">
        <v>73</v>
      </c>
      <c r="C175" s="172" t="s">
        <v>14</v>
      </c>
      <c r="D175" s="172" t="s">
        <v>15</v>
      </c>
      <c r="E175" s="173">
        <v>42913</v>
      </c>
      <c r="F175" s="174">
        <v>23.651372599999998</v>
      </c>
      <c r="G175" s="175" t="s">
        <v>19</v>
      </c>
      <c r="H175" s="172" t="s">
        <v>17</v>
      </c>
      <c r="I175" s="175">
        <v>1</v>
      </c>
      <c r="J175" s="175" t="s">
        <v>18</v>
      </c>
      <c r="K175" s="175" t="s">
        <v>74</v>
      </c>
      <c r="L175" s="172" t="s">
        <v>75</v>
      </c>
      <c r="M175" s="172" t="s">
        <v>17</v>
      </c>
    </row>
    <row r="176" spans="1:13" x14ac:dyDescent="0.2">
      <c r="A176" s="172" t="s">
        <v>72</v>
      </c>
      <c r="B176" s="172" t="s">
        <v>73</v>
      </c>
      <c r="C176" s="172" t="s">
        <v>14</v>
      </c>
      <c r="D176" s="172" t="s">
        <v>15</v>
      </c>
      <c r="E176" s="173">
        <v>42913</v>
      </c>
      <c r="F176" s="174">
        <v>3.9159999999999999</v>
      </c>
      <c r="G176" s="175" t="s">
        <v>16</v>
      </c>
      <c r="H176" s="172" t="s">
        <v>20</v>
      </c>
      <c r="I176" s="175">
        <v>1</v>
      </c>
      <c r="J176" s="175" t="s">
        <v>18</v>
      </c>
      <c r="K176" s="175" t="s">
        <v>74</v>
      </c>
      <c r="L176" s="172" t="s">
        <v>75</v>
      </c>
      <c r="M176" s="172" t="s">
        <v>76</v>
      </c>
    </row>
    <row r="177" spans="1:13" x14ac:dyDescent="0.2">
      <c r="A177" s="172" t="s">
        <v>72</v>
      </c>
      <c r="B177" s="172" t="s">
        <v>73</v>
      </c>
      <c r="C177" s="172" t="s">
        <v>14</v>
      </c>
      <c r="D177" s="172" t="s">
        <v>15</v>
      </c>
      <c r="E177" s="173">
        <v>42913</v>
      </c>
      <c r="F177" s="174">
        <v>21.097998199999999</v>
      </c>
      <c r="G177" s="175" t="s">
        <v>19</v>
      </c>
      <c r="H177" s="172" t="s">
        <v>20</v>
      </c>
      <c r="I177" s="175">
        <v>1</v>
      </c>
      <c r="J177" s="175" t="s">
        <v>18</v>
      </c>
      <c r="K177" s="175" t="s">
        <v>74</v>
      </c>
      <c r="L177" s="172" t="s">
        <v>75</v>
      </c>
      <c r="M177" s="172" t="s">
        <v>76</v>
      </c>
    </row>
    <row r="178" spans="1:13" x14ac:dyDescent="0.2">
      <c r="A178" s="172" t="s">
        <v>72</v>
      </c>
      <c r="B178" s="172" t="s">
        <v>73</v>
      </c>
      <c r="C178" s="172" t="s">
        <v>14</v>
      </c>
      <c r="D178" s="172" t="s">
        <v>15</v>
      </c>
      <c r="E178" s="173">
        <v>42906</v>
      </c>
      <c r="F178" s="174">
        <v>4.6769999999999996</v>
      </c>
      <c r="G178" s="175" t="s">
        <v>16</v>
      </c>
      <c r="H178" s="172" t="s">
        <v>17</v>
      </c>
      <c r="I178" s="175">
        <v>1</v>
      </c>
      <c r="J178" s="175" t="s">
        <v>18</v>
      </c>
      <c r="K178" s="175" t="s">
        <v>74</v>
      </c>
      <c r="L178" s="172" t="s">
        <v>75</v>
      </c>
      <c r="M178" s="172" t="s">
        <v>17</v>
      </c>
    </row>
    <row r="179" spans="1:13" x14ac:dyDescent="0.2">
      <c r="A179" s="172" t="s">
        <v>72</v>
      </c>
      <c r="B179" s="172" t="s">
        <v>73</v>
      </c>
      <c r="C179" s="172" t="s">
        <v>14</v>
      </c>
      <c r="D179" s="172" t="s">
        <v>15</v>
      </c>
      <c r="E179" s="173">
        <v>42906</v>
      </c>
      <c r="F179" s="174">
        <v>26.0561282</v>
      </c>
      <c r="G179" s="175" t="s">
        <v>19</v>
      </c>
      <c r="H179" s="172" t="s">
        <v>17</v>
      </c>
      <c r="I179" s="175">
        <v>1</v>
      </c>
      <c r="J179" s="175" t="s">
        <v>18</v>
      </c>
      <c r="K179" s="175" t="s">
        <v>74</v>
      </c>
      <c r="L179" s="172" t="s">
        <v>75</v>
      </c>
      <c r="M179" s="172" t="s">
        <v>17</v>
      </c>
    </row>
    <row r="180" spans="1:13" x14ac:dyDescent="0.2">
      <c r="A180" s="172" t="s">
        <v>72</v>
      </c>
      <c r="B180" s="172" t="s">
        <v>73</v>
      </c>
      <c r="C180" s="172" t="s">
        <v>14</v>
      </c>
      <c r="D180" s="172" t="s">
        <v>15</v>
      </c>
      <c r="E180" s="173">
        <v>42906</v>
      </c>
      <c r="F180" s="174">
        <v>1.7669999999999999</v>
      </c>
      <c r="G180" s="175" t="s">
        <v>16</v>
      </c>
      <c r="H180" s="172" t="s">
        <v>20</v>
      </c>
      <c r="I180" s="175">
        <v>1</v>
      </c>
      <c r="J180" s="175" t="s">
        <v>18</v>
      </c>
      <c r="K180" s="175" t="s">
        <v>74</v>
      </c>
      <c r="L180" s="172" t="s">
        <v>75</v>
      </c>
      <c r="M180" s="172" t="s">
        <v>76</v>
      </c>
    </row>
    <row r="181" spans="1:13" x14ac:dyDescent="0.2">
      <c r="A181" s="172" t="s">
        <v>72</v>
      </c>
      <c r="B181" s="172" t="s">
        <v>73</v>
      </c>
      <c r="C181" s="172" t="s">
        <v>14</v>
      </c>
      <c r="D181" s="172" t="s">
        <v>15</v>
      </c>
      <c r="E181" s="173">
        <v>42906</v>
      </c>
      <c r="F181" s="174">
        <v>11.0820585</v>
      </c>
      <c r="G181" s="175" t="s">
        <v>19</v>
      </c>
      <c r="H181" s="172" t="s">
        <v>20</v>
      </c>
      <c r="I181" s="175">
        <v>1</v>
      </c>
      <c r="J181" s="175" t="s">
        <v>18</v>
      </c>
      <c r="K181" s="175" t="s">
        <v>74</v>
      </c>
      <c r="L181" s="172" t="s">
        <v>75</v>
      </c>
      <c r="M181" s="172" t="s">
        <v>76</v>
      </c>
    </row>
    <row r="182" spans="1:13" x14ac:dyDescent="0.2">
      <c r="A182" s="172" t="s">
        <v>72</v>
      </c>
      <c r="B182" s="172" t="s">
        <v>73</v>
      </c>
      <c r="C182" s="172" t="s">
        <v>14</v>
      </c>
      <c r="D182" s="172" t="s">
        <v>15</v>
      </c>
      <c r="E182" s="173">
        <v>42899</v>
      </c>
      <c r="F182" s="174">
        <v>4.8689999999999998</v>
      </c>
      <c r="G182" s="175" t="s">
        <v>16</v>
      </c>
      <c r="H182" s="172" t="s">
        <v>17</v>
      </c>
      <c r="I182" s="175">
        <v>1</v>
      </c>
      <c r="J182" s="175" t="s">
        <v>18</v>
      </c>
      <c r="K182" s="175" t="s">
        <v>74</v>
      </c>
      <c r="L182" s="172" t="s">
        <v>75</v>
      </c>
      <c r="M182" s="172" t="s">
        <v>17</v>
      </c>
    </row>
    <row r="183" spans="1:13" x14ac:dyDescent="0.2">
      <c r="A183" s="172" t="s">
        <v>72</v>
      </c>
      <c r="B183" s="172" t="s">
        <v>73</v>
      </c>
      <c r="C183" s="172" t="s">
        <v>14</v>
      </c>
      <c r="D183" s="172" t="s">
        <v>15</v>
      </c>
      <c r="E183" s="173">
        <v>42899</v>
      </c>
      <c r="F183" s="174">
        <v>27.044568300000002</v>
      </c>
      <c r="G183" s="175" t="s">
        <v>19</v>
      </c>
      <c r="H183" s="172" t="s">
        <v>17</v>
      </c>
      <c r="I183" s="175">
        <v>1</v>
      </c>
      <c r="J183" s="175" t="s">
        <v>18</v>
      </c>
      <c r="K183" s="175" t="s">
        <v>74</v>
      </c>
      <c r="L183" s="172" t="s">
        <v>75</v>
      </c>
      <c r="M183" s="172" t="s">
        <v>17</v>
      </c>
    </row>
    <row r="184" spans="1:13" x14ac:dyDescent="0.2">
      <c r="A184" s="172" t="s">
        <v>72</v>
      </c>
      <c r="B184" s="172" t="s">
        <v>73</v>
      </c>
      <c r="C184" s="172" t="s">
        <v>14</v>
      </c>
      <c r="D184" s="172" t="s">
        <v>15</v>
      </c>
      <c r="E184" s="173">
        <v>42899</v>
      </c>
      <c r="F184" s="174">
        <v>2.5539999999999998</v>
      </c>
      <c r="G184" s="175" t="s">
        <v>16</v>
      </c>
      <c r="H184" s="172" t="s">
        <v>20</v>
      </c>
      <c r="I184" s="175">
        <v>1</v>
      </c>
      <c r="J184" s="175" t="s">
        <v>18</v>
      </c>
      <c r="K184" s="175" t="s">
        <v>74</v>
      </c>
      <c r="L184" s="172" t="s">
        <v>75</v>
      </c>
      <c r="M184" s="172" t="s">
        <v>76</v>
      </c>
    </row>
    <row r="185" spans="1:13" x14ac:dyDescent="0.2">
      <c r="A185" s="172" t="s">
        <v>72</v>
      </c>
      <c r="B185" s="172" t="s">
        <v>73</v>
      </c>
      <c r="C185" s="172" t="s">
        <v>14</v>
      </c>
      <c r="D185" s="172" t="s">
        <v>15</v>
      </c>
      <c r="E185" s="173">
        <v>42899</v>
      </c>
      <c r="F185" s="174">
        <v>16.060471400000001</v>
      </c>
      <c r="G185" s="175" t="s">
        <v>19</v>
      </c>
      <c r="H185" s="172" t="s">
        <v>20</v>
      </c>
      <c r="I185" s="175">
        <v>1</v>
      </c>
      <c r="J185" s="175" t="s">
        <v>18</v>
      </c>
      <c r="K185" s="175" t="s">
        <v>74</v>
      </c>
      <c r="L185" s="172" t="s">
        <v>75</v>
      </c>
      <c r="M185" s="172" t="s">
        <v>76</v>
      </c>
    </row>
    <row r="186" spans="1:13" x14ac:dyDescent="0.2">
      <c r="A186" s="172" t="s">
        <v>72</v>
      </c>
      <c r="B186" s="172" t="s">
        <v>73</v>
      </c>
      <c r="C186" s="172" t="s">
        <v>14</v>
      </c>
      <c r="D186" s="172" t="s">
        <v>15</v>
      </c>
      <c r="E186" s="173">
        <v>42892</v>
      </c>
      <c r="F186" s="174">
        <v>4.2370000000000001</v>
      </c>
      <c r="G186" s="175" t="s">
        <v>16</v>
      </c>
      <c r="H186" s="172" t="s">
        <v>17</v>
      </c>
      <c r="I186" s="175">
        <v>1</v>
      </c>
      <c r="J186" s="175" t="s">
        <v>18</v>
      </c>
      <c r="K186" s="175" t="s">
        <v>74</v>
      </c>
      <c r="L186" s="172" t="s">
        <v>75</v>
      </c>
      <c r="M186" s="172" t="s">
        <v>17</v>
      </c>
    </row>
    <row r="187" spans="1:13" x14ac:dyDescent="0.2">
      <c r="A187" s="172" t="s">
        <v>72</v>
      </c>
      <c r="B187" s="172" t="s">
        <v>73</v>
      </c>
      <c r="C187" s="172" t="s">
        <v>14</v>
      </c>
      <c r="D187" s="172" t="s">
        <v>15</v>
      </c>
      <c r="E187" s="173">
        <v>42892</v>
      </c>
      <c r="F187" s="174">
        <v>27.915898200000001</v>
      </c>
      <c r="G187" s="175" t="s">
        <v>19</v>
      </c>
      <c r="H187" s="172" t="s">
        <v>17</v>
      </c>
      <c r="I187" s="175">
        <v>1</v>
      </c>
      <c r="J187" s="175" t="s">
        <v>18</v>
      </c>
      <c r="K187" s="175" t="s">
        <v>74</v>
      </c>
      <c r="L187" s="172" t="s">
        <v>75</v>
      </c>
      <c r="M187" s="172" t="s">
        <v>17</v>
      </c>
    </row>
    <row r="188" spans="1:13" x14ac:dyDescent="0.2">
      <c r="A188" s="172" t="s">
        <v>72</v>
      </c>
      <c r="B188" s="172" t="s">
        <v>73</v>
      </c>
      <c r="C188" s="172" t="s">
        <v>14</v>
      </c>
      <c r="D188" s="172" t="s">
        <v>15</v>
      </c>
      <c r="E188" s="173">
        <v>42892</v>
      </c>
      <c r="F188" s="174">
        <v>1.8360000000000001</v>
      </c>
      <c r="G188" s="175" t="s">
        <v>16</v>
      </c>
      <c r="H188" s="172" t="s">
        <v>20</v>
      </c>
      <c r="I188" s="175">
        <v>1</v>
      </c>
      <c r="J188" s="175" t="s">
        <v>18</v>
      </c>
      <c r="K188" s="175" t="s">
        <v>74</v>
      </c>
      <c r="L188" s="172" t="s">
        <v>75</v>
      </c>
      <c r="M188" s="172" t="s">
        <v>76</v>
      </c>
    </row>
    <row r="189" spans="1:13" x14ac:dyDescent="0.2">
      <c r="A189" s="172" t="s">
        <v>72</v>
      </c>
      <c r="B189" s="172" t="s">
        <v>73</v>
      </c>
      <c r="C189" s="172" t="s">
        <v>14</v>
      </c>
      <c r="D189" s="172" t="s">
        <v>15</v>
      </c>
      <c r="E189" s="173">
        <v>42892</v>
      </c>
      <c r="F189" s="174">
        <v>13.413522199999999</v>
      </c>
      <c r="G189" s="175" t="s">
        <v>19</v>
      </c>
      <c r="H189" s="172" t="s">
        <v>20</v>
      </c>
      <c r="I189" s="175">
        <v>1</v>
      </c>
      <c r="J189" s="175" t="s">
        <v>18</v>
      </c>
      <c r="K189" s="175" t="s">
        <v>74</v>
      </c>
      <c r="L189" s="172" t="s">
        <v>75</v>
      </c>
      <c r="M189" s="172" t="s">
        <v>76</v>
      </c>
    </row>
    <row r="190" spans="1:13" x14ac:dyDescent="0.2">
      <c r="A190" s="172" t="s">
        <v>72</v>
      </c>
      <c r="B190" s="172" t="s">
        <v>73</v>
      </c>
      <c r="C190" s="172" t="s">
        <v>14</v>
      </c>
      <c r="D190" s="172" t="s">
        <v>15</v>
      </c>
      <c r="E190" s="173">
        <v>42885</v>
      </c>
      <c r="F190" s="174">
        <v>15</v>
      </c>
      <c r="G190" s="175" t="s">
        <v>16</v>
      </c>
      <c r="H190" s="172" t="s">
        <v>17</v>
      </c>
      <c r="I190" s="175">
        <v>1</v>
      </c>
      <c r="J190" s="175" t="s">
        <v>18</v>
      </c>
      <c r="K190" s="175" t="s">
        <v>74</v>
      </c>
      <c r="L190" s="172" t="s">
        <v>75</v>
      </c>
      <c r="M190" s="172" t="s">
        <v>17</v>
      </c>
    </row>
    <row r="191" spans="1:13" x14ac:dyDescent="0.2">
      <c r="A191" s="172" t="s">
        <v>72</v>
      </c>
      <c r="B191" s="172" t="s">
        <v>73</v>
      </c>
      <c r="C191" s="172" t="s">
        <v>14</v>
      </c>
      <c r="D191" s="172" t="s">
        <v>15</v>
      </c>
      <c r="E191" s="173">
        <v>42885</v>
      </c>
      <c r="F191" s="174">
        <v>135.73349999999999</v>
      </c>
      <c r="G191" s="175" t="s">
        <v>19</v>
      </c>
      <c r="H191" s="172" t="s">
        <v>17</v>
      </c>
      <c r="I191" s="175">
        <v>1</v>
      </c>
      <c r="J191" s="175" t="s">
        <v>18</v>
      </c>
      <c r="K191" s="175" t="s">
        <v>74</v>
      </c>
      <c r="L191" s="172" t="s">
        <v>75</v>
      </c>
      <c r="M191" s="172" t="s">
        <v>17</v>
      </c>
    </row>
    <row r="192" spans="1:13" x14ac:dyDescent="0.2">
      <c r="A192" s="172" t="s">
        <v>72</v>
      </c>
      <c r="B192" s="172" t="s">
        <v>73</v>
      </c>
      <c r="C192" s="172" t="s">
        <v>14</v>
      </c>
      <c r="D192" s="172" t="s">
        <v>15</v>
      </c>
      <c r="E192" s="173">
        <v>42885</v>
      </c>
      <c r="F192" s="174">
        <v>9.3000000000000007</v>
      </c>
      <c r="G192" s="175" t="s">
        <v>16</v>
      </c>
      <c r="H192" s="172" t="s">
        <v>20</v>
      </c>
      <c r="I192" s="175">
        <v>1</v>
      </c>
      <c r="J192" s="175" t="s">
        <v>18</v>
      </c>
      <c r="K192" s="175" t="s">
        <v>74</v>
      </c>
      <c r="L192" s="172" t="s">
        <v>75</v>
      </c>
      <c r="M192" s="172" t="s">
        <v>76</v>
      </c>
    </row>
    <row r="193" spans="1:13" x14ac:dyDescent="0.2">
      <c r="A193" s="172" t="s">
        <v>72</v>
      </c>
      <c r="B193" s="172" t="s">
        <v>73</v>
      </c>
      <c r="C193" s="172" t="s">
        <v>14</v>
      </c>
      <c r="D193" s="172" t="s">
        <v>15</v>
      </c>
      <c r="E193" s="173">
        <v>42885</v>
      </c>
      <c r="F193" s="174">
        <v>93.074399999999997</v>
      </c>
      <c r="G193" s="175" t="s">
        <v>19</v>
      </c>
      <c r="H193" s="172" t="s">
        <v>20</v>
      </c>
      <c r="I193" s="175">
        <v>1</v>
      </c>
      <c r="J193" s="175" t="s">
        <v>18</v>
      </c>
      <c r="K193" s="175" t="s">
        <v>74</v>
      </c>
      <c r="L193" s="172" t="s">
        <v>75</v>
      </c>
      <c r="M193" s="172" t="s">
        <v>76</v>
      </c>
    </row>
    <row r="194" spans="1:13" x14ac:dyDescent="0.2">
      <c r="A194" s="172" t="s">
        <v>72</v>
      </c>
      <c r="B194" s="172" t="s">
        <v>73</v>
      </c>
      <c r="C194" s="172" t="s">
        <v>14</v>
      </c>
      <c r="D194" s="172" t="s">
        <v>15</v>
      </c>
      <c r="E194" s="173">
        <v>42879</v>
      </c>
      <c r="F194" s="174">
        <v>11.4</v>
      </c>
      <c r="G194" s="175" t="s">
        <v>16</v>
      </c>
      <c r="H194" s="172" t="s">
        <v>17</v>
      </c>
      <c r="I194" s="175">
        <v>1</v>
      </c>
      <c r="J194" s="175" t="s">
        <v>18</v>
      </c>
      <c r="K194" s="175" t="s">
        <v>74</v>
      </c>
      <c r="L194" s="172" t="s">
        <v>75</v>
      </c>
      <c r="M194" s="172" t="s">
        <v>17</v>
      </c>
    </row>
    <row r="195" spans="1:13" x14ac:dyDescent="0.2">
      <c r="A195" s="172" t="s">
        <v>72</v>
      </c>
      <c r="B195" s="172" t="s">
        <v>73</v>
      </c>
      <c r="C195" s="172" t="s">
        <v>14</v>
      </c>
      <c r="D195" s="172" t="s">
        <v>15</v>
      </c>
      <c r="E195" s="173">
        <v>42879</v>
      </c>
      <c r="F195" s="174">
        <v>132.916248</v>
      </c>
      <c r="G195" s="175" t="s">
        <v>19</v>
      </c>
      <c r="H195" s="172" t="s">
        <v>17</v>
      </c>
      <c r="I195" s="175">
        <v>1</v>
      </c>
      <c r="J195" s="175" t="s">
        <v>18</v>
      </c>
      <c r="K195" s="175" t="s">
        <v>74</v>
      </c>
      <c r="L195" s="172" t="s">
        <v>75</v>
      </c>
      <c r="M195" s="172" t="s">
        <v>17</v>
      </c>
    </row>
    <row r="196" spans="1:13" x14ac:dyDescent="0.2">
      <c r="A196" s="172" t="s">
        <v>72</v>
      </c>
      <c r="B196" s="172" t="s">
        <v>73</v>
      </c>
      <c r="C196" s="172" t="s">
        <v>14</v>
      </c>
      <c r="D196" s="172" t="s">
        <v>15</v>
      </c>
      <c r="E196" s="173">
        <v>42879</v>
      </c>
      <c r="F196" s="174">
        <v>13.3</v>
      </c>
      <c r="G196" s="175" t="s">
        <v>16</v>
      </c>
      <c r="H196" s="172" t="s">
        <v>20</v>
      </c>
      <c r="I196" s="175">
        <v>1</v>
      </c>
      <c r="J196" s="175" t="s">
        <v>18</v>
      </c>
      <c r="K196" s="175" t="s">
        <v>74</v>
      </c>
      <c r="L196" s="172" t="s">
        <v>75</v>
      </c>
      <c r="M196" s="172" t="s">
        <v>76</v>
      </c>
    </row>
    <row r="197" spans="1:13" x14ac:dyDescent="0.2">
      <c r="A197" s="172" t="s">
        <v>72</v>
      </c>
      <c r="B197" s="172" t="s">
        <v>73</v>
      </c>
      <c r="C197" s="172" t="s">
        <v>14</v>
      </c>
      <c r="D197" s="172" t="s">
        <v>15</v>
      </c>
      <c r="E197" s="173">
        <v>42879</v>
      </c>
      <c r="F197" s="174">
        <v>185.79435000000001</v>
      </c>
      <c r="G197" s="175" t="s">
        <v>19</v>
      </c>
      <c r="H197" s="172" t="s">
        <v>20</v>
      </c>
      <c r="I197" s="175">
        <v>1</v>
      </c>
      <c r="J197" s="175" t="s">
        <v>18</v>
      </c>
      <c r="K197" s="175" t="s">
        <v>74</v>
      </c>
      <c r="L197" s="172" t="s">
        <v>75</v>
      </c>
      <c r="M197" s="172" t="s">
        <v>76</v>
      </c>
    </row>
    <row r="198" spans="1:13" x14ac:dyDescent="0.2">
      <c r="A198" s="172" t="s">
        <v>72</v>
      </c>
      <c r="B198" s="172" t="s">
        <v>73</v>
      </c>
      <c r="C198" s="172" t="s">
        <v>14</v>
      </c>
      <c r="D198" s="172" t="s">
        <v>15</v>
      </c>
      <c r="E198" s="173">
        <v>42872</v>
      </c>
      <c r="F198" s="174">
        <v>12.54</v>
      </c>
      <c r="G198" s="175" t="s">
        <v>16</v>
      </c>
      <c r="H198" s="172" t="s">
        <v>17</v>
      </c>
      <c r="I198" s="175">
        <v>1</v>
      </c>
      <c r="J198" s="175" t="s">
        <v>18</v>
      </c>
      <c r="K198" s="175" t="s">
        <v>74</v>
      </c>
      <c r="L198" s="172" t="s">
        <v>75</v>
      </c>
      <c r="M198" s="172" t="s">
        <v>17</v>
      </c>
    </row>
    <row r="199" spans="1:13" x14ac:dyDescent="0.2">
      <c r="A199" s="172" t="s">
        <v>72</v>
      </c>
      <c r="B199" s="172" t="s">
        <v>73</v>
      </c>
      <c r="C199" s="172" t="s">
        <v>14</v>
      </c>
      <c r="D199" s="172" t="s">
        <v>15</v>
      </c>
      <c r="E199" s="173">
        <v>42872</v>
      </c>
      <c r="F199" s="174">
        <v>121.52614320000001</v>
      </c>
      <c r="G199" s="175" t="s">
        <v>19</v>
      </c>
      <c r="H199" s="172" t="s">
        <v>17</v>
      </c>
      <c r="I199" s="175">
        <v>1</v>
      </c>
      <c r="J199" s="175" t="s">
        <v>18</v>
      </c>
      <c r="K199" s="175" t="s">
        <v>74</v>
      </c>
      <c r="L199" s="172" t="s">
        <v>75</v>
      </c>
      <c r="M199" s="172" t="s">
        <v>17</v>
      </c>
    </row>
    <row r="200" spans="1:13" x14ac:dyDescent="0.2">
      <c r="A200" s="172" t="s">
        <v>72</v>
      </c>
      <c r="B200" s="172" t="s">
        <v>73</v>
      </c>
      <c r="C200" s="172" t="s">
        <v>14</v>
      </c>
      <c r="D200" s="172" t="s">
        <v>15</v>
      </c>
      <c r="E200" s="173">
        <v>42872</v>
      </c>
      <c r="F200" s="174">
        <v>7.06</v>
      </c>
      <c r="G200" s="175" t="s">
        <v>16</v>
      </c>
      <c r="H200" s="172" t="s">
        <v>20</v>
      </c>
      <c r="I200" s="175">
        <v>1</v>
      </c>
      <c r="J200" s="175" t="s">
        <v>18</v>
      </c>
      <c r="K200" s="175" t="s">
        <v>74</v>
      </c>
      <c r="L200" s="172" t="s">
        <v>75</v>
      </c>
      <c r="M200" s="172" t="s">
        <v>76</v>
      </c>
    </row>
    <row r="201" spans="1:13" x14ac:dyDescent="0.2">
      <c r="A201" s="172" t="s">
        <v>72</v>
      </c>
      <c r="B201" s="172" t="s">
        <v>73</v>
      </c>
      <c r="C201" s="172" t="s">
        <v>14</v>
      </c>
      <c r="D201" s="172" t="s">
        <v>15</v>
      </c>
      <c r="E201" s="173">
        <v>42872</v>
      </c>
      <c r="F201" s="174">
        <v>80.901669600000005</v>
      </c>
      <c r="G201" s="175" t="s">
        <v>19</v>
      </c>
      <c r="H201" s="172" t="s">
        <v>20</v>
      </c>
      <c r="I201" s="175">
        <v>1</v>
      </c>
      <c r="J201" s="175" t="s">
        <v>18</v>
      </c>
      <c r="K201" s="175" t="s">
        <v>74</v>
      </c>
      <c r="L201" s="172" t="s">
        <v>75</v>
      </c>
      <c r="M201" s="172" t="s">
        <v>76</v>
      </c>
    </row>
    <row r="202" spans="1:13" x14ac:dyDescent="0.2">
      <c r="A202" s="172" t="s">
        <v>72</v>
      </c>
      <c r="B202" s="172" t="s">
        <v>73</v>
      </c>
      <c r="C202" s="172" t="s">
        <v>14</v>
      </c>
      <c r="D202" s="172" t="s">
        <v>15</v>
      </c>
      <c r="E202" s="173">
        <v>42864</v>
      </c>
      <c r="F202" s="174">
        <v>14.31</v>
      </c>
      <c r="G202" s="175" t="s">
        <v>16</v>
      </c>
      <c r="H202" s="172" t="s">
        <v>17</v>
      </c>
      <c r="I202" s="175">
        <v>1</v>
      </c>
      <c r="J202" s="175" t="s">
        <v>18</v>
      </c>
      <c r="K202" s="175" t="s">
        <v>74</v>
      </c>
      <c r="L202" s="172" t="s">
        <v>75</v>
      </c>
      <c r="M202" s="172" t="s">
        <v>17</v>
      </c>
    </row>
    <row r="203" spans="1:13" x14ac:dyDescent="0.2">
      <c r="A203" s="172" t="s">
        <v>72</v>
      </c>
      <c r="B203" s="172" t="s">
        <v>73</v>
      </c>
      <c r="C203" s="172" t="s">
        <v>14</v>
      </c>
      <c r="D203" s="172" t="s">
        <v>15</v>
      </c>
      <c r="E203" s="173">
        <v>42864</v>
      </c>
      <c r="F203" s="174">
        <v>110.75253120000001</v>
      </c>
      <c r="G203" s="175" t="s">
        <v>19</v>
      </c>
      <c r="H203" s="172" t="s">
        <v>17</v>
      </c>
      <c r="I203" s="175">
        <v>1</v>
      </c>
      <c r="J203" s="175" t="s">
        <v>18</v>
      </c>
      <c r="K203" s="175" t="s">
        <v>74</v>
      </c>
      <c r="L203" s="172" t="s">
        <v>75</v>
      </c>
      <c r="M203" s="172" t="s">
        <v>17</v>
      </c>
    </row>
    <row r="204" spans="1:13" x14ac:dyDescent="0.2">
      <c r="A204" s="172" t="s">
        <v>72</v>
      </c>
      <c r="B204" s="172" t="s">
        <v>73</v>
      </c>
      <c r="C204" s="172" t="s">
        <v>14</v>
      </c>
      <c r="D204" s="172" t="s">
        <v>15</v>
      </c>
      <c r="E204" s="173">
        <v>42864</v>
      </c>
      <c r="F204" s="174">
        <v>7.24</v>
      </c>
      <c r="G204" s="175" t="s">
        <v>16</v>
      </c>
      <c r="H204" s="172" t="s">
        <v>20</v>
      </c>
      <c r="I204" s="175">
        <v>1</v>
      </c>
      <c r="J204" s="175" t="s">
        <v>18</v>
      </c>
      <c r="K204" s="175" t="s">
        <v>74</v>
      </c>
      <c r="L204" s="172" t="s">
        <v>75</v>
      </c>
      <c r="M204" s="172" t="s">
        <v>76</v>
      </c>
    </row>
    <row r="205" spans="1:13" x14ac:dyDescent="0.2">
      <c r="A205" s="172" t="s">
        <v>72</v>
      </c>
      <c r="B205" s="172" t="s">
        <v>73</v>
      </c>
      <c r="C205" s="172" t="s">
        <v>14</v>
      </c>
      <c r="D205" s="172" t="s">
        <v>15</v>
      </c>
      <c r="E205" s="173">
        <v>42864</v>
      </c>
      <c r="F205" s="174">
        <v>117.92526479999999</v>
      </c>
      <c r="G205" s="175" t="s">
        <v>19</v>
      </c>
      <c r="H205" s="172" t="s">
        <v>20</v>
      </c>
      <c r="I205" s="175">
        <v>1</v>
      </c>
      <c r="J205" s="175" t="s">
        <v>18</v>
      </c>
      <c r="K205" s="175" t="s">
        <v>74</v>
      </c>
      <c r="L205" s="172" t="s">
        <v>75</v>
      </c>
      <c r="M205" s="172" t="s">
        <v>76</v>
      </c>
    </row>
    <row r="206" spans="1:13" x14ac:dyDescent="0.2">
      <c r="A206" s="172" t="s">
        <v>72</v>
      </c>
      <c r="B206" s="172" t="s">
        <v>73</v>
      </c>
      <c r="C206" s="172" t="s">
        <v>14</v>
      </c>
      <c r="D206" s="172" t="s">
        <v>15</v>
      </c>
      <c r="E206" s="173">
        <v>42857</v>
      </c>
      <c r="F206" s="174">
        <v>10.35</v>
      </c>
      <c r="G206" s="175" t="s">
        <v>16</v>
      </c>
      <c r="H206" s="172" t="s">
        <v>17</v>
      </c>
      <c r="I206" s="175">
        <v>1</v>
      </c>
      <c r="J206" s="175" t="s">
        <v>18</v>
      </c>
      <c r="K206" s="175" t="s">
        <v>74</v>
      </c>
      <c r="L206" s="172" t="s">
        <v>75</v>
      </c>
      <c r="M206" s="172" t="s">
        <v>17</v>
      </c>
    </row>
    <row r="207" spans="1:13" x14ac:dyDescent="0.2">
      <c r="A207" s="172" t="s">
        <v>72</v>
      </c>
      <c r="B207" s="172" t="s">
        <v>73</v>
      </c>
      <c r="C207" s="172" t="s">
        <v>14</v>
      </c>
      <c r="D207" s="172" t="s">
        <v>15</v>
      </c>
      <c r="E207" s="173">
        <v>42857</v>
      </c>
      <c r="F207" s="174">
        <v>227.53688399999999</v>
      </c>
      <c r="G207" s="175" t="s">
        <v>19</v>
      </c>
      <c r="H207" s="172" t="s">
        <v>17</v>
      </c>
      <c r="I207" s="175">
        <v>1</v>
      </c>
      <c r="J207" s="175" t="s">
        <v>18</v>
      </c>
      <c r="K207" s="175" t="s">
        <v>74</v>
      </c>
      <c r="L207" s="172" t="s">
        <v>75</v>
      </c>
      <c r="M207" s="172" t="s">
        <v>17</v>
      </c>
    </row>
    <row r="208" spans="1:13" x14ac:dyDescent="0.2">
      <c r="A208" s="172" t="s">
        <v>72</v>
      </c>
      <c r="B208" s="172" t="s">
        <v>73</v>
      </c>
      <c r="C208" s="172" t="s">
        <v>14</v>
      </c>
      <c r="D208" s="172" t="s">
        <v>15</v>
      </c>
      <c r="E208" s="173">
        <v>42857</v>
      </c>
      <c r="F208" s="174">
        <v>5.77</v>
      </c>
      <c r="G208" s="175" t="s">
        <v>16</v>
      </c>
      <c r="H208" s="172" t="s">
        <v>20</v>
      </c>
      <c r="I208" s="175">
        <v>1</v>
      </c>
      <c r="J208" s="175" t="s">
        <v>18</v>
      </c>
      <c r="K208" s="175" t="s">
        <v>74</v>
      </c>
      <c r="L208" s="172" t="s">
        <v>75</v>
      </c>
      <c r="M208" s="172" t="s">
        <v>76</v>
      </c>
    </row>
    <row r="209" spans="1:13" x14ac:dyDescent="0.2">
      <c r="A209" s="172" t="s">
        <v>72</v>
      </c>
      <c r="B209" s="172" t="s">
        <v>73</v>
      </c>
      <c r="C209" s="172" t="s">
        <v>14</v>
      </c>
      <c r="D209" s="172" t="s">
        <v>15</v>
      </c>
      <c r="E209" s="173">
        <v>42857</v>
      </c>
      <c r="F209" s="174">
        <v>101.4407544</v>
      </c>
      <c r="G209" s="175" t="s">
        <v>19</v>
      </c>
      <c r="H209" s="172" t="s">
        <v>20</v>
      </c>
      <c r="I209" s="175">
        <v>1</v>
      </c>
      <c r="J209" s="175" t="s">
        <v>18</v>
      </c>
      <c r="K209" s="175" t="s">
        <v>74</v>
      </c>
      <c r="L209" s="172" t="s">
        <v>75</v>
      </c>
      <c r="M209" s="172" t="s">
        <v>76</v>
      </c>
    </row>
    <row r="210" spans="1:13" x14ac:dyDescent="0.2">
      <c r="A210" s="172" t="s">
        <v>72</v>
      </c>
      <c r="B210" s="172" t="s">
        <v>73</v>
      </c>
      <c r="C210" s="172" t="s">
        <v>14</v>
      </c>
      <c r="D210" s="172" t="s">
        <v>15</v>
      </c>
      <c r="E210" s="173">
        <v>42850</v>
      </c>
      <c r="F210" s="174">
        <v>6.92</v>
      </c>
      <c r="G210" s="175" t="s">
        <v>16</v>
      </c>
      <c r="H210" s="172" t="s">
        <v>17</v>
      </c>
      <c r="I210" s="175">
        <v>1</v>
      </c>
      <c r="J210" s="175" t="s">
        <v>18</v>
      </c>
      <c r="K210" s="175" t="s">
        <v>74</v>
      </c>
      <c r="L210" s="172" t="s">
        <v>75</v>
      </c>
    </row>
    <row r="211" spans="1:13" x14ac:dyDescent="0.2">
      <c r="A211" s="172" t="s">
        <v>72</v>
      </c>
      <c r="B211" s="172" t="s">
        <v>73</v>
      </c>
      <c r="C211" s="172" t="s">
        <v>14</v>
      </c>
      <c r="D211" s="172" t="s">
        <v>15</v>
      </c>
      <c r="E211" s="173">
        <v>42850</v>
      </c>
      <c r="F211" s="174">
        <v>66.540000000000006</v>
      </c>
      <c r="G211" s="175" t="s">
        <v>19</v>
      </c>
      <c r="H211" s="172" t="s">
        <v>17</v>
      </c>
      <c r="I211" s="175">
        <v>1</v>
      </c>
      <c r="J211" s="175" t="s">
        <v>18</v>
      </c>
      <c r="K211" s="175" t="s">
        <v>74</v>
      </c>
      <c r="L211" s="172" t="s">
        <v>75</v>
      </c>
    </row>
    <row r="212" spans="1:13" x14ac:dyDescent="0.2">
      <c r="A212" s="172" t="s">
        <v>72</v>
      </c>
      <c r="B212" s="172" t="s">
        <v>73</v>
      </c>
      <c r="C212" s="172" t="s">
        <v>14</v>
      </c>
      <c r="D212" s="172" t="s">
        <v>15</v>
      </c>
      <c r="E212" s="173">
        <v>42850</v>
      </c>
      <c r="F212" s="174">
        <v>25.89</v>
      </c>
      <c r="G212" s="175" t="s">
        <v>16</v>
      </c>
      <c r="H212" s="172" t="s">
        <v>20</v>
      </c>
      <c r="I212" s="175">
        <v>1</v>
      </c>
      <c r="J212" s="175" t="s">
        <v>18</v>
      </c>
      <c r="K212" s="175" t="s">
        <v>74</v>
      </c>
      <c r="L212" s="172" t="s">
        <v>75</v>
      </c>
    </row>
    <row r="213" spans="1:13" x14ac:dyDescent="0.2">
      <c r="A213" s="172" t="s">
        <v>72</v>
      </c>
      <c r="B213" s="172" t="s">
        <v>73</v>
      </c>
      <c r="C213" s="172" t="s">
        <v>14</v>
      </c>
      <c r="D213" s="172" t="s">
        <v>15</v>
      </c>
      <c r="E213" s="173">
        <v>42850</v>
      </c>
      <c r="F213" s="174">
        <v>351.95</v>
      </c>
      <c r="G213" s="175" t="s">
        <v>19</v>
      </c>
      <c r="H213" s="172" t="s">
        <v>20</v>
      </c>
      <c r="I213" s="175">
        <v>1</v>
      </c>
      <c r="J213" s="175" t="s">
        <v>18</v>
      </c>
      <c r="K213" s="175" t="s">
        <v>74</v>
      </c>
      <c r="L213" s="172" t="s">
        <v>75</v>
      </c>
    </row>
    <row r="214" spans="1:13" x14ac:dyDescent="0.2">
      <c r="A214" s="172" t="s">
        <v>72</v>
      </c>
      <c r="B214" s="172" t="s">
        <v>73</v>
      </c>
      <c r="C214" s="172" t="s">
        <v>14</v>
      </c>
      <c r="D214" s="172" t="s">
        <v>15</v>
      </c>
      <c r="E214" s="173">
        <v>42843</v>
      </c>
      <c r="F214" s="174">
        <v>15.2</v>
      </c>
      <c r="G214" s="175" t="s">
        <v>16</v>
      </c>
      <c r="H214" s="172" t="s">
        <v>17</v>
      </c>
      <c r="I214" s="175"/>
      <c r="J214" s="175"/>
      <c r="K214" s="175"/>
      <c r="L214" s="172"/>
    </row>
    <row r="215" spans="1:13" x14ac:dyDescent="0.2">
      <c r="A215" s="172" t="s">
        <v>72</v>
      </c>
      <c r="B215" s="172" t="s">
        <v>73</v>
      </c>
      <c r="C215" s="172" t="s">
        <v>14</v>
      </c>
      <c r="D215" s="172" t="s">
        <v>15</v>
      </c>
      <c r="E215" s="173">
        <v>42843</v>
      </c>
      <c r="F215" s="174">
        <v>142.22999999999999</v>
      </c>
      <c r="G215" s="175" t="s">
        <v>19</v>
      </c>
      <c r="H215" s="172" t="s">
        <v>17</v>
      </c>
      <c r="I215" s="175"/>
      <c r="J215" s="175"/>
      <c r="K215" s="175"/>
      <c r="L215" s="172"/>
    </row>
    <row r="216" spans="1:13" x14ac:dyDescent="0.2">
      <c r="A216" s="172" t="s">
        <v>72</v>
      </c>
      <c r="B216" s="172" t="s">
        <v>73</v>
      </c>
      <c r="C216" s="172" t="s">
        <v>14</v>
      </c>
      <c r="D216" s="172" t="s">
        <v>15</v>
      </c>
      <c r="E216" s="173">
        <v>42843</v>
      </c>
      <c r="F216" s="174">
        <v>10.199999999999999</v>
      </c>
      <c r="G216" s="175" t="s">
        <v>16</v>
      </c>
      <c r="H216" s="172" t="s">
        <v>20</v>
      </c>
      <c r="I216" s="175"/>
      <c r="J216" s="175"/>
      <c r="K216" s="175"/>
      <c r="L216" s="172"/>
    </row>
    <row r="217" spans="1:13" x14ac:dyDescent="0.2">
      <c r="A217" s="172" t="s">
        <v>72</v>
      </c>
      <c r="B217" s="172" t="s">
        <v>73</v>
      </c>
      <c r="C217" s="172" t="s">
        <v>14</v>
      </c>
      <c r="D217" s="172" t="s">
        <v>15</v>
      </c>
      <c r="E217" s="173">
        <v>42843</v>
      </c>
      <c r="F217" s="174">
        <v>109.23</v>
      </c>
      <c r="G217" s="175" t="s">
        <v>19</v>
      </c>
      <c r="H217" s="172" t="s">
        <v>20</v>
      </c>
      <c r="I217" s="175"/>
      <c r="J217" s="175"/>
      <c r="K217" s="175"/>
      <c r="L217" s="172"/>
    </row>
    <row r="218" spans="1:13" x14ac:dyDescent="0.2">
      <c r="A218" s="172" t="s">
        <v>72</v>
      </c>
      <c r="B218" s="172" t="s">
        <v>73</v>
      </c>
      <c r="C218" s="172" t="s">
        <v>14</v>
      </c>
      <c r="D218" s="172" t="s">
        <v>15</v>
      </c>
      <c r="E218" s="173">
        <v>42836</v>
      </c>
      <c r="F218" s="174">
        <v>19.2</v>
      </c>
      <c r="G218" s="175" t="s">
        <v>16</v>
      </c>
      <c r="H218" s="172" t="s">
        <v>17</v>
      </c>
      <c r="I218" s="175"/>
      <c r="J218" s="175"/>
      <c r="K218" s="175"/>
      <c r="L218" s="172"/>
    </row>
    <row r="219" spans="1:13" x14ac:dyDescent="0.2">
      <c r="A219" s="172" t="s">
        <v>72</v>
      </c>
      <c r="B219" s="172" t="s">
        <v>73</v>
      </c>
      <c r="C219" s="172" t="s">
        <v>14</v>
      </c>
      <c r="D219" s="172" t="s">
        <v>15</v>
      </c>
      <c r="E219" s="173">
        <v>42836</v>
      </c>
      <c r="F219" s="174">
        <v>199.68</v>
      </c>
      <c r="G219" s="175" t="s">
        <v>19</v>
      </c>
      <c r="H219" s="172" t="s">
        <v>17</v>
      </c>
      <c r="I219" s="175"/>
      <c r="J219" s="175"/>
      <c r="K219" s="175"/>
      <c r="L219" s="172"/>
    </row>
    <row r="220" spans="1:13" x14ac:dyDescent="0.2">
      <c r="A220" s="172" t="s">
        <v>72</v>
      </c>
      <c r="B220" s="172" t="s">
        <v>73</v>
      </c>
      <c r="C220" s="172" t="s">
        <v>14</v>
      </c>
      <c r="D220" s="172" t="s">
        <v>15</v>
      </c>
      <c r="E220" s="173">
        <v>42836</v>
      </c>
      <c r="F220" s="174">
        <v>12.5</v>
      </c>
      <c r="G220" s="175" t="s">
        <v>16</v>
      </c>
      <c r="H220" s="172" t="s">
        <v>20</v>
      </c>
      <c r="I220" s="175"/>
      <c r="J220" s="175"/>
      <c r="K220" s="175"/>
      <c r="L220" s="172"/>
    </row>
    <row r="221" spans="1:13" x14ac:dyDescent="0.2">
      <c r="A221" s="172" t="s">
        <v>72</v>
      </c>
      <c r="B221" s="172" t="s">
        <v>73</v>
      </c>
      <c r="C221" s="172" t="s">
        <v>14</v>
      </c>
      <c r="D221" s="172" t="s">
        <v>15</v>
      </c>
      <c r="E221" s="173">
        <v>42836</v>
      </c>
      <c r="F221" s="174">
        <v>146.26</v>
      </c>
      <c r="G221" s="175" t="s">
        <v>19</v>
      </c>
      <c r="H221" s="172" t="s">
        <v>20</v>
      </c>
      <c r="I221" s="175"/>
      <c r="J221" s="175"/>
      <c r="K221" s="175"/>
      <c r="L221" s="172"/>
    </row>
    <row r="222" spans="1:13" x14ac:dyDescent="0.2">
      <c r="A222" s="172" t="s">
        <v>72</v>
      </c>
      <c r="B222" s="172" t="s">
        <v>73</v>
      </c>
      <c r="C222" s="172" t="s">
        <v>14</v>
      </c>
      <c r="D222" s="172" t="s">
        <v>15</v>
      </c>
      <c r="E222" s="173">
        <v>42829</v>
      </c>
      <c r="F222" s="174">
        <v>16.2</v>
      </c>
      <c r="G222" s="175" t="s">
        <v>16</v>
      </c>
      <c r="H222" s="172" t="s">
        <v>17</v>
      </c>
    </row>
    <row r="223" spans="1:13" x14ac:dyDescent="0.2">
      <c r="A223" s="172" t="s">
        <v>72</v>
      </c>
      <c r="B223" s="172" t="s">
        <v>73</v>
      </c>
      <c r="C223" s="172" t="s">
        <v>14</v>
      </c>
      <c r="D223" s="172" t="s">
        <v>15</v>
      </c>
      <c r="E223" s="173">
        <v>42829</v>
      </c>
      <c r="F223" s="174">
        <v>237.79</v>
      </c>
      <c r="G223" s="175" t="s">
        <v>19</v>
      </c>
      <c r="H223" s="172" t="s">
        <v>17</v>
      </c>
      <c r="I223" s="175"/>
      <c r="J223" s="175"/>
      <c r="K223" s="175"/>
      <c r="L223" s="172"/>
    </row>
    <row r="224" spans="1:13" x14ac:dyDescent="0.2">
      <c r="A224" s="172" t="s">
        <v>72</v>
      </c>
      <c r="B224" s="172" t="s">
        <v>73</v>
      </c>
      <c r="C224" s="172" t="s">
        <v>14</v>
      </c>
      <c r="D224" s="172" t="s">
        <v>15</v>
      </c>
      <c r="E224" s="173">
        <v>42829</v>
      </c>
      <c r="F224" s="174">
        <v>11.4</v>
      </c>
      <c r="G224" s="175" t="s">
        <v>16</v>
      </c>
      <c r="H224" s="172" t="s">
        <v>20</v>
      </c>
      <c r="I224" s="175"/>
      <c r="J224" s="175"/>
      <c r="K224" s="175"/>
      <c r="L224" s="172"/>
    </row>
    <row r="225" spans="1:12" x14ac:dyDescent="0.2">
      <c r="A225" s="172" t="s">
        <v>72</v>
      </c>
      <c r="B225" s="172" t="s">
        <v>73</v>
      </c>
      <c r="C225" s="172" t="s">
        <v>14</v>
      </c>
      <c r="D225" s="172" t="s">
        <v>15</v>
      </c>
      <c r="E225" s="173">
        <v>42829</v>
      </c>
      <c r="F225" s="174">
        <v>171.8</v>
      </c>
      <c r="G225" s="175" t="s">
        <v>19</v>
      </c>
      <c r="H225" s="172" t="s">
        <v>20</v>
      </c>
      <c r="I225" s="175"/>
      <c r="J225" s="175"/>
      <c r="K225" s="175"/>
      <c r="L225" s="172"/>
    </row>
    <row r="226" spans="1:12" x14ac:dyDescent="0.2">
      <c r="A226" s="172" t="s">
        <v>72</v>
      </c>
      <c r="B226" s="172" t="s">
        <v>73</v>
      </c>
      <c r="C226" s="172" t="s">
        <v>14</v>
      </c>
      <c r="D226" s="172" t="s">
        <v>15</v>
      </c>
      <c r="E226" s="173">
        <v>42822</v>
      </c>
      <c r="F226" s="174">
        <v>12.8</v>
      </c>
      <c r="G226" s="175" t="s">
        <v>16</v>
      </c>
      <c r="H226" s="172" t="s">
        <v>17</v>
      </c>
      <c r="I226" s="175">
        <v>1</v>
      </c>
      <c r="J226" s="175" t="s">
        <v>18</v>
      </c>
      <c r="K226" s="175" t="s">
        <v>74</v>
      </c>
      <c r="L226" s="172" t="s">
        <v>75</v>
      </c>
    </row>
    <row r="227" spans="1:12" x14ac:dyDescent="0.2">
      <c r="A227" s="172" t="s">
        <v>72</v>
      </c>
      <c r="B227" s="172" t="s">
        <v>73</v>
      </c>
      <c r="C227" s="172" t="s">
        <v>14</v>
      </c>
      <c r="D227" s="172" t="s">
        <v>15</v>
      </c>
      <c r="E227" s="173">
        <v>42822</v>
      </c>
      <c r="F227" s="174">
        <v>133.333248</v>
      </c>
      <c r="G227" s="175" t="s">
        <v>19</v>
      </c>
      <c r="H227" s="172" t="s">
        <v>17</v>
      </c>
      <c r="I227" s="175">
        <v>1</v>
      </c>
      <c r="J227" s="175" t="s">
        <v>18</v>
      </c>
      <c r="K227" s="175" t="s">
        <v>74</v>
      </c>
      <c r="L227" s="172" t="s">
        <v>75</v>
      </c>
    </row>
    <row r="228" spans="1:12" x14ac:dyDescent="0.2">
      <c r="A228" s="172" t="s">
        <v>72</v>
      </c>
      <c r="B228" s="172" t="s">
        <v>73</v>
      </c>
      <c r="C228" s="172" t="s">
        <v>14</v>
      </c>
      <c r="D228" s="172" t="s">
        <v>15</v>
      </c>
      <c r="E228" s="173">
        <v>42822</v>
      </c>
      <c r="F228" s="174">
        <v>8.3000000000000007</v>
      </c>
      <c r="G228" s="175" t="s">
        <v>16</v>
      </c>
      <c r="H228" s="172" t="s">
        <v>20</v>
      </c>
      <c r="I228" s="175">
        <v>1</v>
      </c>
      <c r="J228" s="175" t="s">
        <v>18</v>
      </c>
      <c r="K228" s="175" t="s">
        <v>74</v>
      </c>
      <c r="L228" s="172" t="s">
        <v>75</v>
      </c>
    </row>
    <row r="229" spans="1:12" x14ac:dyDescent="0.2">
      <c r="A229" s="172" t="s">
        <v>72</v>
      </c>
      <c r="B229" s="172" t="s">
        <v>73</v>
      </c>
      <c r="C229" s="172" t="s">
        <v>14</v>
      </c>
      <c r="D229" s="172" t="s">
        <v>15</v>
      </c>
      <c r="E229" s="173">
        <v>42822</v>
      </c>
      <c r="F229" s="174">
        <v>96.287801999999999</v>
      </c>
      <c r="G229" s="175" t="s">
        <v>19</v>
      </c>
      <c r="H229" s="172" t="s">
        <v>20</v>
      </c>
      <c r="I229" s="175">
        <v>1</v>
      </c>
      <c r="J229" s="175" t="s">
        <v>18</v>
      </c>
      <c r="K229" s="175" t="s">
        <v>74</v>
      </c>
      <c r="L229" s="172" t="s">
        <v>75</v>
      </c>
    </row>
    <row r="230" spans="1:12" x14ac:dyDescent="0.2">
      <c r="A230" s="172" t="s">
        <v>72</v>
      </c>
      <c r="B230" s="172" t="s">
        <v>73</v>
      </c>
      <c r="C230" s="172" t="s">
        <v>14</v>
      </c>
      <c r="D230" s="172" t="s">
        <v>15</v>
      </c>
      <c r="E230" s="173">
        <v>42815</v>
      </c>
      <c r="F230" s="174">
        <v>16.899999999999999</v>
      </c>
      <c r="G230" s="175" t="s">
        <v>16</v>
      </c>
      <c r="H230" s="172" t="s">
        <v>17</v>
      </c>
      <c r="I230" s="175">
        <v>1</v>
      </c>
      <c r="J230" s="175" t="s">
        <v>18</v>
      </c>
      <c r="K230" s="175" t="s">
        <v>74</v>
      </c>
      <c r="L230" s="172" t="s">
        <v>75</v>
      </c>
    </row>
    <row r="231" spans="1:12" x14ac:dyDescent="0.2">
      <c r="A231" s="172" t="s">
        <v>72</v>
      </c>
      <c r="B231" s="172" t="s">
        <v>73</v>
      </c>
      <c r="C231" s="172" t="s">
        <v>14</v>
      </c>
      <c r="D231" s="172" t="s">
        <v>15</v>
      </c>
      <c r="E231" s="173">
        <v>42815</v>
      </c>
      <c r="F231" s="174">
        <v>142.21451400000001</v>
      </c>
      <c r="G231" s="175" t="s">
        <v>19</v>
      </c>
      <c r="H231" s="172" t="s">
        <v>17</v>
      </c>
      <c r="I231" s="175">
        <v>1</v>
      </c>
      <c r="J231" s="175" t="s">
        <v>18</v>
      </c>
      <c r="K231" s="175" t="s">
        <v>74</v>
      </c>
      <c r="L231" s="172" t="s">
        <v>75</v>
      </c>
    </row>
    <row r="232" spans="1:12" x14ac:dyDescent="0.2">
      <c r="A232" s="172" t="s">
        <v>72</v>
      </c>
      <c r="B232" s="172" t="s">
        <v>73</v>
      </c>
      <c r="C232" s="172" t="s">
        <v>14</v>
      </c>
      <c r="D232" s="172" t="s">
        <v>15</v>
      </c>
      <c r="E232" s="173">
        <v>42815</v>
      </c>
      <c r="F232" s="174">
        <v>9.8000000000000007</v>
      </c>
      <c r="G232" s="175" t="s">
        <v>16</v>
      </c>
      <c r="H232" s="172" t="s">
        <v>20</v>
      </c>
      <c r="I232" s="175">
        <v>1</v>
      </c>
      <c r="J232" s="175" t="s">
        <v>18</v>
      </c>
      <c r="K232" s="175" t="s">
        <v>74</v>
      </c>
      <c r="L232" s="172" t="s">
        <v>75</v>
      </c>
    </row>
    <row r="233" spans="1:12" x14ac:dyDescent="0.2">
      <c r="A233" s="172" t="s">
        <v>72</v>
      </c>
      <c r="B233" s="172" t="s">
        <v>73</v>
      </c>
      <c r="C233" s="172" t="s">
        <v>14</v>
      </c>
      <c r="D233" s="172" t="s">
        <v>15</v>
      </c>
      <c r="E233" s="173">
        <v>42815</v>
      </c>
      <c r="F233" s="174">
        <v>118.347936</v>
      </c>
      <c r="G233" s="175" t="s">
        <v>19</v>
      </c>
      <c r="H233" s="172" t="s">
        <v>20</v>
      </c>
      <c r="I233" s="175">
        <v>1</v>
      </c>
      <c r="J233" s="175" t="s">
        <v>18</v>
      </c>
      <c r="K233" s="175" t="s">
        <v>74</v>
      </c>
      <c r="L233" s="172" t="s">
        <v>75</v>
      </c>
    </row>
    <row r="234" spans="1:12" x14ac:dyDescent="0.2">
      <c r="A234" s="172" t="s">
        <v>72</v>
      </c>
      <c r="B234" s="172" t="s">
        <v>73</v>
      </c>
      <c r="C234" s="172" t="s">
        <v>14</v>
      </c>
      <c r="D234" s="172" t="s">
        <v>15</v>
      </c>
      <c r="E234" s="173">
        <v>42808</v>
      </c>
      <c r="F234" s="174">
        <v>14.6</v>
      </c>
      <c r="G234" s="175" t="s">
        <v>16</v>
      </c>
      <c r="H234" s="172" t="s">
        <v>17</v>
      </c>
      <c r="I234" s="175">
        <v>1</v>
      </c>
      <c r="J234" s="175" t="s">
        <v>18</v>
      </c>
      <c r="K234" s="175" t="s">
        <v>74</v>
      </c>
      <c r="L234" s="172" t="s">
        <v>75</v>
      </c>
    </row>
    <row r="235" spans="1:12" x14ac:dyDescent="0.2">
      <c r="A235" s="172" t="s">
        <v>72</v>
      </c>
      <c r="B235" s="172" t="s">
        <v>73</v>
      </c>
      <c r="C235" s="172" t="s">
        <v>14</v>
      </c>
      <c r="D235" s="172" t="s">
        <v>15</v>
      </c>
      <c r="E235" s="173">
        <v>42808</v>
      </c>
      <c r="F235" s="174">
        <v>119.815776</v>
      </c>
      <c r="G235" s="175" t="s">
        <v>19</v>
      </c>
      <c r="H235" s="172" t="s">
        <v>17</v>
      </c>
      <c r="I235" s="175">
        <v>1</v>
      </c>
      <c r="J235" s="175" t="s">
        <v>18</v>
      </c>
      <c r="K235" s="175" t="s">
        <v>74</v>
      </c>
      <c r="L235" s="172" t="s">
        <v>75</v>
      </c>
    </row>
    <row r="236" spans="1:12" x14ac:dyDescent="0.2">
      <c r="A236" s="172" t="s">
        <v>72</v>
      </c>
      <c r="B236" s="172" t="s">
        <v>73</v>
      </c>
      <c r="C236" s="172" t="s">
        <v>14</v>
      </c>
      <c r="D236" s="172" t="s">
        <v>15</v>
      </c>
      <c r="E236" s="173">
        <v>42808</v>
      </c>
      <c r="F236" s="174">
        <v>10</v>
      </c>
      <c r="G236" s="175" t="s">
        <v>16</v>
      </c>
      <c r="H236" s="172" t="s">
        <v>20</v>
      </c>
      <c r="I236" s="175">
        <v>1</v>
      </c>
      <c r="J236" s="175" t="s">
        <v>18</v>
      </c>
      <c r="K236" s="175" t="s">
        <v>74</v>
      </c>
      <c r="L236" s="172" t="s">
        <v>75</v>
      </c>
    </row>
    <row r="237" spans="1:12" x14ac:dyDescent="0.2">
      <c r="A237" s="172" t="s">
        <v>72</v>
      </c>
      <c r="B237" s="172" t="s">
        <v>73</v>
      </c>
      <c r="C237" s="172" t="s">
        <v>14</v>
      </c>
      <c r="D237" s="172" t="s">
        <v>15</v>
      </c>
      <c r="E237" s="173">
        <v>42808</v>
      </c>
      <c r="F237" s="174">
        <v>144.7824</v>
      </c>
      <c r="G237" s="175" t="s">
        <v>19</v>
      </c>
      <c r="H237" s="172" t="s">
        <v>20</v>
      </c>
      <c r="I237" s="175">
        <v>1</v>
      </c>
      <c r="J237" s="175" t="s">
        <v>18</v>
      </c>
      <c r="K237" s="175" t="s">
        <v>74</v>
      </c>
      <c r="L237" s="172" t="s">
        <v>75</v>
      </c>
    </row>
    <row r="238" spans="1:12" x14ac:dyDescent="0.2">
      <c r="A238" s="172" t="s">
        <v>72</v>
      </c>
      <c r="B238" s="172" t="s">
        <v>73</v>
      </c>
      <c r="C238" s="172" t="s">
        <v>14</v>
      </c>
      <c r="D238" s="172" t="s">
        <v>15</v>
      </c>
      <c r="E238" s="173">
        <v>42801</v>
      </c>
      <c r="F238" s="174">
        <v>12.5</v>
      </c>
      <c r="G238" s="175" t="s">
        <v>16</v>
      </c>
      <c r="H238" s="172" t="s">
        <v>17</v>
      </c>
      <c r="I238" s="175">
        <v>1</v>
      </c>
      <c r="J238" s="175" t="s">
        <v>18</v>
      </c>
      <c r="K238" s="175" t="s">
        <v>74</v>
      </c>
      <c r="L238" s="172" t="s">
        <v>75</v>
      </c>
    </row>
    <row r="239" spans="1:12" x14ac:dyDescent="0.2">
      <c r="A239" s="172" t="s">
        <v>72</v>
      </c>
      <c r="B239" s="172" t="s">
        <v>73</v>
      </c>
      <c r="C239" s="172" t="s">
        <v>14</v>
      </c>
      <c r="D239" s="172" t="s">
        <v>15</v>
      </c>
      <c r="E239" s="173">
        <v>42801</v>
      </c>
      <c r="F239" s="174">
        <v>230.184</v>
      </c>
      <c r="G239" s="175" t="s">
        <v>19</v>
      </c>
      <c r="H239" s="172" t="s">
        <v>17</v>
      </c>
      <c r="I239" s="175">
        <v>1</v>
      </c>
      <c r="J239" s="175" t="s">
        <v>18</v>
      </c>
      <c r="K239" s="175" t="s">
        <v>74</v>
      </c>
      <c r="L239" s="172" t="s">
        <v>75</v>
      </c>
    </row>
    <row r="240" spans="1:12" x14ac:dyDescent="0.2">
      <c r="A240" s="172" t="s">
        <v>72</v>
      </c>
      <c r="B240" s="172" t="s">
        <v>73</v>
      </c>
      <c r="C240" s="172" t="s">
        <v>14</v>
      </c>
      <c r="D240" s="172" t="s">
        <v>15</v>
      </c>
      <c r="E240" s="173">
        <v>42801</v>
      </c>
      <c r="F240" s="174">
        <v>8.6</v>
      </c>
      <c r="G240" s="175" t="s">
        <v>16</v>
      </c>
      <c r="H240" s="172" t="s">
        <v>20</v>
      </c>
      <c r="I240" s="175">
        <v>1</v>
      </c>
      <c r="J240" s="175" t="s">
        <v>18</v>
      </c>
      <c r="K240" s="175" t="s">
        <v>74</v>
      </c>
      <c r="L240" s="172" t="s">
        <v>75</v>
      </c>
    </row>
    <row r="241" spans="1:12" x14ac:dyDescent="0.2">
      <c r="A241" s="172" t="s">
        <v>72</v>
      </c>
      <c r="B241" s="172" t="s">
        <v>73</v>
      </c>
      <c r="C241" s="172" t="s">
        <v>14</v>
      </c>
      <c r="D241" s="172" t="s">
        <v>15</v>
      </c>
      <c r="E241" s="173">
        <v>42801</v>
      </c>
      <c r="F241" s="174">
        <v>139.50317999999999</v>
      </c>
      <c r="G241" s="175" t="s">
        <v>19</v>
      </c>
      <c r="H241" s="172" t="s">
        <v>20</v>
      </c>
      <c r="I241" s="175">
        <v>1</v>
      </c>
      <c r="J241" s="175" t="s">
        <v>18</v>
      </c>
      <c r="K241" s="175" t="s">
        <v>74</v>
      </c>
      <c r="L241" s="172" t="s">
        <v>75</v>
      </c>
    </row>
    <row r="242" spans="1:12" x14ac:dyDescent="0.2">
      <c r="A242" s="172" t="s">
        <v>72</v>
      </c>
      <c r="B242" s="172" t="s">
        <v>73</v>
      </c>
      <c r="C242" s="172" t="s">
        <v>14</v>
      </c>
      <c r="D242" s="172" t="s">
        <v>15</v>
      </c>
      <c r="E242" s="173">
        <v>42794</v>
      </c>
      <c r="F242" s="174">
        <v>11.9</v>
      </c>
      <c r="G242" s="175" t="s">
        <v>16</v>
      </c>
      <c r="H242" s="172" t="s">
        <v>17</v>
      </c>
      <c r="I242" s="175">
        <v>1</v>
      </c>
      <c r="J242" s="175" t="s">
        <v>18</v>
      </c>
      <c r="K242" s="175" t="s">
        <v>74</v>
      </c>
      <c r="L242" s="172" t="s">
        <v>75</v>
      </c>
    </row>
    <row r="243" spans="1:12" x14ac:dyDescent="0.2">
      <c r="A243" s="172" t="s">
        <v>72</v>
      </c>
      <c r="B243" s="172" t="s">
        <v>73</v>
      </c>
      <c r="C243" s="172" t="s">
        <v>14</v>
      </c>
      <c r="D243" s="172" t="s">
        <v>15</v>
      </c>
      <c r="E243" s="173">
        <v>42794</v>
      </c>
      <c r="F243" s="174">
        <v>152.441856</v>
      </c>
      <c r="G243" s="175" t="s">
        <v>19</v>
      </c>
      <c r="H243" s="172" t="s">
        <v>17</v>
      </c>
      <c r="I243" s="175">
        <v>1</v>
      </c>
      <c r="J243" s="175" t="s">
        <v>18</v>
      </c>
      <c r="K243" s="175" t="s">
        <v>74</v>
      </c>
      <c r="L243" s="172" t="s">
        <v>75</v>
      </c>
    </row>
    <row r="244" spans="1:12" x14ac:dyDescent="0.2">
      <c r="A244" s="172" t="s">
        <v>72</v>
      </c>
      <c r="B244" s="172" t="s">
        <v>73</v>
      </c>
      <c r="C244" s="172" t="s">
        <v>14</v>
      </c>
      <c r="D244" s="172" t="s">
        <v>15</v>
      </c>
      <c r="E244" s="173">
        <v>42794</v>
      </c>
      <c r="F244" s="174">
        <v>8.4</v>
      </c>
      <c r="G244" s="175" t="s">
        <v>16</v>
      </c>
      <c r="H244" s="172" t="s">
        <v>20</v>
      </c>
      <c r="I244" s="175">
        <v>1</v>
      </c>
      <c r="J244" s="175" t="s">
        <v>18</v>
      </c>
      <c r="K244" s="175" t="s">
        <v>74</v>
      </c>
      <c r="L244" s="172" t="s">
        <v>75</v>
      </c>
    </row>
    <row r="245" spans="1:12" x14ac:dyDescent="0.2">
      <c r="A245" s="172" t="s">
        <v>72</v>
      </c>
      <c r="B245" s="172" t="s">
        <v>73</v>
      </c>
      <c r="C245" s="172" t="s">
        <v>14</v>
      </c>
      <c r="D245" s="172" t="s">
        <v>15</v>
      </c>
      <c r="E245" s="173">
        <v>42794</v>
      </c>
      <c r="F245" s="174">
        <v>129.18326400000001</v>
      </c>
      <c r="G245" s="175" t="s">
        <v>19</v>
      </c>
      <c r="H245" s="172" t="s">
        <v>20</v>
      </c>
      <c r="I245" s="175">
        <v>1</v>
      </c>
      <c r="J245" s="175" t="s">
        <v>18</v>
      </c>
      <c r="K245" s="175" t="s">
        <v>74</v>
      </c>
      <c r="L245" s="172" t="s">
        <v>75</v>
      </c>
    </row>
    <row r="246" spans="1:12" x14ac:dyDescent="0.2">
      <c r="A246" s="172" t="s">
        <v>72</v>
      </c>
      <c r="B246" s="172" t="s">
        <v>73</v>
      </c>
      <c r="C246" s="172" t="s">
        <v>14</v>
      </c>
      <c r="D246" s="172" t="s">
        <v>15</v>
      </c>
      <c r="E246" s="173">
        <v>42787</v>
      </c>
      <c r="F246" s="174">
        <v>10.8</v>
      </c>
      <c r="G246" s="175" t="s">
        <v>16</v>
      </c>
      <c r="H246" s="172" t="s">
        <v>17</v>
      </c>
      <c r="I246" s="175">
        <v>1</v>
      </c>
      <c r="J246" s="175" t="s">
        <v>18</v>
      </c>
      <c r="K246" s="175" t="s">
        <v>74</v>
      </c>
      <c r="L246" s="172" t="s">
        <v>75</v>
      </c>
    </row>
    <row r="247" spans="1:12" x14ac:dyDescent="0.2">
      <c r="A247" s="172" t="s">
        <v>72</v>
      </c>
      <c r="B247" s="172" t="s">
        <v>73</v>
      </c>
      <c r="C247" s="172" t="s">
        <v>14</v>
      </c>
      <c r="D247" s="172" t="s">
        <v>15</v>
      </c>
      <c r="E247" s="173">
        <v>42787</v>
      </c>
      <c r="F247" s="174">
        <v>160.50830400000001</v>
      </c>
      <c r="G247" s="175" t="s">
        <v>19</v>
      </c>
      <c r="H247" s="172" t="s">
        <v>17</v>
      </c>
      <c r="I247" s="175">
        <v>1</v>
      </c>
      <c r="J247" s="175" t="s">
        <v>18</v>
      </c>
      <c r="K247" s="175" t="s">
        <v>74</v>
      </c>
      <c r="L247" s="172" t="s">
        <v>75</v>
      </c>
    </row>
    <row r="248" spans="1:12" x14ac:dyDescent="0.2">
      <c r="A248" s="172" t="s">
        <v>72</v>
      </c>
      <c r="B248" s="172" t="s">
        <v>73</v>
      </c>
      <c r="C248" s="172" t="s">
        <v>14</v>
      </c>
      <c r="D248" s="172" t="s">
        <v>15</v>
      </c>
      <c r="E248" s="173">
        <v>42787</v>
      </c>
      <c r="F248" s="174">
        <v>8</v>
      </c>
      <c r="G248" s="175" t="s">
        <v>16</v>
      </c>
      <c r="H248" s="172" t="s">
        <v>20</v>
      </c>
      <c r="I248" s="175">
        <v>1</v>
      </c>
      <c r="J248" s="175" t="s">
        <v>18</v>
      </c>
      <c r="K248" s="175" t="s">
        <v>74</v>
      </c>
      <c r="L248" s="172" t="s">
        <v>75</v>
      </c>
    </row>
    <row r="249" spans="1:12" x14ac:dyDescent="0.2">
      <c r="A249" s="172" t="s">
        <v>72</v>
      </c>
      <c r="B249" s="172" t="s">
        <v>73</v>
      </c>
      <c r="C249" s="172" t="s">
        <v>14</v>
      </c>
      <c r="D249" s="172" t="s">
        <v>15</v>
      </c>
      <c r="E249" s="173">
        <v>42787</v>
      </c>
      <c r="F249" s="174">
        <v>104.68368</v>
      </c>
      <c r="G249" s="175" t="s">
        <v>19</v>
      </c>
      <c r="H249" s="172" t="s">
        <v>20</v>
      </c>
      <c r="I249" s="175">
        <v>1</v>
      </c>
      <c r="J249" s="175" t="s">
        <v>18</v>
      </c>
      <c r="K249" s="175" t="s">
        <v>74</v>
      </c>
      <c r="L249" s="172" t="s">
        <v>75</v>
      </c>
    </row>
    <row r="250" spans="1:12" x14ac:dyDescent="0.2">
      <c r="A250" s="172" t="s">
        <v>72</v>
      </c>
      <c r="B250" s="172" t="s">
        <v>73</v>
      </c>
      <c r="C250" s="172" t="s">
        <v>14</v>
      </c>
      <c r="D250" s="172" t="s">
        <v>15</v>
      </c>
      <c r="E250" s="173">
        <v>42780</v>
      </c>
      <c r="F250" s="174">
        <v>16</v>
      </c>
      <c r="G250" s="175" t="s">
        <v>16</v>
      </c>
      <c r="H250" s="172" t="s">
        <v>17</v>
      </c>
      <c r="I250" s="175">
        <v>1</v>
      </c>
      <c r="J250" s="175" t="s">
        <v>18</v>
      </c>
      <c r="K250" s="175" t="s">
        <v>74</v>
      </c>
      <c r="L250" s="172" t="s">
        <v>75</v>
      </c>
    </row>
    <row r="251" spans="1:12" x14ac:dyDescent="0.2">
      <c r="A251" s="172" t="s">
        <v>72</v>
      </c>
      <c r="B251" s="172" t="s">
        <v>73</v>
      </c>
      <c r="C251" s="172" t="s">
        <v>14</v>
      </c>
      <c r="D251" s="172" t="s">
        <v>15</v>
      </c>
      <c r="E251" s="173">
        <v>42780</v>
      </c>
      <c r="F251" s="174">
        <v>126.63455999999999</v>
      </c>
      <c r="G251" s="175" t="s">
        <v>19</v>
      </c>
      <c r="H251" s="172" t="s">
        <v>17</v>
      </c>
      <c r="I251" s="175">
        <v>1</v>
      </c>
      <c r="J251" s="175" t="s">
        <v>18</v>
      </c>
      <c r="K251" s="175" t="s">
        <v>74</v>
      </c>
      <c r="L251" s="172" t="s">
        <v>75</v>
      </c>
    </row>
    <row r="252" spans="1:12" x14ac:dyDescent="0.2">
      <c r="A252" s="172" t="s">
        <v>72</v>
      </c>
      <c r="B252" s="172" t="s">
        <v>73</v>
      </c>
      <c r="C252" s="172" t="s">
        <v>14</v>
      </c>
      <c r="D252" s="172" t="s">
        <v>15</v>
      </c>
      <c r="E252" s="173">
        <v>42780</v>
      </c>
      <c r="F252" s="174">
        <v>9.1</v>
      </c>
      <c r="G252" s="175" t="s">
        <v>16</v>
      </c>
      <c r="H252" s="172" t="s">
        <v>20</v>
      </c>
      <c r="I252" s="175">
        <v>1</v>
      </c>
      <c r="J252" s="175" t="s">
        <v>18</v>
      </c>
      <c r="K252" s="175" t="s">
        <v>74</v>
      </c>
      <c r="L252" s="172" t="s">
        <v>75</v>
      </c>
    </row>
    <row r="253" spans="1:12" x14ac:dyDescent="0.2">
      <c r="A253" s="172" t="s">
        <v>72</v>
      </c>
      <c r="B253" s="172" t="s">
        <v>73</v>
      </c>
      <c r="C253" s="172" t="s">
        <v>14</v>
      </c>
      <c r="D253" s="172" t="s">
        <v>15</v>
      </c>
      <c r="E253" s="173">
        <v>42780</v>
      </c>
      <c r="F253" s="174">
        <v>77.867243999999999</v>
      </c>
      <c r="G253" s="175" t="s">
        <v>19</v>
      </c>
      <c r="H253" s="172" t="s">
        <v>20</v>
      </c>
      <c r="I253" s="175">
        <v>1</v>
      </c>
      <c r="J253" s="175" t="s">
        <v>18</v>
      </c>
      <c r="K253" s="175" t="s">
        <v>74</v>
      </c>
      <c r="L253" s="172" t="s">
        <v>75</v>
      </c>
    </row>
    <row r="254" spans="1:12" x14ac:dyDescent="0.2">
      <c r="A254" s="172" t="s">
        <v>72</v>
      </c>
      <c r="B254" s="172" t="s">
        <v>73</v>
      </c>
      <c r="C254" s="172" t="s">
        <v>14</v>
      </c>
      <c r="D254" s="172" t="s">
        <v>15</v>
      </c>
      <c r="E254" s="173">
        <v>42773</v>
      </c>
      <c r="F254" s="174">
        <v>16.5</v>
      </c>
      <c r="G254" s="175" t="s">
        <v>16</v>
      </c>
      <c r="H254" s="172" t="s">
        <v>17</v>
      </c>
      <c r="I254" s="175">
        <v>1</v>
      </c>
      <c r="J254" s="175" t="s">
        <v>18</v>
      </c>
      <c r="K254" s="175" t="s">
        <v>74</v>
      </c>
      <c r="L254" s="172" t="s">
        <v>75</v>
      </c>
    </row>
    <row r="255" spans="1:12" x14ac:dyDescent="0.2">
      <c r="A255" s="172" t="s">
        <v>72</v>
      </c>
      <c r="B255" s="172" t="s">
        <v>73</v>
      </c>
      <c r="C255" s="172" t="s">
        <v>14</v>
      </c>
      <c r="D255" s="172" t="s">
        <v>15</v>
      </c>
      <c r="E255" s="173">
        <v>42773</v>
      </c>
      <c r="F255" s="174">
        <v>114.07868999999999</v>
      </c>
      <c r="G255" s="175" t="s">
        <v>19</v>
      </c>
      <c r="H255" s="172" t="s">
        <v>17</v>
      </c>
      <c r="I255" s="175">
        <v>1</v>
      </c>
      <c r="J255" s="175" t="s">
        <v>18</v>
      </c>
      <c r="K255" s="175" t="s">
        <v>74</v>
      </c>
      <c r="L255" s="172" t="s">
        <v>75</v>
      </c>
    </row>
    <row r="256" spans="1:12" x14ac:dyDescent="0.2">
      <c r="A256" s="172" t="s">
        <v>72</v>
      </c>
      <c r="B256" s="172" t="s">
        <v>73</v>
      </c>
      <c r="C256" s="172" t="s">
        <v>14</v>
      </c>
      <c r="D256" s="172" t="s">
        <v>15</v>
      </c>
      <c r="E256" s="173">
        <v>42773</v>
      </c>
      <c r="F256" s="174">
        <v>10.4</v>
      </c>
      <c r="G256" s="175" t="s">
        <v>16</v>
      </c>
      <c r="H256" s="172" t="s">
        <v>20</v>
      </c>
      <c r="I256" s="175">
        <v>1</v>
      </c>
      <c r="J256" s="175" t="s">
        <v>18</v>
      </c>
      <c r="K256" s="175" t="s">
        <v>74</v>
      </c>
      <c r="L256" s="172" t="s">
        <v>75</v>
      </c>
    </row>
    <row r="257" spans="1:12" x14ac:dyDescent="0.2">
      <c r="A257" s="172" t="s">
        <v>72</v>
      </c>
      <c r="B257" s="172" t="s">
        <v>73</v>
      </c>
      <c r="C257" s="172" t="s">
        <v>14</v>
      </c>
      <c r="D257" s="172" t="s">
        <v>15</v>
      </c>
      <c r="E257" s="173">
        <v>42773</v>
      </c>
      <c r="F257" s="174">
        <v>79.883855999999994</v>
      </c>
      <c r="G257" s="175" t="s">
        <v>19</v>
      </c>
      <c r="H257" s="172" t="s">
        <v>20</v>
      </c>
      <c r="I257" s="175">
        <v>1</v>
      </c>
      <c r="J257" s="175" t="s">
        <v>18</v>
      </c>
      <c r="K257" s="175" t="s">
        <v>74</v>
      </c>
      <c r="L257" s="172" t="s">
        <v>75</v>
      </c>
    </row>
    <row r="258" spans="1:12" x14ac:dyDescent="0.2">
      <c r="A258" s="172" t="s">
        <v>72</v>
      </c>
      <c r="B258" s="172" t="s">
        <v>73</v>
      </c>
      <c r="C258" s="172" t="s">
        <v>14</v>
      </c>
      <c r="D258" s="172" t="s">
        <v>15</v>
      </c>
      <c r="E258" s="173">
        <v>42766</v>
      </c>
      <c r="F258" s="174">
        <v>16.5</v>
      </c>
      <c r="G258" s="175" t="s">
        <v>16</v>
      </c>
      <c r="H258" s="172" t="s">
        <v>17</v>
      </c>
      <c r="I258" s="175">
        <v>1</v>
      </c>
      <c r="J258" s="175" t="s">
        <v>18</v>
      </c>
      <c r="K258" s="175" t="s">
        <v>74</v>
      </c>
      <c r="L258" s="172" t="s">
        <v>75</v>
      </c>
    </row>
    <row r="259" spans="1:12" x14ac:dyDescent="0.2">
      <c r="A259" s="172" t="s">
        <v>72</v>
      </c>
      <c r="B259" s="172" t="s">
        <v>73</v>
      </c>
      <c r="C259" s="172" t="s">
        <v>14</v>
      </c>
      <c r="D259" s="172" t="s">
        <v>15</v>
      </c>
      <c r="E259" s="173">
        <v>42766</v>
      </c>
      <c r="F259" s="174">
        <v>114.2163</v>
      </c>
      <c r="G259" s="175" t="s">
        <v>19</v>
      </c>
      <c r="H259" s="172" t="s">
        <v>17</v>
      </c>
      <c r="I259" s="175">
        <v>1</v>
      </c>
      <c r="J259" s="175" t="s">
        <v>18</v>
      </c>
      <c r="K259" s="175" t="s">
        <v>74</v>
      </c>
      <c r="L259" s="172" t="s">
        <v>75</v>
      </c>
    </row>
    <row r="260" spans="1:12" x14ac:dyDescent="0.2">
      <c r="A260" s="172" t="s">
        <v>72</v>
      </c>
      <c r="B260" s="172" t="s">
        <v>73</v>
      </c>
      <c r="C260" s="172" t="s">
        <v>14</v>
      </c>
      <c r="D260" s="172" t="s">
        <v>15</v>
      </c>
      <c r="E260" s="173">
        <v>42766</v>
      </c>
      <c r="F260" s="174">
        <v>10.5</v>
      </c>
      <c r="G260" s="175" t="s">
        <v>16</v>
      </c>
      <c r="H260" s="172" t="s">
        <v>20</v>
      </c>
      <c r="I260" s="175">
        <v>1</v>
      </c>
      <c r="J260" s="175" t="s">
        <v>18</v>
      </c>
      <c r="K260" s="175" t="s">
        <v>74</v>
      </c>
      <c r="L260" s="172" t="s">
        <v>75</v>
      </c>
    </row>
    <row r="261" spans="1:12" x14ac:dyDescent="0.2">
      <c r="A261" s="172" t="s">
        <v>72</v>
      </c>
      <c r="B261" s="172" t="s">
        <v>73</v>
      </c>
      <c r="C261" s="172" t="s">
        <v>14</v>
      </c>
      <c r="D261" s="172" t="s">
        <v>15</v>
      </c>
      <c r="E261" s="173">
        <v>42766</v>
      </c>
      <c r="F261" s="174">
        <v>81.790379999999999</v>
      </c>
      <c r="G261" s="175" t="s">
        <v>19</v>
      </c>
      <c r="H261" s="172" t="s">
        <v>20</v>
      </c>
      <c r="I261" s="175">
        <v>1</v>
      </c>
      <c r="J261" s="175" t="s">
        <v>18</v>
      </c>
      <c r="K261" s="175" t="s">
        <v>74</v>
      </c>
      <c r="L261" s="172" t="s">
        <v>75</v>
      </c>
    </row>
    <row r="262" spans="1:12" x14ac:dyDescent="0.2">
      <c r="A262" s="172" t="s">
        <v>72</v>
      </c>
      <c r="B262" s="172" t="s">
        <v>73</v>
      </c>
      <c r="C262" s="172" t="s">
        <v>14</v>
      </c>
      <c r="D262" s="172" t="s">
        <v>15</v>
      </c>
      <c r="E262" s="173">
        <v>42759</v>
      </c>
      <c r="F262" s="174">
        <v>20.8</v>
      </c>
      <c r="G262" s="175" t="s">
        <v>16</v>
      </c>
      <c r="H262" s="172" t="s">
        <v>17</v>
      </c>
      <c r="I262" s="175">
        <v>1</v>
      </c>
      <c r="J262" s="175" t="s">
        <v>18</v>
      </c>
      <c r="K262" s="175" t="s">
        <v>74</v>
      </c>
      <c r="L262" s="172" t="s">
        <v>75</v>
      </c>
    </row>
    <row r="263" spans="1:12" x14ac:dyDescent="0.2">
      <c r="A263" s="172" t="s">
        <v>72</v>
      </c>
      <c r="B263" s="172" t="s">
        <v>73</v>
      </c>
      <c r="C263" s="172" t="s">
        <v>14</v>
      </c>
      <c r="D263" s="172" t="s">
        <v>15</v>
      </c>
      <c r="E263" s="173">
        <v>42759</v>
      </c>
      <c r="F263" s="174">
        <v>159.94118399999999</v>
      </c>
      <c r="G263" s="175" t="s">
        <v>19</v>
      </c>
      <c r="H263" s="172" t="s">
        <v>17</v>
      </c>
      <c r="I263" s="175">
        <v>1</v>
      </c>
      <c r="J263" s="175" t="s">
        <v>18</v>
      </c>
      <c r="K263" s="175" t="s">
        <v>74</v>
      </c>
      <c r="L263" s="172" t="s">
        <v>75</v>
      </c>
    </row>
    <row r="264" spans="1:12" x14ac:dyDescent="0.2">
      <c r="A264" s="172" t="s">
        <v>72</v>
      </c>
      <c r="B264" s="172" t="s">
        <v>73</v>
      </c>
      <c r="C264" s="172" t="s">
        <v>14</v>
      </c>
      <c r="D264" s="172" t="s">
        <v>15</v>
      </c>
      <c r="E264" s="173">
        <v>42759</v>
      </c>
      <c r="F264" s="174">
        <v>11.8</v>
      </c>
      <c r="G264" s="175" t="s">
        <v>16</v>
      </c>
      <c r="H264" s="172" t="s">
        <v>20</v>
      </c>
      <c r="I264" s="175">
        <v>1</v>
      </c>
      <c r="J264" s="175" t="s">
        <v>18</v>
      </c>
      <c r="K264" s="175" t="s">
        <v>74</v>
      </c>
      <c r="L264" s="172" t="s">
        <v>75</v>
      </c>
    </row>
    <row r="265" spans="1:12" x14ac:dyDescent="0.2">
      <c r="A265" s="172" t="s">
        <v>72</v>
      </c>
      <c r="B265" s="172" t="s">
        <v>73</v>
      </c>
      <c r="C265" s="172" t="s">
        <v>14</v>
      </c>
      <c r="D265" s="172" t="s">
        <v>15</v>
      </c>
      <c r="E265" s="173">
        <v>42759</v>
      </c>
      <c r="F265" s="174">
        <v>101.65959599999999</v>
      </c>
      <c r="G265" s="175" t="s">
        <v>19</v>
      </c>
      <c r="H265" s="172" t="s">
        <v>20</v>
      </c>
      <c r="I265" s="175">
        <v>1</v>
      </c>
      <c r="J265" s="175" t="s">
        <v>18</v>
      </c>
      <c r="K265" s="175" t="s">
        <v>74</v>
      </c>
      <c r="L265" s="172" t="s">
        <v>75</v>
      </c>
    </row>
    <row r="266" spans="1:12" x14ac:dyDescent="0.2">
      <c r="A266" s="172" t="s">
        <v>72</v>
      </c>
      <c r="B266" s="172" t="s">
        <v>73</v>
      </c>
      <c r="C266" s="172" t="s">
        <v>14</v>
      </c>
      <c r="D266" s="172" t="s">
        <v>15</v>
      </c>
      <c r="E266" s="173">
        <v>42752</v>
      </c>
      <c r="F266" s="174">
        <v>19</v>
      </c>
      <c r="G266" s="175" t="s">
        <v>16</v>
      </c>
      <c r="H266" s="172" t="s">
        <v>17</v>
      </c>
      <c r="I266" s="175">
        <v>1</v>
      </c>
      <c r="J266" s="175" t="s">
        <v>18</v>
      </c>
      <c r="K266" s="175" t="s">
        <v>74</v>
      </c>
      <c r="L266" s="172" t="s">
        <v>75</v>
      </c>
    </row>
    <row r="267" spans="1:12" x14ac:dyDescent="0.2">
      <c r="A267" s="172" t="s">
        <v>72</v>
      </c>
      <c r="B267" s="172" t="s">
        <v>73</v>
      </c>
      <c r="C267" s="172" t="s">
        <v>14</v>
      </c>
      <c r="D267" s="172" t="s">
        <v>15</v>
      </c>
      <c r="E267" s="173">
        <v>42752</v>
      </c>
      <c r="F267" s="174">
        <v>138.6525</v>
      </c>
      <c r="G267" s="175" t="s">
        <v>19</v>
      </c>
      <c r="H267" s="172" t="s">
        <v>17</v>
      </c>
      <c r="I267" s="175">
        <v>1</v>
      </c>
      <c r="J267" s="175" t="s">
        <v>18</v>
      </c>
      <c r="K267" s="175" t="s">
        <v>74</v>
      </c>
      <c r="L267" s="172" t="s">
        <v>75</v>
      </c>
    </row>
    <row r="268" spans="1:12" x14ac:dyDescent="0.2">
      <c r="A268" s="172" t="s">
        <v>72</v>
      </c>
      <c r="B268" s="172" t="s">
        <v>73</v>
      </c>
      <c r="C268" s="172" t="s">
        <v>14</v>
      </c>
      <c r="D268" s="172" t="s">
        <v>15</v>
      </c>
      <c r="E268" s="173">
        <v>42752</v>
      </c>
      <c r="F268" s="174">
        <v>11.7</v>
      </c>
      <c r="G268" s="175" t="s">
        <v>16</v>
      </c>
      <c r="H268" s="172" t="s">
        <v>20</v>
      </c>
      <c r="I268" s="175">
        <v>1</v>
      </c>
      <c r="J268" s="175" t="s">
        <v>18</v>
      </c>
      <c r="K268" s="175" t="s">
        <v>74</v>
      </c>
      <c r="L268" s="172" t="s">
        <v>75</v>
      </c>
    </row>
    <row r="269" spans="1:12" x14ac:dyDescent="0.2">
      <c r="A269" s="172" t="s">
        <v>72</v>
      </c>
      <c r="B269" s="172" t="s">
        <v>73</v>
      </c>
      <c r="C269" s="172" t="s">
        <v>14</v>
      </c>
      <c r="D269" s="172" t="s">
        <v>15</v>
      </c>
      <c r="E269" s="173">
        <v>42752</v>
      </c>
      <c r="F269" s="174">
        <v>92.796678</v>
      </c>
      <c r="G269" s="175" t="s">
        <v>19</v>
      </c>
      <c r="H269" s="172" t="s">
        <v>20</v>
      </c>
      <c r="I269" s="175">
        <v>1</v>
      </c>
      <c r="J269" s="175" t="s">
        <v>18</v>
      </c>
      <c r="K269" s="175" t="s">
        <v>74</v>
      </c>
      <c r="L269" s="172" t="s">
        <v>75</v>
      </c>
    </row>
    <row r="270" spans="1:12" x14ac:dyDescent="0.2">
      <c r="A270" s="172" t="s">
        <v>72</v>
      </c>
      <c r="B270" s="172" t="s">
        <v>73</v>
      </c>
      <c r="C270" s="172" t="s">
        <v>14</v>
      </c>
      <c r="D270" s="172" t="s">
        <v>15</v>
      </c>
      <c r="E270" s="173">
        <v>42745</v>
      </c>
      <c r="F270" s="174">
        <v>18.5</v>
      </c>
      <c r="G270" s="175" t="s">
        <v>16</v>
      </c>
      <c r="H270" s="172" t="s">
        <v>17</v>
      </c>
      <c r="I270" s="175">
        <v>1</v>
      </c>
      <c r="J270" s="175" t="s">
        <v>18</v>
      </c>
      <c r="K270" s="175" t="s">
        <v>74</v>
      </c>
      <c r="L270" s="172" t="s">
        <v>75</v>
      </c>
    </row>
    <row r="271" spans="1:12" x14ac:dyDescent="0.2">
      <c r="A271" s="172" t="s">
        <v>72</v>
      </c>
      <c r="B271" s="172" t="s">
        <v>73</v>
      </c>
      <c r="C271" s="172" t="s">
        <v>14</v>
      </c>
      <c r="D271" s="172" t="s">
        <v>15</v>
      </c>
      <c r="E271" s="173">
        <v>42745</v>
      </c>
      <c r="F271" s="174">
        <v>107.07726</v>
      </c>
      <c r="G271" s="175" t="s">
        <v>19</v>
      </c>
      <c r="H271" s="172" t="s">
        <v>17</v>
      </c>
      <c r="I271" s="175">
        <v>1</v>
      </c>
      <c r="J271" s="175" t="s">
        <v>18</v>
      </c>
      <c r="K271" s="175" t="s">
        <v>74</v>
      </c>
      <c r="L271" s="172" t="s">
        <v>75</v>
      </c>
    </row>
    <row r="272" spans="1:12" x14ac:dyDescent="0.2">
      <c r="A272" s="172" t="s">
        <v>72</v>
      </c>
      <c r="B272" s="172" t="s">
        <v>73</v>
      </c>
      <c r="C272" s="172" t="s">
        <v>14</v>
      </c>
      <c r="D272" s="172" t="s">
        <v>15</v>
      </c>
      <c r="E272" s="173">
        <v>42745</v>
      </c>
      <c r="F272" s="174">
        <v>14.4</v>
      </c>
      <c r="G272" s="175" t="s">
        <v>16</v>
      </c>
      <c r="H272" s="172" t="s">
        <v>20</v>
      </c>
      <c r="I272" s="175">
        <v>1</v>
      </c>
      <c r="J272" s="175" t="s">
        <v>18</v>
      </c>
      <c r="K272" s="175" t="s">
        <v>74</v>
      </c>
      <c r="L272" s="172" t="s">
        <v>75</v>
      </c>
    </row>
    <row r="273" spans="1:12" x14ac:dyDescent="0.2">
      <c r="A273" s="172" t="s">
        <v>72</v>
      </c>
      <c r="B273" s="172" t="s">
        <v>73</v>
      </c>
      <c r="C273" s="172" t="s">
        <v>14</v>
      </c>
      <c r="D273" s="172" t="s">
        <v>15</v>
      </c>
      <c r="E273" s="173">
        <v>42745</v>
      </c>
      <c r="F273" s="174">
        <v>95.596416000000005</v>
      </c>
      <c r="G273" s="175" t="s">
        <v>19</v>
      </c>
      <c r="H273" s="172" t="s">
        <v>20</v>
      </c>
      <c r="I273" s="175">
        <v>1</v>
      </c>
      <c r="J273" s="175" t="s">
        <v>18</v>
      </c>
      <c r="K273" s="175" t="s">
        <v>74</v>
      </c>
      <c r="L273" s="172" t="s">
        <v>75</v>
      </c>
    </row>
    <row r="274" spans="1:12" x14ac:dyDescent="0.2">
      <c r="A274" s="172" t="s">
        <v>72</v>
      </c>
      <c r="B274" s="172" t="s">
        <v>73</v>
      </c>
      <c r="C274" s="172" t="s">
        <v>14</v>
      </c>
      <c r="D274" s="172" t="s">
        <v>15</v>
      </c>
      <c r="E274" s="173">
        <v>42738</v>
      </c>
      <c r="F274" s="174">
        <v>22.9</v>
      </c>
      <c r="G274" s="175" t="s">
        <v>16</v>
      </c>
      <c r="H274" s="172" t="s">
        <v>17</v>
      </c>
      <c r="I274" s="175">
        <v>1</v>
      </c>
      <c r="J274" s="175" t="s">
        <v>18</v>
      </c>
      <c r="K274" s="175" t="s">
        <v>74</v>
      </c>
      <c r="L274" s="172" t="s">
        <v>75</v>
      </c>
    </row>
    <row r="275" spans="1:12" x14ac:dyDescent="0.2">
      <c r="A275" s="172" t="s">
        <v>72</v>
      </c>
      <c r="B275" s="172" t="s">
        <v>73</v>
      </c>
      <c r="C275" s="172" t="s">
        <v>14</v>
      </c>
      <c r="D275" s="172" t="s">
        <v>15</v>
      </c>
      <c r="E275" s="173">
        <v>42738</v>
      </c>
      <c r="F275" s="174">
        <v>156.035562</v>
      </c>
      <c r="G275" s="175" t="s">
        <v>19</v>
      </c>
      <c r="H275" s="172" t="s">
        <v>17</v>
      </c>
      <c r="I275" s="175">
        <v>1</v>
      </c>
      <c r="J275" s="175" t="s">
        <v>18</v>
      </c>
      <c r="K275" s="175" t="s">
        <v>74</v>
      </c>
      <c r="L275" s="172" t="s">
        <v>75</v>
      </c>
    </row>
    <row r="276" spans="1:12" x14ac:dyDescent="0.2">
      <c r="A276" s="172" t="s">
        <v>72</v>
      </c>
      <c r="B276" s="172" t="s">
        <v>73</v>
      </c>
      <c r="C276" s="172" t="s">
        <v>14</v>
      </c>
      <c r="D276" s="172" t="s">
        <v>15</v>
      </c>
      <c r="E276" s="173">
        <v>42738</v>
      </c>
      <c r="F276" s="174">
        <v>11.3</v>
      </c>
      <c r="G276" s="175" t="s">
        <v>16</v>
      </c>
      <c r="H276" s="172" t="s">
        <v>20</v>
      </c>
      <c r="I276" s="175">
        <v>1</v>
      </c>
      <c r="J276" s="175" t="s">
        <v>18</v>
      </c>
      <c r="K276" s="175" t="s">
        <v>74</v>
      </c>
      <c r="L276" s="172" t="s">
        <v>75</v>
      </c>
    </row>
    <row r="277" spans="1:12" x14ac:dyDescent="0.2">
      <c r="A277" s="172" t="s">
        <v>72</v>
      </c>
      <c r="B277" s="172" t="s">
        <v>73</v>
      </c>
      <c r="C277" s="172" t="s">
        <v>14</v>
      </c>
      <c r="D277" s="172" t="s">
        <v>15</v>
      </c>
      <c r="E277" s="173">
        <v>42738</v>
      </c>
      <c r="F277" s="174">
        <v>86.514156</v>
      </c>
      <c r="G277" s="175" t="s">
        <v>19</v>
      </c>
      <c r="H277" s="172" t="s">
        <v>20</v>
      </c>
      <c r="I277" s="175">
        <v>1</v>
      </c>
      <c r="J277" s="175" t="s">
        <v>18</v>
      </c>
      <c r="K277" s="175" t="s">
        <v>74</v>
      </c>
      <c r="L277" s="172" t="s">
        <v>75</v>
      </c>
    </row>
    <row r="278" spans="1:12" x14ac:dyDescent="0.2">
      <c r="A278" s="172" t="s">
        <v>72</v>
      </c>
      <c r="B278" s="172" t="s">
        <v>73</v>
      </c>
      <c r="C278" s="172" t="s">
        <v>14</v>
      </c>
      <c r="D278" s="172" t="s">
        <v>15</v>
      </c>
      <c r="E278" s="173">
        <v>42731</v>
      </c>
      <c r="F278" s="174">
        <v>14.8</v>
      </c>
      <c r="G278" s="175" t="s">
        <v>16</v>
      </c>
      <c r="H278" s="172" t="s">
        <v>17</v>
      </c>
      <c r="I278" s="175">
        <v>1</v>
      </c>
      <c r="J278" s="175" t="s">
        <v>18</v>
      </c>
      <c r="K278" s="175" t="s">
        <v>74</v>
      </c>
      <c r="L278" s="172" t="s">
        <v>75</v>
      </c>
    </row>
    <row r="279" spans="1:12" x14ac:dyDescent="0.2">
      <c r="A279" s="172" t="s">
        <v>72</v>
      </c>
      <c r="B279" s="172" t="s">
        <v>73</v>
      </c>
      <c r="C279" s="172" t="s">
        <v>14</v>
      </c>
      <c r="D279" s="172" t="s">
        <v>15</v>
      </c>
      <c r="E279" s="173">
        <v>42731</v>
      </c>
      <c r="F279" s="174">
        <v>129.72703200000001</v>
      </c>
      <c r="G279" s="175" t="s">
        <v>19</v>
      </c>
      <c r="H279" s="172" t="s">
        <v>17</v>
      </c>
      <c r="I279" s="175">
        <v>1</v>
      </c>
      <c r="J279" s="175" t="s">
        <v>18</v>
      </c>
      <c r="K279" s="175" t="s">
        <v>74</v>
      </c>
      <c r="L279" s="172" t="s">
        <v>75</v>
      </c>
    </row>
    <row r="280" spans="1:12" x14ac:dyDescent="0.2">
      <c r="A280" s="172" t="s">
        <v>72</v>
      </c>
      <c r="B280" s="172" t="s">
        <v>73</v>
      </c>
      <c r="C280" s="172" t="s">
        <v>14</v>
      </c>
      <c r="D280" s="172" t="s">
        <v>15</v>
      </c>
      <c r="E280" s="173">
        <v>42731</v>
      </c>
      <c r="F280" s="174">
        <v>9.6999999999999993</v>
      </c>
      <c r="G280" s="175" t="s">
        <v>16</v>
      </c>
      <c r="H280" s="172" t="s">
        <v>20</v>
      </c>
      <c r="I280" s="175">
        <v>1</v>
      </c>
      <c r="J280" s="175" t="s">
        <v>18</v>
      </c>
      <c r="K280" s="175" t="s">
        <v>74</v>
      </c>
      <c r="L280" s="172" t="s">
        <v>75</v>
      </c>
    </row>
    <row r="281" spans="1:12" x14ac:dyDescent="0.2">
      <c r="A281" s="172" t="s">
        <v>72</v>
      </c>
      <c r="B281" s="172" t="s">
        <v>73</v>
      </c>
      <c r="C281" s="172" t="s">
        <v>14</v>
      </c>
      <c r="D281" s="172" t="s">
        <v>15</v>
      </c>
      <c r="E281" s="173">
        <v>42731</v>
      </c>
      <c r="F281" s="174">
        <v>92.061924000000005</v>
      </c>
      <c r="G281" s="175" t="s">
        <v>19</v>
      </c>
      <c r="H281" s="172" t="s">
        <v>20</v>
      </c>
      <c r="I281" s="175">
        <v>1</v>
      </c>
      <c r="J281" s="175" t="s">
        <v>18</v>
      </c>
      <c r="K281" s="175" t="s">
        <v>74</v>
      </c>
      <c r="L281" s="172" t="s">
        <v>75</v>
      </c>
    </row>
    <row r="282" spans="1:12" x14ac:dyDescent="0.2">
      <c r="A282" s="172" t="s">
        <v>72</v>
      </c>
      <c r="B282" s="172" t="s">
        <v>73</v>
      </c>
      <c r="C282" s="172" t="s">
        <v>14</v>
      </c>
      <c r="D282" s="172" t="s">
        <v>15</v>
      </c>
      <c r="E282" s="173">
        <v>42724</v>
      </c>
      <c r="F282" s="174">
        <v>18.8</v>
      </c>
      <c r="G282" s="175" t="s">
        <v>16</v>
      </c>
      <c r="H282" s="172" t="s">
        <v>17</v>
      </c>
      <c r="I282" s="175">
        <v>1</v>
      </c>
      <c r="J282" s="175" t="s">
        <v>18</v>
      </c>
      <c r="K282" s="175" t="s">
        <v>74</v>
      </c>
      <c r="L282" s="172" t="s">
        <v>75</v>
      </c>
    </row>
    <row r="283" spans="1:12" x14ac:dyDescent="0.2">
      <c r="A283" s="172" t="s">
        <v>72</v>
      </c>
      <c r="B283" s="172" t="s">
        <v>73</v>
      </c>
      <c r="C283" s="172" t="s">
        <v>14</v>
      </c>
      <c r="D283" s="172" t="s">
        <v>15</v>
      </c>
      <c r="E283" s="173">
        <v>42724</v>
      </c>
      <c r="F283" s="174">
        <v>100.817256</v>
      </c>
      <c r="G283" s="175" t="s">
        <v>19</v>
      </c>
      <c r="H283" s="172" t="s">
        <v>17</v>
      </c>
      <c r="I283" s="175">
        <v>1</v>
      </c>
      <c r="J283" s="175" t="s">
        <v>18</v>
      </c>
      <c r="K283" s="175" t="s">
        <v>74</v>
      </c>
      <c r="L283" s="172" t="s">
        <v>75</v>
      </c>
    </row>
    <row r="284" spans="1:12" x14ac:dyDescent="0.2">
      <c r="A284" s="172" t="s">
        <v>72</v>
      </c>
      <c r="B284" s="172" t="s">
        <v>73</v>
      </c>
      <c r="C284" s="172" t="s">
        <v>14</v>
      </c>
      <c r="D284" s="172" t="s">
        <v>15</v>
      </c>
      <c r="E284" s="173">
        <v>42724</v>
      </c>
      <c r="F284" s="174">
        <v>15.4</v>
      </c>
      <c r="G284" s="175" t="s">
        <v>16</v>
      </c>
      <c r="H284" s="172" t="s">
        <v>20</v>
      </c>
      <c r="I284" s="175">
        <v>1</v>
      </c>
      <c r="J284" s="175" t="s">
        <v>18</v>
      </c>
      <c r="K284" s="175" t="s">
        <v>74</v>
      </c>
      <c r="L284" s="172" t="s">
        <v>75</v>
      </c>
    </row>
    <row r="285" spans="1:12" x14ac:dyDescent="0.2">
      <c r="A285" s="172" t="s">
        <v>72</v>
      </c>
      <c r="B285" s="172" t="s">
        <v>73</v>
      </c>
      <c r="C285" s="172" t="s">
        <v>14</v>
      </c>
      <c r="D285" s="172" t="s">
        <v>15</v>
      </c>
      <c r="E285" s="173">
        <v>42724</v>
      </c>
      <c r="F285" s="174">
        <v>93.501407999999998</v>
      </c>
      <c r="G285" s="175" t="s">
        <v>19</v>
      </c>
      <c r="H285" s="172" t="s">
        <v>20</v>
      </c>
      <c r="I285" s="175">
        <v>1</v>
      </c>
      <c r="J285" s="175" t="s">
        <v>18</v>
      </c>
      <c r="K285" s="175" t="s">
        <v>74</v>
      </c>
      <c r="L285" s="172" t="s">
        <v>75</v>
      </c>
    </row>
    <row r="286" spans="1:12" x14ac:dyDescent="0.2">
      <c r="A286" s="172" t="s">
        <v>72</v>
      </c>
      <c r="B286" s="172" t="s">
        <v>73</v>
      </c>
      <c r="C286" s="172" t="s">
        <v>14</v>
      </c>
      <c r="D286" s="172" t="s">
        <v>15</v>
      </c>
      <c r="E286" s="173">
        <v>42717</v>
      </c>
      <c r="F286" s="174">
        <v>17.39</v>
      </c>
      <c r="G286" s="175" t="s">
        <v>16</v>
      </c>
      <c r="H286" s="172" t="s">
        <v>17</v>
      </c>
      <c r="I286" s="175">
        <v>1</v>
      </c>
      <c r="J286" s="175" t="s">
        <v>18</v>
      </c>
      <c r="K286" s="175" t="s">
        <v>74</v>
      </c>
      <c r="L286" s="172" t="s">
        <v>75</v>
      </c>
    </row>
    <row r="287" spans="1:12" x14ac:dyDescent="0.2">
      <c r="A287" s="172" t="s">
        <v>72</v>
      </c>
      <c r="B287" s="172" t="s">
        <v>73</v>
      </c>
      <c r="C287" s="172" t="s">
        <v>14</v>
      </c>
      <c r="D287" s="172" t="s">
        <v>15</v>
      </c>
      <c r="E287" s="173">
        <v>42717</v>
      </c>
      <c r="F287" s="174">
        <v>103.2632112</v>
      </c>
      <c r="G287" s="175" t="s">
        <v>19</v>
      </c>
      <c r="H287" s="172" t="s">
        <v>17</v>
      </c>
      <c r="I287" s="175">
        <v>1</v>
      </c>
      <c r="J287" s="175" t="s">
        <v>18</v>
      </c>
      <c r="K287" s="175" t="s">
        <v>74</v>
      </c>
      <c r="L287" s="172" t="s">
        <v>75</v>
      </c>
    </row>
    <row r="288" spans="1:12" x14ac:dyDescent="0.2">
      <c r="A288" s="172" t="s">
        <v>72</v>
      </c>
      <c r="B288" s="172" t="s">
        <v>73</v>
      </c>
      <c r="C288" s="172" t="s">
        <v>14</v>
      </c>
      <c r="D288" s="172" t="s">
        <v>15</v>
      </c>
      <c r="E288" s="173">
        <v>42717</v>
      </c>
      <c r="F288" s="174">
        <v>13</v>
      </c>
      <c r="G288" s="175" t="s">
        <v>16</v>
      </c>
      <c r="H288" s="172" t="s">
        <v>20</v>
      </c>
      <c r="I288" s="175">
        <v>1</v>
      </c>
      <c r="J288" s="175" t="s">
        <v>18</v>
      </c>
      <c r="K288" s="175" t="s">
        <v>74</v>
      </c>
      <c r="L288" s="172" t="s">
        <v>75</v>
      </c>
    </row>
    <row r="289" spans="1:12" x14ac:dyDescent="0.2">
      <c r="A289" s="172" t="s">
        <v>72</v>
      </c>
      <c r="B289" s="172" t="s">
        <v>73</v>
      </c>
      <c r="C289" s="172" t="s">
        <v>14</v>
      </c>
      <c r="D289" s="172" t="s">
        <v>15</v>
      </c>
      <c r="E289" s="173">
        <v>42717</v>
      </c>
      <c r="F289" s="174">
        <v>83.266559999999998</v>
      </c>
      <c r="G289" s="175" t="s">
        <v>19</v>
      </c>
      <c r="H289" s="172" t="s">
        <v>20</v>
      </c>
      <c r="I289" s="175">
        <v>1</v>
      </c>
      <c r="J289" s="175" t="s">
        <v>18</v>
      </c>
      <c r="K289" s="175" t="s">
        <v>74</v>
      </c>
      <c r="L289" s="172" t="s">
        <v>75</v>
      </c>
    </row>
    <row r="290" spans="1:12" x14ac:dyDescent="0.2">
      <c r="A290" s="172" t="s">
        <v>72</v>
      </c>
      <c r="B290" s="172" t="s">
        <v>73</v>
      </c>
      <c r="C290" s="172" t="s">
        <v>14</v>
      </c>
      <c r="D290" s="172" t="s">
        <v>15</v>
      </c>
      <c r="E290" s="173">
        <v>42710</v>
      </c>
      <c r="F290" s="174">
        <v>17</v>
      </c>
      <c r="G290" s="175" t="s">
        <v>16</v>
      </c>
      <c r="H290" s="172" t="s">
        <v>17</v>
      </c>
      <c r="I290" s="175">
        <v>1</v>
      </c>
      <c r="J290" s="175" t="s">
        <v>18</v>
      </c>
      <c r="K290" s="175" t="s">
        <v>74</v>
      </c>
      <c r="L290" s="172" t="s">
        <v>75</v>
      </c>
    </row>
    <row r="291" spans="1:12" x14ac:dyDescent="0.2">
      <c r="A291" s="172" t="s">
        <v>72</v>
      </c>
      <c r="B291" s="172" t="s">
        <v>73</v>
      </c>
      <c r="C291" s="172" t="s">
        <v>14</v>
      </c>
      <c r="D291" s="172" t="s">
        <v>15</v>
      </c>
      <c r="E291" s="173">
        <v>42710</v>
      </c>
      <c r="F291" s="174">
        <v>109.59594</v>
      </c>
      <c r="G291" s="175" t="s">
        <v>19</v>
      </c>
      <c r="H291" s="172" t="s">
        <v>17</v>
      </c>
      <c r="I291" s="175">
        <v>1</v>
      </c>
      <c r="J291" s="175" t="s">
        <v>18</v>
      </c>
      <c r="K291" s="175" t="s">
        <v>74</v>
      </c>
      <c r="L291" s="172" t="s">
        <v>75</v>
      </c>
    </row>
    <row r="292" spans="1:12" x14ac:dyDescent="0.2">
      <c r="A292" s="172" t="s">
        <v>72</v>
      </c>
      <c r="B292" s="172" t="s">
        <v>73</v>
      </c>
      <c r="C292" s="172" t="s">
        <v>14</v>
      </c>
      <c r="D292" s="172" t="s">
        <v>15</v>
      </c>
      <c r="E292" s="173">
        <v>42710</v>
      </c>
      <c r="F292" s="174">
        <v>11.7</v>
      </c>
      <c r="G292" s="175" t="s">
        <v>16</v>
      </c>
      <c r="H292" s="172" t="s">
        <v>20</v>
      </c>
      <c r="I292" s="175">
        <v>1</v>
      </c>
      <c r="J292" s="175" t="s">
        <v>18</v>
      </c>
      <c r="K292" s="175" t="s">
        <v>74</v>
      </c>
      <c r="L292" s="172" t="s">
        <v>75</v>
      </c>
    </row>
    <row r="293" spans="1:12" x14ac:dyDescent="0.2">
      <c r="A293" s="172" t="s">
        <v>72</v>
      </c>
      <c r="B293" s="172" t="s">
        <v>73</v>
      </c>
      <c r="C293" s="172" t="s">
        <v>14</v>
      </c>
      <c r="D293" s="172" t="s">
        <v>15</v>
      </c>
      <c r="E293" s="173">
        <v>42710</v>
      </c>
      <c r="F293" s="174">
        <v>88.79598</v>
      </c>
      <c r="G293" s="175" t="s">
        <v>19</v>
      </c>
      <c r="H293" s="172" t="s">
        <v>20</v>
      </c>
      <c r="I293" s="175">
        <v>1</v>
      </c>
      <c r="J293" s="175" t="s">
        <v>18</v>
      </c>
      <c r="K293" s="175" t="s">
        <v>74</v>
      </c>
      <c r="L293" s="172" t="s">
        <v>75</v>
      </c>
    </row>
    <row r="294" spans="1:12" x14ac:dyDescent="0.2">
      <c r="A294" s="172" t="s">
        <v>72</v>
      </c>
      <c r="B294" s="172" t="s">
        <v>73</v>
      </c>
      <c r="C294" s="172" t="s">
        <v>14</v>
      </c>
      <c r="D294" s="172" t="s">
        <v>15</v>
      </c>
      <c r="E294" s="173">
        <v>42703</v>
      </c>
      <c r="F294" s="174">
        <v>19.5</v>
      </c>
      <c r="G294" s="175" t="s">
        <v>16</v>
      </c>
      <c r="H294" s="172" t="s">
        <v>17</v>
      </c>
      <c r="I294" s="175">
        <v>1</v>
      </c>
      <c r="J294" s="175" t="s">
        <v>18</v>
      </c>
      <c r="K294" s="175" t="s">
        <v>74</v>
      </c>
      <c r="L294" s="172" t="s">
        <v>75</v>
      </c>
    </row>
    <row r="295" spans="1:12" x14ac:dyDescent="0.2">
      <c r="A295" s="172" t="s">
        <v>72</v>
      </c>
      <c r="B295" s="172" t="s">
        <v>73</v>
      </c>
      <c r="C295" s="172" t="s">
        <v>14</v>
      </c>
      <c r="D295" s="172" t="s">
        <v>15</v>
      </c>
      <c r="E295" s="173">
        <v>42703</v>
      </c>
      <c r="F295" s="174">
        <v>114.65415</v>
      </c>
      <c r="G295" s="175" t="s">
        <v>19</v>
      </c>
      <c r="H295" s="172" t="s">
        <v>17</v>
      </c>
      <c r="I295" s="175">
        <v>1</v>
      </c>
      <c r="J295" s="175" t="s">
        <v>18</v>
      </c>
      <c r="K295" s="175" t="s">
        <v>74</v>
      </c>
      <c r="L295" s="172" t="s">
        <v>75</v>
      </c>
    </row>
    <row r="296" spans="1:12" x14ac:dyDescent="0.2">
      <c r="A296" s="172" t="s">
        <v>72</v>
      </c>
      <c r="B296" s="172" t="s">
        <v>73</v>
      </c>
      <c r="C296" s="172" t="s">
        <v>14</v>
      </c>
      <c r="D296" s="172" t="s">
        <v>15</v>
      </c>
      <c r="E296" s="173">
        <v>42703</v>
      </c>
      <c r="F296" s="174">
        <v>12.6</v>
      </c>
      <c r="G296" s="175" t="s">
        <v>16</v>
      </c>
      <c r="H296" s="172" t="s">
        <v>20</v>
      </c>
      <c r="I296" s="175">
        <v>1</v>
      </c>
      <c r="J296" s="175" t="s">
        <v>18</v>
      </c>
      <c r="K296" s="175" t="s">
        <v>74</v>
      </c>
      <c r="L296" s="172" t="s">
        <v>75</v>
      </c>
    </row>
    <row r="297" spans="1:12" x14ac:dyDescent="0.2">
      <c r="A297" s="172" t="s">
        <v>72</v>
      </c>
      <c r="B297" s="172" t="s">
        <v>73</v>
      </c>
      <c r="C297" s="172" t="s">
        <v>14</v>
      </c>
      <c r="D297" s="172" t="s">
        <v>15</v>
      </c>
      <c r="E297" s="173">
        <v>42703</v>
      </c>
      <c r="F297" s="174">
        <v>88.060391999999993</v>
      </c>
      <c r="G297" s="175" t="s">
        <v>19</v>
      </c>
      <c r="H297" s="172" t="s">
        <v>20</v>
      </c>
      <c r="I297" s="175">
        <v>1</v>
      </c>
      <c r="J297" s="175" t="s">
        <v>18</v>
      </c>
      <c r="K297" s="175" t="s">
        <v>74</v>
      </c>
      <c r="L297" s="172" t="s">
        <v>75</v>
      </c>
    </row>
    <row r="298" spans="1:12" x14ac:dyDescent="0.2">
      <c r="A298" s="172" t="s">
        <v>72</v>
      </c>
      <c r="B298" s="172" t="s">
        <v>73</v>
      </c>
      <c r="C298" s="172" t="s">
        <v>14</v>
      </c>
      <c r="D298" s="172" t="s">
        <v>15</v>
      </c>
      <c r="E298" s="173">
        <v>42695</v>
      </c>
      <c r="F298" s="174">
        <v>21.7</v>
      </c>
      <c r="G298" s="175" t="s">
        <v>16</v>
      </c>
      <c r="H298" s="172" t="s">
        <v>17</v>
      </c>
      <c r="I298" s="175">
        <v>1</v>
      </c>
      <c r="J298" s="175" t="s">
        <v>18</v>
      </c>
      <c r="K298" s="175" t="s">
        <v>74</v>
      </c>
      <c r="L298" s="172" t="s">
        <v>75</v>
      </c>
    </row>
    <row r="299" spans="1:12" x14ac:dyDescent="0.2">
      <c r="A299" s="172" t="s">
        <v>72</v>
      </c>
      <c r="B299" s="172" t="s">
        <v>73</v>
      </c>
      <c r="C299" s="172" t="s">
        <v>14</v>
      </c>
      <c r="D299" s="172" t="s">
        <v>15</v>
      </c>
      <c r="E299" s="173">
        <v>42695</v>
      </c>
      <c r="F299" s="174">
        <v>106.234086</v>
      </c>
      <c r="G299" s="175" t="s">
        <v>19</v>
      </c>
      <c r="H299" s="172" t="s">
        <v>17</v>
      </c>
      <c r="I299" s="175">
        <v>1</v>
      </c>
      <c r="J299" s="175" t="s">
        <v>18</v>
      </c>
      <c r="K299" s="175" t="s">
        <v>74</v>
      </c>
      <c r="L299" s="172" t="s">
        <v>75</v>
      </c>
    </row>
    <row r="300" spans="1:12" x14ac:dyDescent="0.2">
      <c r="A300" s="172" t="s">
        <v>72</v>
      </c>
      <c r="B300" s="172" t="s">
        <v>73</v>
      </c>
      <c r="C300" s="172" t="s">
        <v>14</v>
      </c>
      <c r="D300" s="172" t="s">
        <v>15</v>
      </c>
      <c r="E300" s="173">
        <v>42695</v>
      </c>
      <c r="F300" s="174">
        <v>12.6</v>
      </c>
      <c r="G300" s="175" t="s">
        <v>16</v>
      </c>
      <c r="H300" s="172" t="s">
        <v>20</v>
      </c>
      <c r="I300" s="175">
        <v>1</v>
      </c>
      <c r="J300" s="175" t="s">
        <v>18</v>
      </c>
      <c r="K300" s="175" t="s">
        <v>74</v>
      </c>
      <c r="L300" s="172" t="s">
        <v>75</v>
      </c>
    </row>
    <row r="301" spans="1:12" x14ac:dyDescent="0.2">
      <c r="A301" s="172" t="s">
        <v>72</v>
      </c>
      <c r="B301" s="172" t="s">
        <v>73</v>
      </c>
      <c r="C301" s="172" t="s">
        <v>14</v>
      </c>
      <c r="D301" s="172" t="s">
        <v>15</v>
      </c>
      <c r="E301" s="173">
        <v>42695</v>
      </c>
      <c r="F301" s="174">
        <v>73.558800000000005</v>
      </c>
      <c r="G301" s="175" t="s">
        <v>19</v>
      </c>
      <c r="H301" s="172" t="s">
        <v>20</v>
      </c>
      <c r="I301" s="175">
        <v>1</v>
      </c>
      <c r="J301" s="175" t="s">
        <v>18</v>
      </c>
      <c r="K301" s="175" t="s">
        <v>74</v>
      </c>
      <c r="L301" s="172" t="s">
        <v>75</v>
      </c>
    </row>
    <row r="302" spans="1:12" x14ac:dyDescent="0.2">
      <c r="A302" s="172" t="s">
        <v>72</v>
      </c>
      <c r="B302" s="172" t="s">
        <v>73</v>
      </c>
      <c r="C302" s="172" t="s">
        <v>14</v>
      </c>
      <c r="D302" s="172" t="s">
        <v>15</v>
      </c>
      <c r="E302" s="173">
        <v>42689</v>
      </c>
      <c r="F302" s="174">
        <v>22.8</v>
      </c>
      <c r="G302" s="175" t="s">
        <v>16</v>
      </c>
      <c r="H302" s="172" t="s">
        <v>17</v>
      </c>
      <c r="I302" s="175">
        <v>1</v>
      </c>
      <c r="J302" s="175" t="s">
        <v>18</v>
      </c>
      <c r="K302" s="175" t="s">
        <v>74</v>
      </c>
      <c r="L302" s="172" t="s">
        <v>75</v>
      </c>
    </row>
    <row r="303" spans="1:12" x14ac:dyDescent="0.2">
      <c r="A303" s="172" t="s">
        <v>72</v>
      </c>
      <c r="B303" s="172" t="s">
        <v>73</v>
      </c>
      <c r="C303" s="172" t="s">
        <v>14</v>
      </c>
      <c r="D303" s="172" t="s">
        <v>15</v>
      </c>
      <c r="E303" s="173">
        <v>42689</v>
      </c>
      <c r="F303" s="174">
        <v>114.0912</v>
      </c>
      <c r="G303" s="175" t="s">
        <v>19</v>
      </c>
      <c r="H303" s="172" t="s">
        <v>17</v>
      </c>
      <c r="I303" s="175">
        <v>1</v>
      </c>
      <c r="J303" s="175" t="s">
        <v>18</v>
      </c>
      <c r="K303" s="175" t="s">
        <v>74</v>
      </c>
      <c r="L303" s="172" t="s">
        <v>75</v>
      </c>
    </row>
    <row r="304" spans="1:12" x14ac:dyDescent="0.2">
      <c r="A304" s="172" t="s">
        <v>72</v>
      </c>
      <c r="B304" s="172" t="s">
        <v>73</v>
      </c>
      <c r="C304" s="172" t="s">
        <v>14</v>
      </c>
      <c r="D304" s="172" t="s">
        <v>15</v>
      </c>
      <c r="E304" s="173">
        <v>42689</v>
      </c>
      <c r="F304" s="174">
        <v>13.2</v>
      </c>
      <c r="G304" s="175" t="s">
        <v>16</v>
      </c>
      <c r="H304" s="172" t="s">
        <v>20</v>
      </c>
      <c r="I304" s="175">
        <v>1</v>
      </c>
      <c r="J304" s="175" t="s">
        <v>18</v>
      </c>
      <c r="K304" s="175" t="s">
        <v>74</v>
      </c>
      <c r="L304" s="172" t="s">
        <v>75</v>
      </c>
    </row>
    <row r="305" spans="1:12" x14ac:dyDescent="0.2">
      <c r="A305" s="172" t="s">
        <v>72</v>
      </c>
      <c r="B305" s="172" t="s">
        <v>73</v>
      </c>
      <c r="C305" s="172" t="s">
        <v>14</v>
      </c>
      <c r="D305" s="172" t="s">
        <v>15</v>
      </c>
      <c r="E305" s="173">
        <v>42689</v>
      </c>
      <c r="F305" s="174">
        <v>79.703711999999996</v>
      </c>
      <c r="G305" s="175" t="s">
        <v>19</v>
      </c>
      <c r="H305" s="172" t="s">
        <v>20</v>
      </c>
      <c r="I305" s="175">
        <v>1</v>
      </c>
      <c r="J305" s="175" t="s">
        <v>18</v>
      </c>
      <c r="K305" s="175" t="s">
        <v>74</v>
      </c>
      <c r="L305" s="172" t="s">
        <v>75</v>
      </c>
    </row>
    <row r="306" spans="1:12" x14ac:dyDescent="0.2">
      <c r="A306" s="172" t="s">
        <v>72</v>
      </c>
      <c r="B306" s="172" t="s">
        <v>73</v>
      </c>
      <c r="C306" s="172" t="s">
        <v>14</v>
      </c>
      <c r="D306" s="172" t="s">
        <v>15</v>
      </c>
      <c r="E306" s="173">
        <v>42682</v>
      </c>
      <c r="F306" s="174">
        <v>24.7</v>
      </c>
      <c r="G306" s="175" t="s">
        <v>16</v>
      </c>
      <c r="H306" s="172" t="s">
        <v>17</v>
      </c>
      <c r="I306" s="175">
        <v>1</v>
      </c>
      <c r="J306" s="175" t="s">
        <v>18</v>
      </c>
      <c r="K306" s="175" t="s">
        <v>74</v>
      </c>
      <c r="L306" s="172" t="s">
        <v>75</v>
      </c>
    </row>
    <row r="307" spans="1:12" x14ac:dyDescent="0.2">
      <c r="A307" s="172" t="s">
        <v>72</v>
      </c>
      <c r="B307" s="172" t="s">
        <v>73</v>
      </c>
      <c r="C307" s="172" t="s">
        <v>14</v>
      </c>
      <c r="D307" s="172" t="s">
        <v>15</v>
      </c>
      <c r="E307" s="173">
        <v>42682</v>
      </c>
      <c r="F307" s="174">
        <v>123.5988</v>
      </c>
      <c r="G307" s="175" t="s">
        <v>19</v>
      </c>
      <c r="H307" s="172" t="s">
        <v>17</v>
      </c>
      <c r="I307" s="175">
        <v>1</v>
      </c>
      <c r="J307" s="175" t="s">
        <v>18</v>
      </c>
      <c r="K307" s="175" t="s">
        <v>74</v>
      </c>
      <c r="L307" s="172" t="s">
        <v>75</v>
      </c>
    </row>
    <row r="308" spans="1:12" x14ac:dyDescent="0.2">
      <c r="A308" s="172" t="s">
        <v>72</v>
      </c>
      <c r="B308" s="172" t="s">
        <v>73</v>
      </c>
      <c r="C308" s="172" t="s">
        <v>14</v>
      </c>
      <c r="D308" s="172" t="s">
        <v>15</v>
      </c>
      <c r="E308" s="173">
        <v>42682</v>
      </c>
      <c r="F308" s="174">
        <v>16.399999999999999</v>
      </c>
      <c r="G308" s="175" t="s">
        <v>16</v>
      </c>
      <c r="H308" s="172" t="s">
        <v>20</v>
      </c>
      <c r="I308" s="175">
        <v>1</v>
      </c>
      <c r="J308" s="175" t="s">
        <v>18</v>
      </c>
      <c r="K308" s="175" t="s">
        <v>74</v>
      </c>
      <c r="L308" s="172" t="s">
        <v>75</v>
      </c>
    </row>
    <row r="309" spans="1:12" x14ac:dyDescent="0.2">
      <c r="A309" s="172" t="s">
        <v>72</v>
      </c>
      <c r="B309" s="172" t="s">
        <v>73</v>
      </c>
      <c r="C309" s="172" t="s">
        <v>14</v>
      </c>
      <c r="D309" s="172" t="s">
        <v>15</v>
      </c>
      <c r="E309" s="173">
        <v>42682</v>
      </c>
      <c r="F309" s="174">
        <v>100.803912</v>
      </c>
      <c r="G309" s="175" t="s">
        <v>19</v>
      </c>
      <c r="H309" s="172" t="s">
        <v>20</v>
      </c>
      <c r="I309" s="175">
        <v>1</v>
      </c>
      <c r="J309" s="175" t="s">
        <v>18</v>
      </c>
      <c r="K309" s="175" t="s">
        <v>74</v>
      </c>
      <c r="L309" s="172" t="s">
        <v>75</v>
      </c>
    </row>
    <row r="310" spans="1:12" x14ac:dyDescent="0.2">
      <c r="A310" s="172" t="s">
        <v>72</v>
      </c>
      <c r="B310" s="172" t="s">
        <v>73</v>
      </c>
      <c r="C310" s="172" t="s">
        <v>14</v>
      </c>
      <c r="D310" s="172" t="s">
        <v>15</v>
      </c>
      <c r="E310" s="173">
        <v>42675</v>
      </c>
      <c r="F310" s="174">
        <v>16.899999999999999</v>
      </c>
      <c r="G310" s="175" t="s">
        <v>16</v>
      </c>
      <c r="H310" s="172" t="s">
        <v>17</v>
      </c>
      <c r="I310" s="175">
        <v>1</v>
      </c>
      <c r="J310" s="175" t="s">
        <v>18</v>
      </c>
      <c r="K310" s="175" t="s">
        <v>74</v>
      </c>
      <c r="L310" s="172" t="s">
        <v>75</v>
      </c>
    </row>
    <row r="311" spans="1:12" x14ac:dyDescent="0.2">
      <c r="A311" s="172" t="s">
        <v>72</v>
      </c>
      <c r="B311" s="172" t="s">
        <v>73</v>
      </c>
      <c r="C311" s="172" t="s">
        <v>14</v>
      </c>
      <c r="D311" s="172" t="s">
        <v>15</v>
      </c>
      <c r="E311" s="173">
        <v>42675</v>
      </c>
      <c r="F311" s="174">
        <v>95.843279999999993</v>
      </c>
      <c r="G311" s="175" t="s">
        <v>19</v>
      </c>
      <c r="H311" s="172" t="s">
        <v>17</v>
      </c>
      <c r="I311" s="175">
        <v>1</v>
      </c>
      <c r="J311" s="175" t="s">
        <v>18</v>
      </c>
      <c r="K311" s="175" t="s">
        <v>74</v>
      </c>
      <c r="L311" s="172" t="s">
        <v>75</v>
      </c>
    </row>
    <row r="312" spans="1:12" x14ac:dyDescent="0.2">
      <c r="A312" s="172" t="s">
        <v>72</v>
      </c>
      <c r="B312" s="172" t="s">
        <v>73</v>
      </c>
      <c r="C312" s="172" t="s">
        <v>14</v>
      </c>
      <c r="D312" s="172" t="s">
        <v>15</v>
      </c>
      <c r="E312" s="173">
        <v>42675</v>
      </c>
      <c r="F312" s="174">
        <v>10.7</v>
      </c>
      <c r="G312" s="175" t="s">
        <v>16</v>
      </c>
      <c r="H312" s="172" t="s">
        <v>20</v>
      </c>
      <c r="I312" s="175">
        <v>1</v>
      </c>
      <c r="J312" s="175" t="s">
        <v>18</v>
      </c>
      <c r="K312" s="175" t="s">
        <v>74</v>
      </c>
      <c r="L312" s="172" t="s">
        <v>75</v>
      </c>
    </row>
    <row r="313" spans="1:12" x14ac:dyDescent="0.2">
      <c r="A313" s="172" t="s">
        <v>72</v>
      </c>
      <c r="B313" s="172" t="s">
        <v>73</v>
      </c>
      <c r="C313" s="172" t="s">
        <v>14</v>
      </c>
      <c r="D313" s="172" t="s">
        <v>15</v>
      </c>
      <c r="E313" s="173">
        <v>42675</v>
      </c>
      <c r="F313" s="174">
        <v>72.372017999999997</v>
      </c>
      <c r="G313" s="175" t="s">
        <v>19</v>
      </c>
      <c r="H313" s="172" t="s">
        <v>20</v>
      </c>
      <c r="I313" s="175">
        <v>1</v>
      </c>
      <c r="J313" s="175" t="s">
        <v>18</v>
      </c>
      <c r="K313" s="175" t="s">
        <v>74</v>
      </c>
      <c r="L313" s="172" t="s">
        <v>75</v>
      </c>
    </row>
    <row r="314" spans="1:12" x14ac:dyDescent="0.2">
      <c r="A314" s="172" t="s">
        <v>72</v>
      </c>
      <c r="B314" s="172" t="s">
        <v>73</v>
      </c>
      <c r="C314" s="172" t="s">
        <v>14</v>
      </c>
      <c r="D314" s="172" t="s">
        <v>15</v>
      </c>
      <c r="E314" s="173">
        <v>42668</v>
      </c>
      <c r="F314" s="174">
        <v>19.8</v>
      </c>
      <c r="G314" s="175" t="s">
        <v>16</v>
      </c>
      <c r="H314" s="172" t="s">
        <v>17</v>
      </c>
      <c r="I314" s="175">
        <v>1</v>
      </c>
      <c r="J314" s="175" t="s">
        <v>18</v>
      </c>
      <c r="K314" s="175" t="s">
        <v>74</v>
      </c>
      <c r="L314" s="172" t="s">
        <v>75</v>
      </c>
    </row>
    <row r="315" spans="1:12" x14ac:dyDescent="0.2">
      <c r="A315" s="172" t="s">
        <v>72</v>
      </c>
      <c r="B315" s="172" t="s">
        <v>73</v>
      </c>
      <c r="C315" s="172" t="s">
        <v>14</v>
      </c>
      <c r="D315" s="172" t="s">
        <v>15</v>
      </c>
      <c r="E315" s="173">
        <v>42668</v>
      </c>
      <c r="F315" s="174">
        <v>108.656856</v>
      </c>
      <c r="G315" s="175" t="s">
        <v>19</v>
      </c>
      <c r="H315" s="172" t="s">
        <v>17</v>
      </c>
      <c r="I315" s="175">
        <v>1</v>
      </c>
      <c r="J315" s="175" t="s">
        <v>18</v>
      </c>
      <c r="K315" s="175" t="s">
        <v>74</v>
      </c>
      <c r="L315" s="172" t="s">
        <v>75</v>
      </c>
    </row>
    <row r="316" spans="1:12" x14ac:dyDescent="0.2">
      <c r="A316" s="172" t="s">
        <v>72</v>
      </c>
      <c r="B316" s="172" t="s">
        <v>73</v>
      </c>
      <c r="C316" s="172" t="s">
        <v>14</v>
      </c>
      <c r="D316" s="172" t="s">
        <v>15</v>
      </c>
      <c r="E316" s="173">
        <v>42668</v>
      </c>
      <c r="F316" s="174">
        <v>12.7</v>
      </c>
      <c r="G316" s="175" t="s">
        <v>16</v>
      </c>
      <c r="H316" s="172" t="s">
        <v>20</v>
      </c>
      <c r="I316" s="175">
        <v>1</v>
      </c>
      <c r="J316" s="175" t="s">
        <v>18</v>
      </c>
      <c r="K316" s="175" t="s">
        <v>74</v>
      </c>
      <c r="L316" s="172" t="s">
        <v>75</v>
      </c>
    </row>
    <row r="317" spans="1:12" x14ac:dyDescent="0.2">
      <c r="A317" s="172" t="s">
        <v>72</v>
      </c>
      <c r="B317" s="172" t="s">
        <v>73</v>
      </c>
      <c r="C317" s="172" t="s">
        <v>14</v>
      </c>
      <c r="D317" s="172" t="s">
        <v>15</v>
      </c>
      <c r="E317" s="173">
        <v>42668</v>
      </c>
      <c r="F317" s="174">
        <v>81.027270000000001</v>
      </c>
      <c r="G317" s="175" t="s">
        <v>19</v>
      </c>
      <c r="H317" s="172" t="s">
        <v>20</v>
      </c>
      <c r="I317" s="175">
        <v>1</v>
      </c>
      <c r="J317" s="175" t="s">
        <v>18</v>
      </c>
      <c r="K317" s="175" t="s">
        <v>74</v>
      </c>
      <c r="L317" s="172" t="s">
        <v>75</v>
      </c>
    </row>
    <row r="318" spans="1:12" x14ac:dyDescent="0.2">
      <c r="A318" s="172" t="s">
        <v>72</v>
      </c>
      <c r="B318" s="172" t="s">
        <v>73</v>
      </c>
      <c r="C318" s="172" t="s">
        <v>14</v>
      </c>
      <c r="D318" s="172" t="s">
        <v>15</v>
      </c>
      <c r="E318" s="173">
        <v>42661</v>
      </c>
      <c r="F318" s="174">
        <v>16.5</v>
      </c>
      <c r="G318" s="175" t="s">
        <v>16</v>
      </c>
      <c r="H318" s="172" t="s">
        <v>17</v>
      </c>
      <c r="I318" s="175">
        <v>1</v>
      </c>
      <c r="J318" s="175" t="s">
        <v>18</v>
      </c>
      <c r="K318" s="175" t="s">
        <v>74</v>
      </c>
      <c r="L318" s="172" t="s">
        <v>75</v>
      </c>
    </row>
    <row r="319" spans="1:12" x14ac:dyDescent="0.2">
      <c r="A319" s="172" t="s">
        <v>72</v>
      </c>
      <c r="B319" s="172" t="s">
        <v>73</v>
      </c>
      <c r="C319" s="172" t="s">
        <v>14</v>
      </c>
      <c r="D319" s="172" t="s">
        <v>15</v>
      </c>
      <c r="E319" s="173">
        <v>42661</v>
      </c>
      <c r="F319" s="174">
        <v>109.53756</v>
      </c>
      <c r="G319" s="175" t="s">
        <v>19</v>
      </c>
      <c r="H319" s="172" t="s">
        <v>17</v>
      </c>
      <c r="I319" s="175">
        <v>1</v>
      </c>
      <c r="J319" s="175" t="s">
        <v>18</v>
      </c>
      <c r="K319" s="175" t="s">
        <v>74</v>
      </c>
      <c r="L319" s="172" t="s">
        <v>75</v>
      </c>
    </row>
    <row r="320" spans="1:12" x14ac:dyDescent="0.2">
      <c r="A320" s="172" t="s">
        <v>72</v>
      </c>
      <c r="B320" s="172" t="s">
        <v>73</v>
      </c>
      <c r="C320" s="172" t="s">
        <v>14</v>
      </c>
      <c r="D320" s="172" t="s">
        <v>15</v>
      </c>
      <c r="E320" s="173">
        <v>42661</v>
      </c>
      <c r="F320" s="174">
        <v>12</v>
      </c>
      <c r="G320" s="175" t="s">
        <v>16</v>
      </c>
      <c r="H320" s="172" t="s">
        <v>20</v>
      </c>
      <c r="I320" s="175">
        <v>1</v>
      </c>
      <c r="J320" s="175" t="s">
        <v>18</v>
      </c>
      <c r="K320" s="175" t="s">
        <v>74</v>
      </c>
      <c r="L320" s="172" t="s">
        <v>75</v>
      </c>
    </row>
    <row r="321" spans="1:12" x14ac:dyDescent="0.2">
      <c r="A321" s="172" t="s">
        <v>72</v>
      </c>
      <c r="B321" s="172" t="s">
        <v>73</v>
      </c>
      <c r="C321" s="172" t="s">
        <v>14</v>
      </c>
      <c r="D321" s="172" t="s">
        <v>15</v>
      </c>
      <c r="E321" s="173">
        <v>42661</v>
      </c>
      <c r="F321" s="174">
        <v>91.973519999999994</v>
      </c>
      <c r="G321" s="175" t="s">
        <v>19</v>
      </c>
      <c r="H321" s="172" t="s">
        <v>20</v>
      </c>
      <c r="I321" s="175">
        <v>1</v>
      </c>
      <c r="J321" s="175" t="s">
        <v>18</v>
      </c>
      <c r="K321" s="175" t="s">
        <v>74</v>
      </c>
      <c r="L321" s="172" t="s">
        <v>75</v>
      </c>
    </row>
    <row r="322" spans="1:12" x14ac:dyDescent="0.2">
      <c r="A322" s="172" t="s">
        <v>72</v>
      </c>
      <c r="B322" s="172" t="s">
        <v>73</v>
      </c>
      <c r="C322" s="172" t="s">
        <v>14</v>
      </c>
      <c r="D322" s="172" t="s">
        <v>15</v>
      </c>
      <c r="E322" s="173">
        <v>42654</v>
      </c>
      <c r="F322" s="174">
        <v>15.4</v>
      </c>
      <c r="G322" s="175" t="s">
        <v>16</v>
      </c>
      <c r="H322" s="172" t="s">
        <v>17</v>
      </c>
      <c r="I322" s="175">
        <v>1</v>
      </c>
      <c r="J322" s="175" t="s">
        <v>18</v>
      </c>
      <c r="K322" s="175" t="s">
        <v>74</v>
      </c>
      <c r="L322" s="172" t="s">
        <v>75</v>
      </c>
    </row>
    <row r="323" spans="1:12" x14ac:dyDescent="0.2">
      <c r="A323" s="172" t="s">
        <v>72</v>
      </c>
      <c r="B323" s="172" t="s">
        <v>73</v>
      </c>
      <c r="C323" s="172" t="s">
        <v>14</v>
      </c>
      <c r="D323" s="172" t="s">
        <v>15</v>
      </c>
      <c r="E323" s="173">
        <v>42654</v>
      </c>
      <c r="F323" s="174">
        <v>91.574867999999995</v>
      </c>
      <c r="G323" s="175" t="s">
        <v>19</v>
      </c>
      <c r="H323" s="172" t="s">
        <v>17</v>
      </c>
      <c r="I323" s="175">
        <v>1</v>
      </c>
      <c r="J323" s="175" t="s">
        <v>18</v>
      </c>
      <c r="K323" s="175" t="s">
        <v>74</v>
      </c>
      <c r="L323" s="172" t="s">
        <v>75</v>
      </c>
    </row>
    <row r="324" spans="1:12" x14ac:dyDescent="0.2">
      <c r="A324" s="172" t="s">
        <v>72</v>
      </c>
      <c r="B324" s="172" t="s">
        <v>73</v>
      </c>
      <c r="C324" s="172" t="s">
        <v>14</v>
      </c>
      <c r="D324" s="172" t="s">
        <v>15</v>
      </c>
      <c r="E324" s="173">
        <v>42654</v>
      </c>
      <c r="F324" s="174">
        <v>9.4</v>
      </c>
      <c r="G324" s="175" t="s">
        <v>16</v>
      </c>
      <c r="H324" s="172" t="s">
        <v>20</v>
      </c>
      <c r="I324" s="175">
        <v>1</v>
      </c>
      <c r="J324" s="175" t="s">
        <v>18</v>
      </c>
      <c r="K324" s="175" t="s">
        <v>74</v>
      </c>
      <c r="L324" s="172" t="s">
        <v>75</v>
      </c>
    </row>
    <row r="325" spans="1:12" x14ac:dyDescent="0.2">
      <c r="A325" s="172" t="s">
        <v>72</v>
      </c>
      <c r="B325" s="172" t="s">
        <v>73</v>
      </c>
      <c r="C325" s="172" t="s">
        <v>14</v>
      </c>
      <c r="D325" s="172" t="s">
        <v>15</v>
      </c>
      <c r="E325" s="173">
        <v>42654</v>
      </c>
      <c r="F325" s="174">
        <v>94.388784000000001</v>
      </c>
      <c r="G325" s="175" t="s">
        <v>19</v>
      </c>
      <c r="H325" s="172" t="s">
        <v>20</v>
      </c>
      <c r="I325" s="175">
        <v>1</v>
      </c>
      <c r="J325" s="175" t="s">
        <v>18</v>
      </c>
      <c r="K325" s="175" t="s">
        <v>74</v>
      </c>
      <c r="L325" s="172" t="s">
        <v>75</v>
      </c>
    </row>
    <row r="326" spans="1:12" x14ac:dyDescent="0.2">
      <c r="A326" s="172" t="s">
        <v>72</v>
      </c>
      <c r="B326" s="172" t="s">
        <v>73</v>
      </c>
      <c r="C326" s="172" t="s">
        <v>14</v>
      </c>
      <c r="D326" s="172" t="s">
        <v>15</v>
      </c>
      <c r="E326" s="173">
        <v>42647</v>
      </c>
      <c r="F326" s="174">
        <v>35.5</v>
      </c>
      <c r="G326" s="175" t="s">
        <v>16</v>
      </c>
      <c r="H326" s="172" t="s">
        <v>17</v>
      </c>
      <c r="I326" s="175">
        <v>1</v>
      </c>
      <c r="J326" s="175" t="s">
        <v>18</v>
      </c>
      <c r="K326" s="175" t="s">
        <v>74</v>
      </c>
      <c r="L326" s="172" t="s">
        <v>75</v>
      </c>
    </row>
    <row r="327" spans="1:12" x14ac:dyDescent="0.2">
      <c r="A327" s="172" t="s">
        <v>72</v>
      </c>
      <c r="B327" s="172" t="s">
        <v>73</v>
      </c>
      <c r="C327" s="172" t="s">
        <v>14</v>
      </c>
      <c r="D327" s="172" t="s">
        <v>15</v>
      </c>
      <c r="E327" s="173">
        <v>42647</v>
      </c>
      <c r="F327" s="174">
        <v>226.78962000000001</v>
      </c>
      <c r="G327" s="175" t="s">
        <v>19</v>
      </c>
      <c r="H327" s="172" t="s">
        <v>17</v>
      </c>
      <c r="I327" s="175">
        <v>1</v>
      </c>
      <c r="J327" s="175" t="s">
        <v>18</v>
      </c>
      <c r="K327" s="175" t="s">
        <v>74</v>
      </c>
      <c r="L327" s="172" t="s">
        <v>75</v>
      </c>
    </row>
    <row r="328" spans="1:12" x14ac:dyDescent="0.2">
      <c r="A328" s="172" t="s">
        <v>72</v>
      </c>
      <c r="B328" s="172" t="s">
        <v>73</v>
      </c>
      <c r="C328" s="172" t="s">
        <v>14</v>
      </c>
      <c r="D328" s="172" t="s">
        <v>15</v>
      </c>
      <c r="E328" s="173">
        <v>42647</v>
      </c>
      <c r="F328" s="174">
        <v>10.1</v>
      </c>
      <c r="G328" s="175" t="s">
        <v>16</v>
      </c>
      <c r="H328" s="172" t="s">
        <v>20</v>
      </c>
      <c r="I328" s="175">
        <v>1</v>
      </c>
      <c r="J328" s="175" t="s">
        <v>18</v>
      </c>
      <c r="K328" s="175" t="s">
        <v>74</v>
      </c>
      <c r="L328" s="172" t="s">
        <v>75</v>
      </c>
    </row>
    <row r="329" spans="1:12" x14ac:dyDescent="0.2">
      <c r="A329" s="172" t="s">
        <v>72</v>
      </c>
      <c r="B329" s="172" t="s">
        <v>73</v>
      </c>
      <c r="C329" s="172" t="s">
        <v>14</v>
      </c>
      <c r="D329" s="172" t="s">
        <v>15</v>
      </c>
      <c r="E329" s="173">
        <v>42647</v>
      </c>
      <c r="F329" s="174">
        <v>145.05094800000001</v>
      </c>
      <c r="G329" s="175" t="s">
        <v>19</v>
      </c>
      <c r="H329" s="172" t="s">
        <v>20</v>
      </c>
      <c r="I329" s="175">
        <v>1</v>
      </c>
      <c r="J329" s="175" t="s">
        <v>18</v>
      </c>
      <c r="K329" s="175" t="s">
        <v>74</v>
      </c>
      <c r="L329" s="172" t="s">
        <v>75</v>
      </c>
    </row>
    <row r="330" spans="1:12" x14ac:dyDescent="0.2">
      <c r="A330" s="172" t="s">
        <v>72</v>
      </c>
      <c r="B330" s="172" t="s">
        <v>73</v>
      </c>
      <c r="C330" s="172" t="s">
        <v>14</v>
      </c>
      <c r="D330" s="172" t="s">
        <v>15</v>
      </c>
      <c r="E330" s="173">
        <v>42640</v>
      </c>
      <c r="F330" s="177">
        <v>16.399999999999999</v>
      </c>
      <c r="G330" s="175" t="s">
        <v>16</v>
      </c>
      <c r="H330" s="172" t="s">
        <v>17</v>
      </c>
      <c r="I330" s="175">
        <v>1</v>
      </c>
      <c r="J330" s="175" t="s">
        <v>18</v>
      </c>
      <c r="K330" s="175" t="s">
        <v>74</v>
      </c>
      <c r="L330" s="172" t="s">
        <v>75</v>
      </c>
    </row>
    <row r="331" spans="1:12" x14ac:dyDescent="0.2">
      <c r="A331" s="172" t="s">
        <v>72</v>
      </c>
      <c r="B331" s="172" t="s">
        <v>73</v>
      </c>
      <c r="C331" s="172" t="s">
        <v>14</v>
      </c>
      <c r="D331" s="172" t="s">
        <v>15</v>
      </c>
      <c r="E331" s="173">
        <v>42640</v>
      </c>
      <c r="F331" s="177">
        <v>375.31334399999997</v>
      </c>
      <c r="G331" s="181" t="s">
        <v>19</v>
      </c>
      <c r="H331" s="182" t="s">
        <v>17</v>
      </c>
      <c r="I331" s="175">
        <v>1</v>
      </c>
      <c r="J331" s="175" t="s">
        <v>18</v>
      </c>
      <c r="K331" s="175" t="s">
        <v>74</v>
      </c>
      <c r="L331" s="172" t="s">
        <v>75</v>
      </c>
    </row>
    <row r="332" spans="1:12" x14ac:dyDescent="0.2">
      <c r="A332" s="172" t="s">
        <v>72</v>
      </c>
      <c r="B332" s="172" t="s">
        <v>73</v>
      </c>
      <c r="C332" s="172" t="s">
        <v>14</v>
      </c>
      <c r="D332" s="172" t="s">
        <v>15</v>
      </c>
      <c r="E332" s="173">
        <v>42640</v>
      </c>
      <c r="F332" s="177">
        <v>8.8699999999999992</v>
      </c>
      <c r="G332" s="175" t="s">
        <v>16</v>
      </c>
      <c r="H332" s="172" t="s">
        <v>20</v>
      </c>
      <c r="I332" s="175">
        <v>1</v>
      </c>
      <c r="J332" s="175" t="s">
        <v>18</v>
      </c>
      <c r="K332" s="175" t="s">
        <v>74</v>
      </c>
      <c r="L332" s="172" t="s">
        <v>75</v>
      </c>
    </row>
    <row r="333" spans="1:12" x14ac:dyDescent="0.2">
      <c r="A333" s="172" t="s">
        <v>72</v>
      </c>
      <c r="B333" s="172" t="s">
        <v>73</v>
      </c>
      <c r="C333" s="172" t="s">
        <v>14</v>
      </c>
      <c r="D333" s="172" t="s">
        <v>15</v>
      </c>
      <c r="E333" s="173">
        <v>42640</v>
      </c>
      <c r="F333" s="177">
        <v>214.6037958</v>
      </c>
      <c r="G333" s="175" t="s">
        <v>19</v>
      </c>
      <c r="H333" s="172" t="s">
        <v>20</v>
      </c>
      <c r="I333" s="175">
        <v>1</v>
      </c>
      <c r="J333" s="175" t="s">
        <v>18</v>
      </c>
      <c r="K333" s="175" t="s">
        <v>74</v>
      </c>
      <c r="L333" s="172" t="s">
        <v>75</v>
      </c>
    </row>
    <row r="334" spans="1:12" x14ac:dyDescent="0.2">
      <c r="A334" s="172" t="s">
        <v>72</v>
      </c>
      <c r="B334" s="172" t="s">
        <v>73</v>
      </c>
      <c r="C334" s="172" t="s">
        <v>14</v>
      </c>
      <c r="D334" s="172" t="s">
        <v>15</v>
      </c>
      <c r="E334" s="173">
        <v>42634</v>
      </c>
      <c r="F334" s="174">
        <v>22.7</v>
      </c>
      <c r="G334" s="175" t="s">
        <v>16</v>
      </c>
      <c r="H334" s="172" t="s">
        <v>17</v>
      </c>
      <c r="I334" s="175">
        <v>1</v>
      </c>
      <c r="J334" s="175" t="s">
        <v>18</v>
      </c>
      <c r="K334" s="175" t="s">
        <v>74</v>
      </c>
      <c r="L334" s="172" t="s">
        <v>75</v>
      </c>
    </row>
    <row r="335" spans="1:12" x14ac:dyDescent="0.2">
      <c r="A335" s="172" t="s">
        <v>72</v>
      </c>
      <c r="B335" s="172" t="s">
        <v>73</v>
      </c>
      <c r="C335" s="172" t="s">
        <v>14</v>
      </c>
      <c r="D335" s="172" t="s">
        <v>15</v>
      </c>
      <c r="E335" s="173">
        <v>42634</v>
      </c>
      <c r="F335" s="174">
        <v>168.30370199999999</v>
      </c>
      <c r="G335" s="175" t="s">
        <v>19</v>
      </c>
      <c r="H335" s="172" t="s">
        <v>17</v>
      </c>
      <c r="I335" s="175">
        <v>1</v>
      </c>
      <c r="J335" s="175" t="s">
        <v>18</v>
      </c>
      <c r="K335" s="175" t="s">
        <v>74</v>
      </c>
      <c r="L335" s="172" t="s">
        <v>75</v>
      </c>
    </row>
    <row r="336" spans="1:12" x14ac:dyDescent="0.2">
      <c r="A336" s="172" t="s">
        <v>72</v>
      </c>
      <c r="B336" s="172" t="s">
        <v>73</v>
      </c>
      <c r="C336" s="172" t="s">
        <v>14</v>
      </c>
      <c r="D336" s="172" t="s">
        <v>15</v>
      </c>
      <c r="E336" s="173">
        <v>42634</v>
      </c>
      <c r="F336" s="174">
        <v>11</v>
      </c>
      <c r="G336" s="175" t="s">
        <v>16</v>
      </c>
      <c r="H336" s="172" t="s">
        <v>20</v>
      </c>
      <c r="I336" s="175">
        <v>1</v>
      </c>
      <c r="J336" s="175" t="s">
        <v>18</v>
      </c>
      <c r="K336" s="175" t="s">
        <v>74</v>
      </c>
      <c r="L336" s="172" t="s">
        <v>75</v>
      </c>
    </row>
    <row r="337" spans="1:12" x14ac:dyDescent="0.2">
      <c r="A337" s="172" t="s">
        <v>72</v>
      </c>
      <c r="B337" s="172" t="s">
        <v>73</v>
      </c>
      <c r="C337" s="172" t="s">
        <v>14</v>
      </c>
      <c r="D337" s="172" t="s">
        <v>15</v>
      </c>
      <c r="E337" s="173">
        <v>42634</v>
      </c>
      <c r="F337" s="174">
        <v>150.82056</v>
      </c>
      <c r="G337" s="175" t="s">
        <v>19</v>
      </c>
      <c r="H337" s="172" t="s">
        <v>20</v>
      </c>
      <c r="I337" s="175">
        <v>1</v>
      </c>
      <c r="J337" s="175" t="s">
        <v>18</v>
      </c>
      <c r="K337" s="175" t="s">
        <v>74</v>
      </c>
      <c r="L337" s="172" t="s">
        <v>75</v>
      </c>
    </row>
    <row r="338" spans="1:12" x14ac:dyDescent="0.2">
      <c r="A338" s="172" t="s">
        <v>72</v>
      </c>
      <c r="B338" s="172" t="s">
        <v>73</v>
      </c>
      <c r="C338" s="172" t="s">
        <v>14</v>
      </c>
      <c r="D338" s="172" t="s">
        <v>15</v>
      </c>
      <c r="E338" s="173">
        <v>42626</v>
      </c>
      <c r="F338" s="174">
        <v>12.1</v>
      </c>
      <c r="G338" s="175" t="s">
        <v>16</v>
      </c>
      <c r="H338" s="172" t="s">
        <v>17</v>
      </c>
      <c r="I338" s="175">
        <v>1</v>
      </c>
      <c r="J338" s="175" t="s">
        <v>18</v>
      </c>
      <c r="K338" s="175" t="s">
        <v>74</v>
      </c>
      <c r="L338" s="172" t="s">
        <v>75</v>
      </c>
    </row>
    <row r="339" spans="1:12" x14ac:dyDescent="0.2">
      <c r="A339" s="172" t="s">
        <v>72</v>
      </c>
      <c r="B339" s="172" t="s">
        <v>73</v>
      </c>
      <c r="C339" s="172" t="s">
        <v>14</v>
      </c>
      <c r="D339" s="172" t="s">
        <v>15</v>
      </c>
      <c r="E339" s="173">
        <v>42626</v>
      </c>
      <c r="F339" s="174">
        <v>102.52862399999999</v>
      </c>
      <c r="G339" s="175" t="s">
        <v>19</v>
      </c>
      <c r="H339" s="172" t="s">
        <v>17</v>
      </c>
      <c r="I339" s="175">
        <v>1</v>
      </c>
      <c r="J339" s="175" t="s">
        <v>18</v>
      </c>
      <c r="K339" s="175" t="s">
        <v>74</v>
      </c>
      <c r="L339" s="172" t="s">
        <v>75</v>
      </c>
    </row>
    <row r="340" spans="1:12" x14ac:dyDescent="0.2">
      <c r="A340" s="172" t="s">
        <v>72</v>
      </c>
      <c r="B340" s="172" t="s">
        <v>73</v>
      </c>
      <c r="C340" s="172" t="s">
        <v>14</v>
      </c>
      <c r="D340" s="172" t="s">
        <v>15</v>
      </c>
      <c r="E340" s="173">
        <v>42626</v>
      </c>
      <c r="F340" s="174">
        <v>9.5</v>
      </c>
      <c r="G340" s="175" t="s">
        <v>16</v>
      </c>
      <c r="H340" s="172" t="s">
        <v>20</v>
      </c>
      <c r="I340" s="175">
        <v>1</v>
      </c>
      <c r="J340" s="175" t="s">
        <v>18</v>
      </c>
      <c r="K340" s="175" t="s">
        <v>74</v>
      </c>
      <c r="L340" s="172" t="s">
        <v>75</v>
      </c>
    </row>
    <row r="341" spans="1:12" x14ac:dyDescent="0.2">
      <c r="A341" s="172" t="s">
        <v>72</v>
      </c>
      <c r="B341" s="172" t="s">
        <v>73</v>
      </c>
      <c r="C341" s="172" t="s">
        <v>14</v>
      </c>
      <c r="D341" s="172" t="s">
        <v>15</v>
      </c>
      <c r="E341" s="173">
        <v>42626</v>
      </c>
      <c r="F341" s="174">
        <v>91.98603</v>
      </c>
      <c r="G341" s="175" t="s">
        <v>19</v>
      </c>
      <c r="H341" s="172" t="s">
        <v>20</v>
      </c>
      <c r="I341" s="175">
        <v>1</v>
      </c>
      <c r="J341" s="175" t="s">
        <v>18</v>
      </c>
      <c r="K341" s="175" t="s">
        <v>74</v>
      </c>
      <c r="L341" s="172" t="s">
        <v>75</v>
      </c>
    </row>
    <row r="342" spans="1:12" x14ac:dyDescent="0.2">
      <c r="A342" s="172" t="s">
        <v>72</v>
      </c>
      <c r="B342" s="172" t="s">
        <v>73</v>
      </c>
      <c r="C342" s="172" t="s">
        <v>14</v>
      </c>
      <c r="D342" s="172" t="s">
        <v>15</v>
      </c>
      <c r="E342" s="173">
        <v>42619</v>
      </c>
      <c r="F342" s="174">
        <v>21.6</v>
      </c>
      <c r="G342" s="175" t="s">
        <v>16</v>
      </c>
      <c r="H342" s="172" t="s">
        <v>17</v>
      </c>
      <c r="I342" s="175">
        <v>1</v>
      </c>
      <c r="J342" s="175" t="s">
        <v>18</v>
      </c>
      <c r="K342" s="175" t="s">
        <v>74</v>
      </c>
      <c r="L342" s="172" t="s">
        <v>75</v>
      </c>
    </row>
    <row r="343" spans="1:12" x14ac:dyDescent="0.2">
      <c r="A343" s="172" t="s">
        <v>72</v>
      </c>
      <c r="B343" s="172" t="s">
        <v>73</v>
      </c>
      <c r="C343" s="172" t="s">
        <v>14</v>
      </c>
      <c r="D343" s="172" t="s">
        <v>15</v>
      </c>
      <c r="E343" s="173">
        <v>42619</v>
      </c>
      <c r="F343" s="174">
        <v>111.869424</v>
      </c>
      <c r="G343" s="175" t="s">
        <v>19</v>
      </c>
      <c r="H343" s="172" t="s">
        <v>17</v>
      </c>
      <c r="I343" s="175">
        <v>1</v>
      </c>
      <c r="J343" s="175" t="s">
        <v>18</v>
      </c>
      <c r="K343" s="175" t="s">
        <v>74</v>
      </c>
      <c r="L343" s="172" t="s">
        <v>75</v>
      </c>
    </row>
    <row r="344" spans="1:12" x14ac:dyDescent="0.2">
      <c r="A344" s="172" t="s">
        <v>72</v>
      </c>
      <c r="B344" s="172" t="s">
        <v>73</v>
      </c>
      <c r="C344" s="172" t="s">
        <v>14</v>
      </c>
      <c r="D344" s="172" t="s">
        <v>15</v>
      </c>
      <c r="E344" s="173">
        <v>42619</v>
      </c>
      <c r="F344" s="174">
        <v>11.3</v>
      </c>
      <c r="G344" s="175" t="s">
        <v>16</v>
      </c>
      <c r="H344" s="172" t="s">
        <v>20</v>
      </c>
      <c r="I344" s="175">
        <v>1</v>
      </c>
      <c r="J344" s="175" t="s">
        <v>18</v>
      </c>
      <c r="K344" s="175" t="s">
        <v>74</v>
      </c>
      <c r="L344" s="172" t="s">
        <v>75</v>
      </c>
    </row>
    <row r="345" spans="1:12" x14ac:dyDescent="0.2">
      <c r="A345" s="172" t="s">
        <v>72</v>
      </c>
      <c r="B345" s="172" t="s">
        <v>73</v>
      </c>
      <c r="C345" s="172" t="s">
        <v>14</v>
      </c>
      <c r="D345" s="172" t="s">
        <v>15</v>
      </c>
      <c r="E345" s="173">
        <v>42619</v>
      </c>
      <c r="F345" s="174">
        <v>71.529678000000004</v>
      </c>
      <c r="G345" s="175" t="s">
        <v>19</v>
      </c>
      <c r="H345" s="172" t="s">
        <v>20</v>
      </c>
      <c r="I345" s="175">
        <v>1</v>
      </c>
      <c r="J345" s="175" t="s">
        <v>18</v>
      </c>
      <c r="K345" s="175" t="s">
        <v>74</v>
      </c>
      <c r="L345" s="172" t="s">
        <v>75</v>
      </c>
    </row>
    <row r="346" spans="1:12" x14ac:dyDescent="0.2">
      <c r="A346" s="172" t="s">
        <v>72</v>
      </c>
      <c r="B346" s="172" t="s">
        <v>73</v>
      </c>
      <c r="C346" s="172" t="s">
        <v>14</v>
      </c>
      <c r="D346" s="172" t="s">
        <v>15</v>
      </c>
      <c r="E346" s="173">
        <v>42612</v>
      </c>
      <c r="F346" s="174">
        <v>21.9</v>
      </c>
      <c r="G346" s="175" t="s">
        <v>16</v>
      </c>
      <c r="H346" s="172" t="s">
        <v>17</v>
      </c>
      <c r="I346" s="175">
        <v>1</v>
      </c>
      <c r="J346" s="175" t="s">
        <v>18</v>
      </c>
      <c r="K346" s="175" t="s">
        <v>74</v>
      </c>
      <c r="L346" s="172" t="s">
        <v>75</v>
      </c>
    </row>
    <row r="347" spans="1:12" x14ac:dyDescent="0.2">
      <c r="A347" s="172" t="s">
        <v>72</v>
      </c>
      <c r="B347" s="172" t="s">
        <v>73</v>
      </c>
      <c r="C347" s="172" t="s">
        <v>14</v>
      </c>
      <c r="D347" s="172" t="s">
        <v>15</v>
      </c>
      <c r="E347" s="173">
        <v>42612</v>
      </c>
      <c r="F347" s="174">
        <v>136.07127</v>
      </c>
      <c r="G347" s="175" t="s">
        <v>19</v>
      </c>
      <c r="H347" s="172" t="s">
        <v>17</v>
      </c>
      <c r="I347" s="175">
        <v>1</v>
      </c>
      <c r="J347" s="175" t="s">
        <v>18</v>
      </c>
      <c r="K347" s="175" t="s">
        <v>74</v>
      </c>
      <c r="L347" s="172" t="s">
        <v>75</v>
      </c>
    </row>
    <row r="348" spans="1:12" x14ac:dyDescent="0.2">
      <c r="A348" s="172" t="s">
        <v>72</v>
      </c>
      <c r="B348" s="172" t="s">
        <v>73</v>
      </c>
      <c r="C348" s="172" t="s">
        <v>14</v>
      </c>
      <c r="D348" s="172" t="s">
        <v>15</v>
      </c>
      <c r="E348" s="173">
        <v>42612</v>
      </c>
      <c r="F348" s="174">
        <v>12.7</v>
      </c>
      <c r="G348" s="175" t="s">
        <v>16</v>
      </c>
      <c r="H348" s="172" t="s">
        <v>20</v>
      </c>
      <c r="I348" s="175">
        <v>1</v>
      </c>
      <c r="J348" s="175" t="s">
        <v>18</v>
      </c>
      <c r="K348" s="175" t="s">
        <v>74</v>
      </c>
      <c r="L348" s="172" t="s">
        <v>75</v>
      </c>
    </row>
    <row r="349" spans="1:12" x14ac:dyDescent="0.2">
      <c r="A349" s="172" t="s">
        <v>72</v>
      </c>
      <c r="B349" s="172" t="s">
        <v>73</v>
      </c>
      <c r="C349" s="172" t="s">
        <v>14</v>
      </c>
      <c r="D349" s="172" t="s">
        <v>15</v>
      </c>
      <c r="E349" s="173">
        <v>42612</v>
      </c>
      <c r="F349" s="174">
        <v>93.525593999999998</v>
      </c>
      <c r="G349" s="175" t="s">
        <v>19</v>
      </c>
      <c r="H349" s="172" t="s">
        <v>20</v>
      </c>
      <c r="I349" s="175">
        <v>1</v>
      </c>
      <c r="J349" s="175" t="s">
        <v>18</v>
      </c>
      <c r="K349" s="175" t="s">
        <v>74</v>
      </c>
      <c r="L349" s="172" t="s">
        <v>75</v>
      </c>
    </row>
    <row r="350" spans="1:12" x14ac:dyDescent="0.2">
      <c r="A350" s="172" t="s">
        <v>72</v>
      </c>
      <c r="B350" s="172" t="s">
        <v>73</v>
      </c>
      <c r="C350" s="172" t="s">
        <v>14</v>
      </c>
      <c r="D350" s="172" t="s">
        <v>15</v>
      </c>
      <c r="E350" s="173">
        <v>42605</v>
      </c>
      <c r="F350" s="174">
        <v>12.8</v>
      </c>
      <c r="G350" s="175" t="s">
        <v>16</v>
      </c>
      <c r="H350" s="172" t="s">
        <v>17</v>
      </c>
      <c r="I350" s="175">
        <v>1</v>
      </c>
      <c r="J350" s="175" t="s">
        <v>18</v>
      </c>
      <c r="K350" s="175" t="s">
        <v>74</v>
      </c>
      <c r="L350" s="172" t="s">
        <v>75</v>
      </c>
    </row>
    <row r="351" spans="1:12" x14ac:dyDescent="0.2">
      <c r="A351" s="172" t="s">
        <v>72</v>
      </c>
      <c r="B351" s="172" t="s">
        <v>73</v>
      </c>
      <c r="C351" s="172" t="s">
        <v>14</v>
      </c>
      <c r="D351" s="172" t="s">
        <v>15</v>
      </c>
      <c r="E351" s="173">
        <v>42605</v>
      </c>
      <c r="F351" s="174">
        <v>131.51846399999999</v>
      </c>
      <c r="G351" s="175" t="s">
        <v>19</v>
      </c>
      <c r="H351" s="172" t="s">
        <v>17</v>
      </c>
      <c r="I351" s="175">
        <v>1</v>
      </c>
      <c r="J351" s="175" t="s">
        <v>18</v>
      </c>
      <c r="K351" s="175" t="s">
        <v>74</v>
      </c>
      <c r="L351" s="172" t="s">
        <v>75</v>
      </c>
    </row>
    <row r="352" spans="1:12" x14ac:dyDescent="0.2">
      <c r="A352" s="172" t="s">
        <v>72</v>
      </c>
      <c r="B352" s="172" t="s">
        <v>73</v>
      </c>
      <c r="C352" s="172" t="s">
        <v>14</v>
      </c>
      <c r="D352" s="172" t="s">
        <v>15</v>
      </c>
      <c r="E352" s="173">
        <v>42605</v>
      </c>
      <c r="F352" s="174">
        <v>15.3</v>
      </c>
      <c r="G352" s="175" t="s">
        <v>16</v>
      </c>
      <c r="H352" s="172" t="s">
        <v>20</v>
      </c>
      <c r="I352" s="175">
        <v>1</v>
      </c>
      <c r="J352" s="175" t="s">
        <v>18</v>
      </c>
      <c r="K352" s="175" t="s">
        <v>74</v>
      </c>
      <c r="L352" s="172" t="s">
        <v>75</v>
      </c>
    </row>
    <row r="353" spans="1:12" x14ac:dyDescent="0.2">
      <c r="A353" s="172" t="s">
        <v>72</v>
      </c>
      <c r="B353" s="172" t="s">
        <v>73</v>
      </c>
      <c r="C353" s="172" t="s">
        <v>14</v>
      </c>
      <c r="D353" s="172" t="s">
        <v>15</v>
      </c>
      <c r="E353" s="173">
        <v>42605</v>
      </c>
      <c r="F353" s="174">
        <v>171.62468999999999</v>
      </c>
      <c r="G353" s="175" t="s">
        <v>19</v>
      </c>
      <c r="H353" s="172" t="s">
        <v>20</v>
      </c>
      <c r="I353" s="175">
        <v>1</v>
      </c>
      <c r="J353" s="175" t="s">
        <v>18</v>
      </c>
      <c r="K353" s="175" t="s">
        <v>74</v>
      </c>
      <c r="L353" s="172" t="s">
        <v>75</v>
      </c>
    </row>
    <row r="354" spans="1:12" x14ac:dyDescent="0.2">
      <c r="A354" s="172" t="s">
        <v>72</v>
      </c>
      <c r="B354" s="172" t="s">
        <v>73</v>
      </c>
      <c r="C354" s="172" t="s">
        <v>14</v>
      </c>
      <c r="D354" s="172" t="s">
        <v>15</v>
      </c>
      <c r="E354" s="173">
        <v>42598</v>
      </c>
      <c r="F354" s="174">
        <v>16.600000000000001</v>
      </c>
      <c r="G354" s="175" t="s">
        <v>16</v>
      </c>
      <c r="H354" s="172" t="s">
        <v>17</v>
      </c>
      <c r="I354" s="175">
        <v>1</v>
      </c>
      <c r="J354" s="175" t="s">
        <v>18</v>
      </c>
      <c r="K354" s="175" t="s">
        <v>74</v>
      </c>
      <c r="L354" s="172" t="s">
        <v>75</v>
      </c>
    </row>
    <row r="355" spans="1:12" x14ac:dyDescent="0.2">
      <c r="A355" s="172" t="s">
        <v>72</v>
      </c>
      <c r="B355" s="172" t="s">
        <v>73</v>
      </c>
      <c r="C355" s="172" t="s">
        <v>14</v>
      </c>
      <c r="D355" s="172" t="s">
        <v>15</v>
      </c>
      <c r="E355" s="173">
        <v>42598</v>
      </c>
      <c r="F355" s="174">
        <v>106.32499199999999</v>
      </c>
      <c r="G355" s="175" t="s">
        <v>19</v>
      </c>
      <c r="H355" s="172" t="s">
        <v>17</v>
      </c>
      <c r="I355" s="175">
        <v>1</v>
      </c>
      <c r="J355" s="175" t="s">
        <v>18</v>
      </c>
      <c r="K355" s="175" t="s">
        <v>74</v>
      </c>
      <c r="L355" s="172" t="s">
        <v>75</v>
      </c>
    </row>
    <row r="356" spans="1:12" x14ac:dyDescent="0.2">
      <c r="A356" s="172" t="s">
        <v>72</v>
      </c>
      <c r="B356" s="172" t="s">
        <v>73</v>
      </c>
      <c r="C356" s="172" t="s">
        <v>14</v>
      </c>
      <c r="D356" s="172" t="s">
        <v>15</v>
      </c>
      <c r="E356" s="173">
        <v>42598</v>
      </c>
      <c r="F356" s="174">
        <v>8.6999999999999993</v>
      </c>
      <c r="G356" s="175" t="s">
        <v>16</v>
      </c>
      <c r="H356" s="172" t="s">
        <v>20</v>
      </c>
      <c r="I356" s="175">
        <v>1</v>
      </c>
      <c r="J356" s="175" t="s">
        <v>18</v>
      </c>
      <c r="K356" s="175" t="s">
        <v>74</v>
      </c>
      <c r="L356" s="172" t="s">
        <v>75</v>
      </c>
    </row>
    <row r="357" spans="1:12" x14ac:dyDescent="0.2">
      <c r="A357" s="172" t="s">
        <v>72</v>
      </c>
      <c r="B357" s="172" t="s">
        <v>73</v>
      </c>
      <c r="C357" s="172" t="s">
        <v>14</v>
      </c>
      <c r="D357" s="172" t="s">
        <v>15</v>
      </c>
      <c r="E357" s="173">
        <v>42598</v>
      </c>
      <c r="F357" s="174">
        <v>65.882664000000005</v>
      </c>
      <c r="G357" s="175" t="s">
        <v>19</v>
      </c>
      <c r="H357" s="172" t="s">
        <v>20</v>
      </c>
      <c r="I357" s="175">
        <v>1</v>
      </c>
      <c r="J357" s="175" t="s">
        <v>18</v>
      </c>
      <c r="K357" s="175" t="s">
        <v>74</v>
      </c>
      <c r="L357" s="172" t="s">
        <v>75</v>
      </c>
    </row>
    <row r="358" spans="1:12" x14ac:dyDescent="0.2">
      <c r="A358" s="172" t="s">
        <v>72</v>
      </c>
      <c r="B358" s="172" t="s">
        <v>73</v>
      </c>
      <c r="C358" s="172" t="s">
        <v>14</v>
      </c>
      <c r="D358" s="172" t="s">
        <v>15</v>
      </c>
      <c r="E358" s="173">
        <v>42591</v>
      </c>
      <c r="F358" s="174">
        <v>22.6</v>
      </c>
      <c r="G358" s="175" t="s">
        <v>16</v>
      </c>
      <c r="H358" s="172" t="s">
        <v>17</v>
      </c>
      <c r="I358" s="175">
        <v>1</v>
      </c>
      <c r="J358" s="175" t="s">
        <v>18</v>
      </c>
      <c r="K358" s="175" t="s">
        <v>74</v>
      </c>
      <c r="L358" s="172" t="s">
        <v>75</v>
      </c>
    </row>
    <row r="359" spans="1:12" x14ac:dyDescent="0.2">
      <c r="A359" s="172" t="s">
        <v>72</v>
      </c>
      <c r="B359" s="172" t="s">
        <v>73</v>
      </c>
      <c r="C359" s="172" t="s">
        <v>14</v>
      </c>
      <c r="D359" s="172" t="s">
        <v>15</v>
      </c>
      <c r="E359" s="173">
        <v>42591</v>
      </c>
      <c r="F359" s="174">
        <v>87.268091999999996</v>
      </c>
      <c r="G359" s="175" t="s">
        <v>19</v>
      </c>
      <c r="H359" s="172" t="s">
        <v>17</v>
      </c>
      <c r="I359" s="175">
        <v>1</v>
      </c>
      <c r="J359" s="175" t="s">
        <v>18</v>
      </c>
      <c r="K359" s="175" t="s">
        <v>74</v>
      </c>
      <c r="L359" s="172" t="s">
        <v>75</v>
      </c>
    </row>
    <row r="360" spans="1:12" x14ac:dyDescent="0.2">
      <c r="A360" s="172" t="s">
        <v>72</v>
      </c>
      <c r="B360" s="172" t="s">
        <v>73</v>
      </c>
      <c r="C360" s="172" t="s">
        <v>14</v>
      </c>
      <c r="D360" s="172" t="s">
        <v>15</v>
      </c>
      <c r="E360" s="173">
        <v>42591</v>
      </c>
      <c r="F360" s="174">
        <v>15.5</v>
      </c>
      <c r="G360" s="175" t="s">
        <v>16</v>
      </c>
      <c r="H360" s="172" t="s">
        <v>20</v>
      </c>
      <c r="I360" s="175">
        <v>1</v>
      </c>
      <c r="J360" s="175" t="s">
        <v>18</v>
      </c>
      <c r="K360" s="175" t="s">
        <v>74</v>
      </c>
      <c r="L360" s="172" t="s">
        <v>75</v>
      </c>
    </row>
    <row r="361" spans="1:12" x14ac:dyDescent="0.2">
      <c r="A361" s="172" t="s">
        <v>72</v>
      </c>
      <c r="B361" s="172" t="s">
        <v>73</v>
      </c>
      <c r="C361" s="172" t="s">
        <v>14</v>
      </c>
      <c r="D361" s="172" t="s">
        <v>15</v>
      </c>
      <c r="E361" s="173">
        <v>42591</v>
      </c>
      <c r="F361" s="174">
        <v>77.044920000000005</v>
      </c>
      <c r="G361" s="175" t="s">
        <v>19</v>
      </c>
      <c r="H361" s="172" t="s">
        <v>20</v>
      </c>
      <c r="I361" s="175">
        <v>1</v>
      </c>
      <c r="J361" s="175" t="s">
        <v>18</v>
      </c>
      <c r="K361" s="175" t="s">
        <v>74</v>
      </c>
      <c r="L361" s="172" t="s">
        <v>75</v>
      </c>
    </row>
    <row r="362" spans="1:12" x14ac:dyDescent="0.2">
      <c r="A362" s="172" t="s">
        <v>72</v>
      </c>
      <c r="B362" s="172" t="s">
        <v>73</v>
      </c>
      <c r="C362" s="172" t="s">
        <v>14</v>
      </c>
      <c r="D362" s="172" t="s">
        <v>15</v>
      </c>
      <c r="E362" s="173">
        <v>42584</v>
      </c>
      <c r="F362" s="174">
        <v>19.100000000000001</v>
      </c>
      <c r="G362" s="175" t="s">
        <v>16</v>
      </c>
      <c r="H362" s="172" t="s">
        <v>17</v>
      </c>
      <c r="I362" s="175">
        <v>1</v>
      </c>
      <c r="J362" s="175" t="s">
        <v>18</v>
      </c>
      <c r="K362" s="175" t="s">
        <v>74</v>
      </c>
      <c r="L362" s="172" t="s">
        <v>75</v>
      </c>
    </row>
    <row r="363" spans="1:12" x14ac:dyDescent="0.2">
      <c r="A363" s="172" t="s">
        <v>72</v>
      </c>
      <c r="B363" s="172" t="s">
        <v>73</v>
      </c>
      <c r="C363" s="172" t="s">
        <v>14</v>
      </c>
      <c r="D363" s="172" t="s">
        <v>15</v>
      </c>
      <c r="E363" s="173">
        <v>42584</v>
      </c>
      <c r="F363" s="174">
        <v>82.992174000000006</v>
      </c>
      <c r="G363" s="175" t="s">
        <v>19</v>
      </c>
      <c r="H363" s="172" t="s">
        <v>17</v>
      </c>
      <c r="I363" s="175">
        <v>1</v>
      </c>
      <c r="J363" s="175" t="s">
        <v>18</v>
      </c>
      <c r="K363" s="175" t="s">
        <v>74</v>
      </c>
      <c r="L363" s="172" t="s">
        <v>75</v>
      </c>
    </row>
    <row r="364" spans="1:12" x14ac:dyDescent="0.2">
      <c r="A364" s="172" t="s">
        <v>72</v>
      </c>
      <c r="B364" s="172" t="s">
        <v>73</v>
      </c>
      <c r="C364" s="172" t="s">
        <v>14</v>
      </c>
      <c r="D364" s="172" t="s">
        <v>15</v>
      </c>
      <c r="E364" s="173">
        <v>42584</v>
      </c>
      <c r="F364" s="174">
        <v>12.3</v>
      </c>
      <c r="G364" s="175" t="s">
        <v>16</v>
      </c>
      <c r="H364" s="172" t="s">
        <v>20</v>
      </c>
      <c r="I364" s="175">
        <v>1</v>
      </c>
      <c r="J364" s="175" t="s">
        <v>18</v>
      </c>
      <c r="K364" s="175" t="s">
        <v>74</v>
      </c>
      <c r="L364" s="172" t="s">
        <v>75</v>
      </c>
    </row>
    <row r="365" spans="1:12" x14ac:dyDescent="0.2">
      <c r="A365" s="172" t="s">
        <v>72</v>
      </c>
      <c r="B365" s="172" t="s">
        <v>73</v>
      </c>
      <c r="C365" s="172" t="s">
        <v>14</v>
      </c>
      <c r="D365" s="172" t="s">
        <v>15</v>
      </c>
      <c r="E365" s="173">
        <v>42584</v>
      </c>
      <c r="F365" s="174">
        <v>73.448712</v>
      </c>
      <c r="G365" s="175" t="s">
        <v>19</v>
      </c>
      <c r="H365" s="172" t="s">
        <v>20</v>
      </c>
      <c r="I365" s="175">
        <v>1</v>
      </c>
      <c r="J365" s="175" t="s">
        <v>18</v>
      </c>
      <c r="K365" s="175" t="s">
        <v>74</v>
      </c>
      <c r="L365" s="172" t="s">
        <v>75</v>
      </c>
    </row>
    <row r="366" spans="1:12" x14ac:dyDescent="0.2">
      <c r="A366" s="172" t="s">
        <v>72</v>
      </c>
      <c r="B366" s="172" t="s">
        <v>73</v>
      </c>
      <c r="C366" s="172" t="s">
        <v>14</v>
      </c>
      <c r="D366" s="172" t="s">
        <v>15</v>
      </c>
      <c r="E366" s="173">
        <v>42577</v>
      </c>
      <c r="F366" s="174">
        <v>17</v>
      </c>
      <c r="G366" s="175" t="s">
        <v>16</v>
      </c>
      <c r="H366" s="172" t="s">
        <v>17</v>
      </c>
      <c r="I366" s="175">
        <v>1</v>
      </c>
      <c r="J366" s="175" t="s">
        <v>18</v>
      </c>
      <c r="K366" s="175" t="s">
        <v>74</v>
      </c>
      <c r="L366" s="172" t="s">
        <v>75</v>
      </c>
    </row>
    <row r="367" spans="1:12" x14ac:dyDescent="0.2">
      <c r="A367" s="172" t="s">
        <v>72</v>
      </c>
      <c r="B367" s="172" t="s">
        <v>73</v>
      </c>
      <c r="C367" s="172" t="s">
        <v>14</v>
      </c>
      <c r="D367" s="172" t="s">
        <v>15</v>
      </c>
      <c r="E367" s="173">
        <v>42577</v>
      </c>
      <c r="F367" s="174">
        <v>93.291240000000002</v>
      </c>
      <c r="G367" s="175" t="s">
        <v>19</v>
      </c>
      <c r="H367" s="172" t="s">
        <v>17</v>
      </c>
      <c r="I367" s="175">
        <v>1</v>
      </c>
      <c r="J367" s="175" t="s">
        <v>18</v>
      </c>
      <c r="K367" s="175" t="s">
        <v>74</v>
      </c>
      <c r="L367" s="172" t="s">
        <v>75</v>
      </c>
    </row>
    <row r="368" spans="1:12" x14ac:dyDescent="0.2">
      <c r="A368" s="172" t="s">
        <v>72</v>
      </c>
      <c r="B368" s="172" t="s">
        <v>73</v>
      </c>
      <c r="C368" s="172" t="s">
        <v>14</v>
      </c>
      <c r="D368" s="172" t="s">
        <v>15</v>
      </c>
      <c r="E368" s="173">
        <v>42577</v>
      </c>
      <c r="F368" s="174">
        <v>6.6</v>
      </c>
      <c r="G368" s="175" t="s">
        <v>16</v>
      </c>
      <c r="H368" s="172" t="s">
        <v>20</v>
      </c>
      <c r="I368" s="175">
        <v>1</v>
      </c>
      <c r="J368" s="175" t="s">
        <v>18</v>
      </c>
      <c r="K368" s="175" t="s">
        <v>74</v>
      </c>
      <c r="L368" s="172" t="s">
        <v>75</v>
      </c>
    </row>
    <row r="369" spans="1:12" x14ac:dyDescent="0.2">
      <c r="A369" s="172" t="s">
        <v>72</v>
      </c>
      <c r="B369" s="172" t="s">
        <v>73</v>
      </c>
      <c r="C369" s="172" t="s">
        <v>14</v>
      </c>
      <c r="D369" s="172" t="s">
        <v>15</v>
      </c>
      <c r="E369" s="173">
        <v>42577</v>
      </c>
      <c r="F369" s="174">
        <v>43.594847999999999</v>
      </c>
      <c r="G369" s="175" t="s">
        <v>19</v>
      </c>
      <c r="H369" s="172" t="s">
        <v>20</v>
      </c>
      <c r="I369" s="175">
        <v>1</v>
      </c>
      <c r="J369" s="175" t="s">
        <v>18</v>
      </c>
      <c r="K369" s="175" t="s">
        <v>74</v>
      </c>
      <c r="L369" s="172" t="s">
        <v>75</v>
      </c>
    </row>
    <row r="370" spans="1:12" x14ac:dyDescent="0.2">
      <c r="A370" s="172" t="s">
        <v>72</v>
      </c>
      <c r="B370" s="172" t="s">
        <v>73</v>
      </c>
      <c r="C370" s="172" t="s">
        <v>14</v>
      </c>
      <c r="D370" s="172" t="s">
        <v>15</v>
      </c>
      <c r="E370" s="173">
        <v>42570</v>
      </c>
      <c r="F370" s="174">
        <v>13.3</v>
      </c>
      <c r="G370" s="175" t="s">
        <v>16</v>
      </c>
      <c r="H370" s="172" t="s">
        <v>17</v>
      </c>
      <c r="I370" s="175">
        <v>1</v>
      </c>
      <c r="J370" s="175" t="s">
        <v>18</v>
      </c>
      <c r="K370" s="175" t="s">
        <v>74</v>
      </c>
      <c r="L370" s="172" t="s">
        <v>75</v>
      </c>
    </row>
    <row r="371" spans="1:12" x14ac:dyDescent="0.2">
      <c r="A371" s="172" t="s">
        <v>72</v>
      </c>
      <c r="B371" s="172" t="s">
        <v>73</v>
      </c>
      <c r="C371" s="172" t="s">
        <v>14</v>
      </c>
      <c r="D371" s="172" t="s">
        <v>15</v>
      </c>
      <c r="E371" s="173">
        <v>42570</v>
      </c>
      <c r="F371" s="174">
        <v>65.222136000000006</v>
      </c>
      <c r="G371" s="175" t="s">
        <v>19</v>
      </c>
      <c r="H371" s="172" t="s">
        <v>17</v>
      </c>
      <c r="I371" s="175">
        <v>1</v>
      </c>
      <c r="J371" s="175" t="s">
        <v>18</v>
      </c>
      <c r="K371" s="175" t="s">
        <v>74</v>
      </c>
      <c r="L371" s="172" t="s">
        <v>75</v>
      </c>
    </row>
    <row r="372" spans="1:12" x14ac:dyDescent="0.2">
      <c r="A372" s="172" t="s">
        <v>72</v>
      </c>
      <c r="B372" s="172" t="s">
        <v>73</v>
      </c>
      <c r="C372" s="172" t="s">
        <v>14</v>
      </c>
      <c r="D372" s="172" t="s">
        <v>15</v>
      </c>
      <c r="E372" s="173">
        <v>42570</v>
      </c>
      <c r="F372" s="174">
        <v>9</v>
      </c>
      <c r="G372" s="175" t="s">
        <v>16</v>
      </c>
      <c r="H372" s="172" t="s">
        <v>20</v>
      </c>
      <c r="I372" s="175">
        <v>1</v>
      </c>
      <c r="J372" s="175" t="s">
        <v>18</v>
      </c>
      <c r="K372" s="175" t="s">
        <v>74</v>
      </c>
      <c r="L372" s="172" t="s">
        <v>75</v>
      </c>
    </row>
    <row r="373" spans="1:12" x14ac:dyDescent="0.2">
      <c r="A373" s="172" t="s">
        <v>72</v>
      </c>
      <c r="B373" s="172" t="s">
        <v>73</v>
      </c>
      <c r="C373" s="172" t="s">
        <v>14</v>
      </c>
      <c r="D373" s="172" t="s">
        <v>15</v>
      </c>
      <c r="E373" s="173">
        <v>42570</v>
      </c>
      <c r="F373" s="174">
        <v>54.418500000000002</v>
      </c>
      <c r="G373" s="175" t="s">
        <v>19</v>
      </c>
      <c r="H373" s="172" t="s">
        <v>20</v>
      </c>
      <c r="I373" s="175">
        <v>1</v>
      </c>
      <c r="J373" s="175" t="s">
        <v>18</v>
      </c>
      <c r="K373" s="175" t="s">
        <v>74</v>
      </c>
      <c r="L373" s="172" t="s">
        <v>75</v>
      </c>
    </row>
    <row r="374" spans="1:12" x14ac:dyDescent="0.2">
      <c r="A374" s="172" t="s">
        <v>72</v>
      </c>
      <c r="B374" s="172" t="s">
        <v>73</v>
      </c>
      <c r="C374" s="172" t="s">
        <v>14</v>
      </c>
      <c r="D374" s="172" t="s">
        <v>15</v>
      </c>
      <c r="E374" s="173">
        <v>42563</v>
      </c>
      <c r="F374" s="174">
        <v>19.7</v>
      </c>
      <c r="G374" s="175" t="s">
        <v>16</v>
      </c>
      <c r="H374" s="172" t="s">
        <v>17</v>
      </c>
      <c r="I374" s="175">
        <v>1</v>
      </c>
      <c r="J374" s="175" t="s">
        <v>18</v>
      </c>
      <c r="K374" s="175" t="s">
        <v>74</v>
      </c>
      <c r="L374" s="172" t="s">
        <v>75</v>
      </c>
    </row>
    <row r="375" spans="1:12" x14ac:dyDescent="0.2">
      <c r="A375" s="172" t="s">
        <v>72</v>
      </c>
      <c r="B375" s="172" t="s">
        <v>73</v>
      </c>
      <c r="C375" s="172" t="s">
        <v>14</v>
      </c>
      <c r="D375" s="172" t="s">
        <v>15</v>
      </c>
      <c r="E375" s="173">
        <v>42563</v>
      </c>
      <c r="F375" s="174">
        <v>106.30080599999999</v>
      </c>
      <c r="G375" s="175" t="s">
        <v>19</v>
      </c>
      <c r="H375" s="172" t="s">
        <v>17</v>
      </c>
      <c r="I375" s="175">
        <v>1</v>
      </c>
      <c r="J375" s="175" t="s">
        <v>18</v>
      </c>
      <c r="K375" s="175" t="s">
        <v>74</v>
      </c>
      <c r="L375" s="172" t="s">
        <v>75</v>
      </c>
    </row>
    <row r="376" spans="1:12" x14ac:dyDescent="0.2">
      <c r="A376" s="172" t="s">
        <v>72</v>
      </c>
      <c r="B376" s="172" t="s">
        <v>73</v>
      </c>
      <c r="C376" s="172" t="s">
        <v>14</v>
      </c>
      <c r="D376" s="172" t="s">
        <v>15</v>
      </c>
      <c r="E376" s="173">
        <v>42563</v>
      </c>
      <c r="F376" s="174">
        <v>11</v>
      </c>
      <c r="G376" s="175" t="s">
        <v>16</v>
      </c>
      <c r="H376" s="172" t="s">
        <v>20</v>
      </c>
      <c r="I376" s="175">
        <v>1</v>
      </c>
      <c r="J376" s="175" t="s">
        <v>18</v>
      </c>
      <c r="K376" s="175" t="s">
        <v>74</v>
      </c>
      <c r="L376" s="172" t="s">
        <v>75</v>
      </c>
    </row>
    <row r="377" spans="1:12" x14ac:dyDescent="0.2">
      <c r="A377" s="172" t="s">
        <v>72</v>
      </c>
      <c r="B377" s="172" t="s">
        <v>73</v>
      </c>
      <c r="C377" s="172" t="s">
        <v>14</v>
      </c>
      <c r="D377" s="172" t="s">
        <v>15</v>
      </c>
      <c r="E377" s="173">
        <v>42563</v>
      </c>
      <c r="F377" s="174">
        <v>70.181100000000001</v>
      </c>
      <c r="G377" s="175" t="s">
        <v>19</v>
      </c>
      <c r="H377" s="172" t="s">
        <v>20</v>
      </c>
      <c r="I377" s="175">
        <v>1</v>
      </c>
      <c r="J377" s="175" t="s">
        <v>18</v>
      </c>
      <c r="K377" s="175" t="s">
        <v>74</v>
      </c>
      <c r="L377" s="172" t="s">
        <v>75</v>
      </c>
    </row>
    <row r="378" spans="1:12" x14ac:dyDescent="0.2">
      <c r="A378" s="172" t="s">
        <v>72</v>
      </c>
      <c r="B378" s="172" t="s">
        <v>73</v>
      </c>
      <c r="C378" s="172" t="s">
        <v>14</v>
      </c>
      <c r="D378" s="172" t="s">
        <v>15</v>
      </c>
      <c r="E378" s="173">
        <v>42556</v>
      </c>
      <c r="F378" s="174">
        <v>17</v>
      </c>
      <c r="G378" s="175" t="s">
        <v>16</v>
      </c>
      <c r="H378" s="172" t="s">
        <v>17</v>
      </c>
      <c r="I378" s="175">
        <v>1</v>
      </c>
      <c r="J378" s="175" t="s">
        <v>18</v>
      </c>
      <c r="K378" s="175" t="s">
        <v>74</v>
      </c>
      <c r="L378" s="172" t="s">
        <v>75</v>
      </c>
    </row>
    <row r="379" spans="1:12" x14ac:dyDescent="0.2">
      <c r="A379" s="172" t="s">
        <v>72</v>
      </c>
      <c r="B379" s="172" t="s">
        <v>73</v>
      </c>
      <c r="C379" s="172" t="s">
        <v>14</v>
      </c>
      <c r="D379" s="172" t="s">
        <v>15</v>
      </c>
      <c r="E379" s="173">
        <v>42556</v>
      </c>
      <c r="F379" s="174">
        <v>74.009159999999994</v>
      </c>
      <c r="G379" s="175" t="s">
        <v>19</v>
      </c>
      <c r="H379" s="172" t="s">
        <v>17</v>
      </c>
      <c r="I379" s="175">
        <v>1</v>
      </c>
      <c r="J379" s="175" t="s">
        <v>18</v>
      </c>
      <c r="K379" s="175" t="s">
        <v>74</v>
      </c>
      <c r="L379" s="172" t="s">
        <v>75</v>
      </c>
    </row>
    <row r="380" spans="1:12" x14ac:dyDescent="0.2">
      <c r="A380" s="172" t="s">
        <v>72</v>
      </c>
      <c r="B380" s="172" t="s">
        <v>73</v>
      </c>
      <c r="C380" s="172" t="s">
        <v>14</v>
      </c>
      <c r="D380" s="172" t="s">
        <v>15</v>
      </c>
      <c r="E380" s="173">
        <v>42556</v>
      </c>
      <c r="F380" s="174">
        <v>11.4</v>
      </c>
      <c r="G380" s="175" t="s">
        <v>16</v>
      </c>
      <c r="H380" s="172" t="s">
        <v>20</v>
      </c>
      <c r="I380" s="175">
        <v>1</v>
      </c>
      <c r="J380" s="175" t="s">
        <v>18</v>
      </c>
      <c r="K380" s="175" t="s">
        <v>74</v>
      </c>
      <c r="L380" s="172" t="s">
        <v>75</v>
      </c>
    </row>
    <row r="381" spans="1:12" x14ac:dyDescent="0.2">
      <c r="A381" s="172" t="s">
        <v>72</v>
      </c>
      <c r="B381" s="172" t="s">
        <v>73</v>
      </c>
      <c r="C381" s="172" t="s">
        <v>14</v>
      </c>
      <c r="D381" s="172" t="s">
        <v>15</v>
      </c>
      <c r="E381" s="173">
        <v>42556</v>
      </c>
      <c r="F381" s="174">
        <v>59.517575999999998</v>
      </c>
      <c r="G381" s="175" t="s">
        <v>19</v>
      </c>
      <c r="H381" s="172" t="s">
        <v>20</v>
      </c>
      <c r="I381" s="175">
        <v>1</v>
      </c>
      <c r="J381" s="175" t="s">
        <v>18</v>
      </c>
      <c r="K381" s="175" t="s">
        <v>74</v>
      </c>
      <c r="L381" s="172" t="s">
        <v>75</v>
      </c>
    </row>
    <row r="382" spans="1:12" x14ac:dyDescent="0.2">
      <c r="A382" s="172" t="s">
        <v>72</v>
      </c>
      <c r="B382" s="172" t="s">
        <v>73</v>
      </c>
      <c r="C382" s="172" t="s">
        <v>14</v>
      </c>
      <c r="D382" s="172" t="s">
        <v>15</v>
      </c>
      <c r="E382" s="173">
        <v>42549</v>
      </c>
      <c r="F382" s="174">
        <v>15.4</v>
      </c>
      <c r="G382" s="175" t="s">
        <v>16</v>
      </c>
      <c r="H382" s="172" t="s">
        <v>17</v>
      </c>
      <c r="I382" s="175">
        <v>1</v>
      </c>
      <c r="J382" s="175" t="s">
        <v>18</v>
      </c>
      <c r="K382" s="175" t="s">
        <v>74</v>
      </c>
      <c r="L382" s="172" t="s">
        <v>75</v>
      </c>
    </row>
    <row r="383" spans="1:12" x14ac:dyDescent="0.2">
      <c r="A383" s="172" t="s">
        <v>72</v>
      </c>
      <c r="B383" s="172" t="s">
        <v>73</v>
      </c>
      <c r="C383" s="172" t="s">
        <v>14</v>
      </c>
      <c r="D383" s="172" t="s">
        <v>15</v>
      </c>
      <c r="E383" s="173">
        <v>42549</v>
      </c>
      <c r="F383" s="174">
        <v>76.804727999999997</v>
      </c>
      <c r="G383" s="175" t="s">
        <v>19</v>
      </c>
      <c r="H383" s="172" t="s">
        <v>17</v>
      </c>
      <c r="I383" s="175">
        <v>1</v>
      </c>
      <c r="J383" s="175" t="s">
        <v>18</v>
      </c>
      <c r="K383" s="175" t="s">
        <v>74</v>
      </c>
      <c r="L383" s="172" t="s">
        <v>75</v>
      </c>
    </row>
    <row r="384" spans="1:12" x14ac:dyDescent="0.2">
      <c r="A384" s="172" t="s">
        <v>72</v>
      </c>
      <c r="B384" s="172" t="s">
        <v>73</v>
      </c>
      <c r="C384" s="172" t="s">
        <v>14</v>
      </c>
      <c r="D384" s="172" t="s">
        <v>15</v>
      </c>
      <c r="E384" s="173">
        <v>42549</v>
      </c>
      <c r="F384" s="174">
        <v>9.7799999999999994</v>
      </c>
      <c r="G384" s="175" t="s">
        <v>16</v>
      </c>
      <c r="H384" s="172" t="s">
        <v>20</v>
      </c>
      <c r="I384" s="175">
        <v>1</v>
      </c>
      <c r="J384" s="175" t="s">
        <v>18</v>
      </c>
      <c r="K384" s="175" t="s">
        <v>74</v>
      </c>
      <c r="L384" s="172" t="s">
        <v>75</v>
      </c>
    </row>
    <row r="385" spans="1:12" x14ac:dyDescent="0.2">
      <c r="A385" s="172" t="s">
        <v>72</v>
      </c>
      <c r="B385" s="172" t="s">
        <v>73</v>
      </c>
      <c r="C385" s="172" t="s">
        <v>14</v>
      </c>
      <c r="D385" s="172" t="s">
        <v>15</v>
      </c>
      <c r="E385" s="173">
        <v>42549</v>
      </c>
      <c r="F385" s="174">
        <v>59.787291600000003</v>
      </c>
      <c r="G385" s="175" t="s">
        <v>19</v>
      </c>
      <c r="H385" s="172" t="s">
        <v>20</v>
      </c>
      <c r="I385" s="175">
        <v>1</v>
      </c>
      <c r="J385" s="175" t="s">
        <v>18</v>
      </c>
      <c r="K385" s="175" t="s">
        <v>74</v>
      </c>
      <c r="L385" s="172" t="s">
        <v>75</v>
      </c>
    </row>
    <row r="386" spans="1:12" x14ac:dyDescent="0.2">
      <c r="A386" s="172" t="s">
        <v>72</v>
      </c>
      <c r="B386" s="172" t="s">
        <v>73</v>
      </c>
      <c r="C386" s="172" t="s">
        <v>14</v>
      </c>
      <c r="D386" s="172" t="s">
        <v>15</v>
      </c>
      <c r="E386" s="173">
        <v>42542</v>
      </c>
      <c r="F386" s="174">
        <v>15.8</v>
      </c>
      <c r="G386" s="175" t="s">
        <v>16</v>
      </c>
      <c r="H386" s="172" t="s">
        <v>17</v>
      </c>
      <c r="I386" s="175">
        <v>1</v>
      </c>
      <c r="J386" s="175" t="s">
        <v>18</v>
      </c>
      <c r="K386" s="175" t="s">
        <v>74</v>
      </c>
      <c r="L386" s="172" t="s">
        <v>75</v>
      </c>
    </row>
    <row r="387" spans="1:12" x14ac:dyDescent="0.2">
      <c r="A387" s="172" t="s">
        <v>72</v>
      </c>
      <c r="B387" s="172" t="s">
        <v>73</v>
      </c>
      <c r="C387" s="172" t="s">
        <v>14</v>
      </c>
      <c r="D387" s="172" t="s">
        <v>15</v>
      </c>
      <c r="E387" s="173">
        <v>42542</v>
      </c>
      <c r="F387" s="174">
        <v>92.372172000000006</v>
      </c>
      <c r="G387" s="175" t="s">
        <v>19</v>
      </c>
      <c r="H387" s="172" t="s">
        <v>17</v>
      </c>
      <c r="I387" s="175">
        <v>1</v>
      </c>
      <c r="J387" s="175" t="s">
        <v>18</v>
      </c>
      <c r="K387" s="175" t="s">
        <v>74</v>
      </c>
      <c r="L387" s="172" t="s">
        <v>75</v>
      </c>
    </row>
    <row r="388" spans="1:12" x14ac:dyDescent="0.2">
      <c r="A388" s="172" t="s">
        <v>72</v>
      </c>
      <c r="B388" s="172" t="s">
        <v>73</v>
      </c>
      <c r="C388" s="172" t="s">
        <v>14</v>
      </c>
      <c r="D388" s="172" t="s">
        <v>15</v>
      </c>
      <c r="E388" s="173">
        <v>42542</v>
      </c>
      <c r="F388" s="174">
        <v>10.199999999999999</v>
      </c>
      <c r="G388" s="175" t="s">
        <v>16</v>
      </c>
      <c r="H388" s="172" t="s">
        <v>20</v>
      </c>
      <c r="I388" s="175">
        <v>1</v>
      </c>
      <c r="J388" s="175" t="s">
        <v>18</v>
      </c>
      <c r="K388" s="175" t="s">
        <v>74</v>
      </c>
      <c r="L388" s="172" t="s">
        <v>75</v>
      </c>
    </row>
    <row r="389" spans="1:12" x14ac:dyDescent="0.2">
      <c r="A389" s="172" t="s">
        <v>72</v>
      </c>
      <c r="B389" s="172" t="s">
        <v>73</v>
      </c>
      <c r="C389" s="172" t="s">
        <v>14</v>
      </c>
      <c r="D389" s="172" t="s">
        <v>15</v>
      </c>
      <c r="E389" s="173">
        <v>42542</v>
      </c>
      <c r="F389" s="174">
        <v>73.583820000000003</v>
      </c>
      <c r="G389" s="175" t="s">
        <v>19</v>
      </c>
      <c r="H389" s="172" t="s">
        <v>20</v>
      </c>
      <c r="I389" s="175">
        <v>1</v>
      </c>
      <c r="J389" s="175" t="s">
        <v>18</v>
      </c>
      <c r="K389" s="175" t="s">
        <v>74</v>
      </c>
      <c r="L389" s="172" t="s">
        <v>75</v>
      </c>
    </row>
    <row r="390" spans="1:12" x14ac:dyDescent="0.2">
      <c r="A390" s="172" t="s">
        <v>72</v>
      </c>
      <c r="B390" s="172" t="s">
        <v>73</v>
      </c>
      <c r="C390" s="172" t="s">
        <v>14</v>
      </c>
      <c r="D390" s="172" t="s">
        <v>15</v>
      </c>
      <c r="E390" s="173">
        <v>42535</v>
      </c>
      <c r="F390" s="174">
        <v>10.8</v>
      </c>
      <c r="G390" s="175" t="s">
        <v>16</v>
      </c>
      <c r="H390" s="172" t="s">
        <v>17</v>
      </c>
      <c r="I390" s="175">
        <v>1</v>
      </c>
      <c r="J390" s="175" t="s">
        <v>18</v>
      </c>
      <c r="K390" s="175" t="s">
        <v>74</v>
      </c>
      <c r="L390" s="172" t="s">
        <v>75</v>
      </c>
    </row>
    <row r="391" spans="1:12" x14ac:dyDescent="0.2">
      <c r="A391" s="172" t="s">
        <v>72</v>
      </c>
      <c r="B391" s="172" t="s">
        <v>73</v>
      </c>
      <c r="C391" s="172" t="s">
        <v>14</v>
      </c>
      <c r="D391" s="172" t="s">
        <v>15</v>
      </c>
      <c r="E391" s="173">
        <v>42535</v>
      </c>
      <c r="F391" s="174">
        <v>104.573592</v>
      </c>
      <c r="G391" s="175" t="s">
        <v>19</v>
      </c>
      <c r="H391" s="172" t="s">
        <v>17</v>
      </c>
      <c r="I391" s="175">
        <v>1</v>
      </c>
      <c r="J391" s="175" t="s">
        <v>18</v>
      </c>
      <c r="K391" s="175" t="s">
        <v>74</v>
      </c>
      <c r="L391" s="172" t="s">
        <v>75</v>
      </c>
    </row>
    <row r="392" spans="1:12" x14ac:dyDescent="0.2">
      <c r="A392" s="172" t="s">
        <v>72</v>
      </c>
      <c r="B392" s="172" t="s">
        <v>73</v>
      </c>
      <c r="C392" s="172" t="s">
        <v>14</v>
      </c>
      <c r="D392" s="172" t="s">
        <v>15</v>
      </c>
      <c r="E392" s="173">
        <v>42535</v>
      </c>
      <c r="F392" s="174">
        <v>9.3000000000000007</v>
      </c>
      <c r="G392" s="175" t="s">
        <v>16</v>
      </c>
      <c r="H392" s="172" t="s">
        <v>20</v>
      </c>
      <c r="I392" s="175">
        <v>1</v>
      </c>
      <c r="J392" s="175" t="s">
        <v>18</v>
      </c>
      <c r="K392" s="175" t="s">
        <v>74</v>
      </c>
      <c r="L392" s="172" t="s">
        <v>75</v>
      </c>
    </row>
    <row r="393" spans="1:12" x14ac:dyDescent="0.2">
      <c r="A393" s="172" t="s">
        <v>72</v>
      </c>
      <c r="B393" s="172" t="s">
        <v>73</v>
      </c>
      <c r="C393" s="172" t="s">
        <v>14</v>
      </c>
      <c r="D393" s="172" t="s">
        <v>15</v>
      </c>
      <c r="E393" s="173">
        <v>42535</v>
      </c>
      <c r="F393" s="174">
        <v>83.379149999999996</v>
      </c>
      <c r="G393" s="175" t="s">
        <v>19</v>
      </c>
      <c r="H393" s="172" t="s">
        <v>20</v>
      </c>
      <c r="I393" s="175">
        <v>1</v>
      </c>
      <c r="J393" s="175" t="s">
        <v>18</v>
      </c>
      <c r="K393" s="175" t="s">
        <v>74</v>
      </c>
      <c r="L393" s="172" t="s">
        <v>75</v>
      </c>
    </row>
    <row r="394" spans="1:12" x14ac:dyDescent="0.2">
      <c r="A394" s="172" t="s">
        <v>72</v>
      </c>
      <c r="B394" s="172" t="s">
        <v>73</v>
      </c>
      <c r="C394" s="172" t="s">
        <v>14</v>
      </c>
      <c r="D394" s="172" t="s">
        <v>15</v>
      </c>
      <c r="E394" s="173">
        <v>42528</v>
      </c>
      <c r="F394" s="174">
        <v>13.8</v>
      </c>
      <c r="G394" s="175" t="s">
        <v>16</v>
      </c>
      <c r="H394" s="172" t="s">
        <v>17</v>
      </c>
      <c r="I394" s="175">
        <v>1</v>
      </c>
      <c r="J394" s="175" t="s">
        <v>18</v>
      </c>
      <c r="K394" s="175" t="s">
        <v>74</v>
      </c>
      <c r="L394" s="172" t="s">
        <v>75</v>
      </c>
    </row>
    <row r="395" spans="1:12" x14ac:dyDescent="0.2">
      <c r="A395" s="172" t="s">
        <v>72</v>
      </c>
      <c r="B395" s="172" t="s">
        <v>73</v>
      </c>
      <c r="C395" s="172" t="s">
        <v>14</v>
      </c>
      <c r="D395" s="172" t="s">
        <v>15</v>
      </c>
      <c r="E395" s="173">
        <v>42528</v>
      </c>
      <c r="F395" s="174">
        <v>94.490532000000002</v>
      </c>
      <c r="G395" s="175" t="s">
        <v>19</v>
      </c>
      <c r="H395" s="172" t="s">
        <v>17</v>
      </c>
      <c r="I395" s="175">
        <v>1</v>
      </c>
      <c r="J395" s="175" t="s">
        <v>18</v>
      </c>
      <c r="K395" s="175" t="s">
        <v>74</v>
      </c>
      <c r="L395" s="172" t="s">
        <v>75</v>
      </c>
    </row>
    <row r="396" spans="1:12" x14ac:dyDescent="0.2">
      <c r="A396" s="172" t="s">
        <v>72</v>
      </c>
      <c r="B396" s="172" t="s">
        <v>73</v>
      </c>
      <c r="C396" s="172" t="s">
        <v>14</v>
      </c>
      <c r="D396" s="172" t="s">
        <v>15</v>
      </c>
      <c r="E396" s="173">
        <v>42528</v>
      </c>
      <c r="F396" s="174">
        <v>12</v>
      </c>
      <c r="G396" s="175" t="s">
        <v>16</v>
      </c>
      <c r="H396" s="172" t="s">
        <v>20</v>
      </c>
      <c r="I396" s="175">
        <v>1</v>
      </c>
      <c r="J396" s="175" t="s">
        <v>18</v>
      </c>
      <c r="K396" s="175" t="s">
        <v>74</v>
      </c>
      <c r="L396" s="172" t="s">
        <v>75</v>
      </c>
    </row>
    <row r="397" spans="1:12" x14ac:dyDescent="0.2">
      <c r="A397" s="172" t="s">
        <v>72</v>
      </c>
      <c r="B397" s="172" t="s">
        <v>73</v>
      </c>
      <c r="C397" s="172" t="s">
        <v>14</v>
      </c>
      <c r="D397" s="172" t="s">
        <v>15</v>
      </c>
      <c r="E397" s="173">
        <v>42528</v>
      </c>
      <c r="F397" s="174">
        <v>99.0792</v>
      </c>
      <c r="G397" s="175" t="s">
        <v>19</v>
      </c>
      <c r="H397" s="172" t="s">
        <v>20</v>
      </c>
      <c r="I397" s="175">
        <v>1</v>
      </c>
      <c r="J397" s="175" t="s">
        <v>18</v>
      </c>
      <c r="K397" s="175" t="s">
        <v>74</v>
      </c>
      <c r="L397" s="172" t="s">
        <v>75</v>
      </c>
    </row>
    <row r="398" spans="1:12" x14ac:dyDescent="0.2">
      <c r="A398" s="172" t="s">
        <v>72</v>
      </c>
      <c r="B398" s="172" t="s">
        <v>73</v>
      </c>
      <c r="C398" s="172" t="s">
        <v>14</v>
      </c>
      <c r="D398" s="172" t="s">
        <v>15</v>
      </c>
      <c r="E398" s="173">
        <v>42514</v>
      </c>
      <c r="F398" s="174">
        <v>11.56</v>
      </c>
      <c r="G398" s="175" t="s">
        <v>16</v>
      </c>
      <c r="H398" s="172" t="s">
        <v>17</v>
      </c>
      <c r="I398" s="175">
        <v>1</v>
      </c>
      <c r="J398" s="175" t="s">
        <v>18</v>
      </c>
      <c r="K398" s="175" t="s">
        <v>74</v>
      </c>
      <c r="L398" s="172" t="s">
        <v>75</v>
      </c>
    </row>
    <row r="399" spans="1:12" x14ac:dyDescent="0.2">
      <c r="A399" s="172" t="s">
        <v>72</v>
      </c>
      <c r="B399" s="172" t="s">
        <v>73</v>
      </c>
      <c r="C399" s="172" t="s">
        <v>14</v>
      </c>
      <c r="D399" s="172" t="s">
        <v>15</v>
      </c>
      <c r="E399" s="173">
        <v>42514</v>
      </c>
      <c r="F399" s="174">
        <v>180.5766792</v>
      </c>
      <c r="G399" s="175" t="s">
        <v>19</v>
      </c>
      <c r="H399" s="172" t="s">
        <v>17</v>
      </c>
      <c r="I399" s="175">
        <v>1</v>
      </c>
      <c r="J399" s="175" t="s">
        <v>18</v>
      </c>
      <c r="K399" s="175" t="s">
        <v>74</v>
      </c>
      <c r="L399" s="172" t="s">
        <v>75</v>
      </c>
    </row>
    <row r="400" spans="1:12" x14ac:dyDescent="0.2">
      <c r="A400" s="172" t="s">
        <v>72</v>
      </c>
      <c r="B400" s="172" t="s">
        <v>73</v>
      </c>
      <c r="C400" s="172" t="s">
        <v>14</v>
      </c>
      <c r="D400" s="172" t="s">
        <v>15</v>
      </c>
      <c r="E400" s="173">
        <v>42514</v>
      </c>
      <c r="F400" s="174">
        <v>8.7899999999999991</v>
      </c>
      <c r="G400" s="175" t="s">
        <v>16</v>
      </c>
      <c r="H400" s="172" t="s">
        <v>20</v>
      </c>
      <c r="I400" s="175">
        <v>1</v>
      </c>
      <c r="J400" s="175" t="s">
        <v>18</v>
      </c>
      <c r="K400" s="175" t="s">
        <v>74</v>
      </c>
      <c r="L400" s="172" t="s">
        <v>75</v>
      </c>
    </row>
    <row r="401" spans="1:12" x14ac:dyDescent="0.2">
      <c r="A401" s="172" t="s">
        <v>72</v>
      </c>
      <c r="B401" s="172" t="s">
        <v>73</v>
      </c>
      <c r="C401" s="172" t="s">
        <v>14</v>
      </c>
      <c r="D401" s="172" t="s">
        <v>15</v>
      </c>
      <c r="E401" s="173">
        <v>42514</v>
      </c>
      <c r="F401" s="174">
        <v>124.7712372</v>
      </c>
      <c r="G401" s="175" t="s">
        <v>19</v>
      </c>
      <c r="H401" s="172" t="s">
        <v>20</v>
      </c>
      <c r="I401" s="175">
        <v>1</v>
      </c>
      <c r="J401" s="175" t="s">
        <v>18</v>
      </c>
      <c r="K401" s="175" t="s">
        <v>74</v>
      </c>
      <c r="L401" s="172" t="s">
        <v>75</v>
      </c>
    </row>
    <row r="402" spans="1:12" x14ac:dyDescent="0.2">
      <c r="A402" s="172" t="s">
        <v>72</v>
      </c>
      <c r="B402" s="172" t="s">
        <v>73</v>
      </c>
      <c r="C402" s="172" t="s">
        <v>14</v>
      </c>
      <c r="D402" s="172" t="s">
        <v>15</v>
      </c>
      <c r="E402" s="173">
        <v>42507</v>
      </c>
      <c r="F402" s="174">
        <v>13.92</v>
      </c>
      <c r="G402" s="175" t="s">
        <v>16</v>
      </c>
      <c r="H402" s="172" t="s">
        <v>17</v>
      </c>
      <c r="I402" s="175">
        <v>1</v>
      </c>
      <c r="J402" s="175" t="s">
        <v>18</v>
      </c>
      <c r="K402" s="175" t="s">
        <v>74</v>
      </c>
      <c r="L402" s="172" t="s">
        <v>75</v>
      </c>
    </row>
    <row r="403" spans="1:12" x14ac:dyDescent="0.2">
      <c r="A403" s="172" t="s">
        <v>72</v>
      </c>
      <c r="B403" s="172" t="s">
        <v>73</v>
      </c>
      <c r="C403" s="172" t="s">
        <v>14</v>
      </c>
      <c r="D403" s="172" t="s">
        <v>15</v>
      </c>
      <c r="E403" s="173">
        <v>42507</v>
      </c>
      <c r="F403" s="174">
        <v>105.4122624</v>
      </c>
      <c r="G403" s="175" t="s">
        <v>19</v>
      </c>
      <c r="H403" s="172" t="s">
        <v>17</v>
      </c>
      <c r="I403" s="175">
        <v>1</v>
      </c>
      <c r="J403" s="175" t="s">
        <v>18</v>
      </c>
      <c r="K403" s="175" t="s">
        <v>74</v>
      </c>
      <c r="L403" s="172" t="s">
        <v>75</v>
      </c>
    </row>
    <row r="404" spans="1:12" x14ac:dyDescent="0.2">
      <c r="A404" s="172" t="s">
        <v>72</v>
      </c>
      <c r="B404" s="172" t="s">
        <v>73</v>
      </c>
      <c r="C404" s="172" t="s">
        <v>14</v>
      </c>
      <c r="D404" s="172" t="s">
        <v>15</v>
      </c>
      <c r="E404" s="173">
        <v>42507</v>
      </c>
      <c r="F404" s="174">
        <v>8.69</v>
      </c>
      <c r="G404" s="175" t="s">
        <v>16</v>
      </c>
      <c r="H404" s="172" t="s">
        <v>20</v>
      </c>
      <c r="I404" s="175">
        <v>1</v>
      </c>
      <c r="J404" s="175" t="s">
        <v>18</v>
      </c>
      <c r="K404" s="175" t="s">
        <v>74</v>
      </c>
      <c r="L404" s="172" t="s">
        <v>75</v>
      </c>
    </row>
    <row r="405" spans="1:12" x14ac:dyDescent="0.2">
      <c r="A405" s="172" t="s">
        <v>72</v>
      </c>
      <c r="B405" s="172" t="s">
        <v>73</v>
      </c>
      <c r="C405" s="172" t="s">
        <v>14</v>
      </c>
      <c r="D405" s="172" t="s">
        <v>15</v>
      </c>
      <c r="E405" s="173">
        <v>42507</v>
      </c>
      <c r="F405" s="174">
        <v>84.143010599999997</v>
      </c>
      <c r="G405" s="175" t="s">
        <v>19</v>
      </c>
      <c r="H405" s="172" t="s">
        <v>20</v>
      </c>
      <c r="I405" s="175">
        <v>1</v>
      </c>
      <c r="J405" s="175" t="s">
        <v>18</v>
      </c>
      <c r="K405" s="175" t="s">
        <v>74</v>
      </c>
      <c r="L405" s="172" t="s">
        <v>75</v>
      </c>
    </row>
    <row r="406" spans="1:12" x14ac:dyDescent="0.2">
      <c r="A406" s="172" t="s">
        <v>72</v>
      </c>
      <c r="B406" s="172" t="s">
        <v>73</v>
      </c>
      <c r="C406" s="172" t="s">
        <v>14</v>
      </c>
      <c r="D406" s="172" t="s">
        <v>15</v>
      </c>
      <c r="E406" s="173">
        <v>42500</v>
      </c>
      <c r="F406" s="174">
        <v>12.86</v>
      </c>
      <c r="G406" s="175" t="s">
        <v>16</v>
      </c>
      <c r="H406" s="172" t="s">
        <v>17</v>
      </c>
      <c r="I406" s="175">
        <v>1</v>
      </c>
      <c r="J406" s="175" t="s">
        <v>18</v>
      </c>
      <c r="K406" s="175" t="s">
        <v>74</v>
      </c>
      <c r="L406" s="172" t="s">
        <v>75</v>
      </c>
    </row>
    <row r="407" spans="1:12" x14ac:dyDescent="0.2">
      <c r="A407" s="172" t="s">
        <v>72</v>
      </c>
      <c r="B407" s="172" t="s">
        <v>73</v>
      </c>
      <c r="C407" s="172" t="s">
        <v>14</v>
      </c>
      <c r="D407" s="172" t="s">
        <v>15</v>
      </c>
      <c r="E407" s="173">
        <v>42500</v>
      </c>
      <c r="F407" s="174">
        <v>144.79074</v>
      </c>
      <c r="G407" s="175" t="s">
        <v>19</v>
      </c>
      <c r="H407" s="172" t="s">
        <v>17</v>
      </c>
      <c r="I407" s="175">
        <v>1</v>
      </c>
      <c r="J407" s="175" t="s">
        <v>18</v>
      </c>
      <c r="K407" s="175" t="s">
        <v>74</v>
      </c>
      <c r="L407" s="172" t="s">
        <v>75</v>
      </c>
    </row>
    <row r="408" spans="1:12" x14ac:dyDescent="0.2">
      <c r="A408" s="172" t="s">
        <v>72</v>
      </c>
      <c r="B408" s="172" t="s">
        <v>73</v>
      </c>
      <c r="C408" s="172" t="s">
        <v>14</v>
      </c>
      <c r="D408" s="172" t="s">
        <v>15</v>
      </c>
      <c r="E408" s="173">
        <v>42500</v>
      </c>
      <c r="F408" s="174">
        <v>10.97</v>
      </c>
      <c r="G408" s="175" t="s">
        <v>16</v>
      </c>
      <c r="H408" s="172" t="s">
        <v>20</v>
      </c>
      <c r="I408" s="175">
        <v>1</v>
      </c>
      <c r="J408" s="175" t="s">
        <v>18</v>
      </c>
      <c r="K408" s="175" t="s">
        <v>74</v>
      </c>
      <c r="L408" s="172" t="s">
        <v>75</v>
      </c>
    </row>
    <row r="409" spans="1:12" x14ac:dyDescent="0.2">
      <c r="A409" s="172" t="s">
        <v>72</v>
      </c>
      <c r="B409" s="172" t="s">
        <v>73</v>
      </c>
      <c r="C409" s="172" t="s">
        <v>14</v>
      </c>
      <c r="D409" s="172" t="s">
        <v>15</v>
      </c>
      <c r="E409" s="173">
        <v>42500</v>
      </c>
      <c r="F409" s="174">
        <v>147.4815576</v>
      </c>
      <c r="G409" s="175" t="s">
        <v>19</v>
      </c>
      <c r="H409" s="172" t="s">
        <v>20</v>
      </c>
      <c r="I409" s="175">
        <v>1</v>
      </c>
      <c r="J409" s="175" t="s">
        <v>18</v>
      </c>
      <c r="K409" s="175" t="s">
        <v>74</v>
      </c>
      <c r="L409" s="172" t="s">
        <v>75</v>
      </c>
    </row>
    <row r="410" spans="1:12" x14ac:dyDescent="0.2">
      <c r="A410" s="172" t="s">
        <v>72</v>
      </c>
      <c r="B410" s="172" t="s">
        <v>73</v>
      </c>
      <c r="C410" s="172" t="s">
        <v>14</v>
      </c>
      <c r="D410" s="172" t="s">
        <v>15</v>
      </c>
      <c r="E410" s="173">
        <v>42493</v>
      </c>
      <c r="F410" s="174">
        <v>12.9</v>
      </c>
      <c r="G410" s="175" t="s">
        <v>16</v>
      </c>
      <c r="H410" s="172" t="s">
        <v>17</v>
      </c>
      <c r="I410" s="175">
        <v>1</v>
      </c>
      <c r="J410" s="175" t="s">
        <v>18</v>
      </c>
      <c r="K410" s="175" t="s">
        <v>74</v>
      </c>
      <c r="L410" s="172" t="s">
        <v>75</v>
      </c>
    </row>
    <row r="411" spans="1:12" x14ac:dyDescent="0.2">
      <c r="A411" s="172" t="s">
        <v>72</v>
      </c>
      <c r="B411" s="172" t="s">
        <v>73</v>
      </c>
      <c r="C411" s="172" t="s">
        <v>14</v>
      </c>
      <c r="D411" s="172" t="s">
        <v>15</v>
      </c>
      <c r="E411" s="173">
        <v>42493</v>
      </c>
      <c r="F411" s="174">
        <v>128.02734000000001</v>
      </c>
      <c r="G411" s="175" t="s">
        <v>19</v>
      </c>
      <c r="H411" s="172" t="s">
        <v>17</v>
      </c>
      <c r="I411" s="175">
        <v>1</v>
      </c>
      <c r="J411" s="175" t="s">
        <v>18</v>
      </c>
      <c r="K411" s="175" t="s">
        <v>74</v>
      </c>
      <c r="L411" s="172" t="s">
        <v>75</v>
      </c>
    </row>
    <row r="412" spans="1:12" x14ac:dyDescent="0.2">
      <c r="A412" s="172" t="s">
        <v>72</v>
      </c>
      <c r="B412" s="172" t="s">
        <v>73</v>
      </c>
      <c r="C412" s="172" t="s">
        <v>14</v>
      </c>
      <c r="D412" s="172" t="s">
        <v>15</v>
      </c>
      <c r="E412" s="173">
        <v>42493</v>
      </c>
      <c r="F412" s="174">
        <v>9.4</v>
      </c>
      <c r="G412" s="175" t="s">
        <v>16</v>
      </c>
      <c r="H412" s="172" t="s">
        <v>20</v>
      </c>
      <c r="I412" s="175">
        <v>1</v>
      </c>
      <c r="J412" s="175" t="s">
        <v>18</v>
      </c>
      <c r="K412" s="175" t="s">
        <v>74</v>
      </c>
      <c r="L412" s="172" t="s">
        <v>75</v>
      </c>
    </row>
    <row r="413" spans="1:12" x14ac:dyDescent="0.2">
      <c r="A413" s="172" t="s">
        <v>72</v>
      </c>
      <c r="B413" s="172" t="s">
        <v>73</v>
      </c>
      <c r="C413" s="172" t="s">
        <v>14</v>
      </c>
      <c r="D413" s="172" t="s">
        <v>15</v>
      </c>
      <c r="E413" s="173">
        <v>42493</v>
      </c>
      <c r="F413" s="174">
        <v>130.45094399999999</v>
      </c>
      <c r="G413" s="175" t="s">
        <v>19</v>
      </c>
      <c r="H413" s="172" t="s">
        <v>20</v>
      </c>
      <c r="I413" s="175">
        <v>1</v>
      </c>
      <c r="J413" s="175" t="s">
        <v>18</v>
      </c>
      <c r="K413" s="175" t="s">
        <v>74</v>
      </c>
      <c r="L413" s="172" t="s">
        <v>75</v>
      </c>
    </row>
    <row r="414" spans="1:12" x14ac:dyDescent="0.2">
      <c r="A414" s="172" t="s">
        <v>72</v>
      </c>
      <c r="B414" s="172" t="s">
        <v>73</v>
      </c>
      <c r="C414" s="172" t="s">
        <v>14</v>
      </c>
      <c r="D414" s="172" t="s">
        <v>15</v>
      </c>
      <c r="E414" s="173">
        <v>42486</v>
      </c>
      <c r="F414" s="174">
        <v>16.3</v>
      </c>
      <c r="G414" s="175" t="s">
        <v>16</v>
      </c>
      <c r="H414" s="172" t="s">
        <v>17</v>
      </c>
      <c r="I414" s="175">
        <v>1</v>
      </c>
      <c r="J414" s="175" t="s">
        <v>18</v>
      </c>
      <c r="K414" s="175" t="s">
        <v>74</v>
      </c>
      <c r="L414" s="172" t="s">
        <v>75</v>
      </c>
    </row>
    <row r="415" spans="1:12" x14ac:dyDescent="0.2">
      <c r="A415" s="172" t="s">
        <v>72</v>
      </c>
      <c r="B415" s="172" t="s">
        <v>73</v>
      </c>
      <c r="C415" s="172" t="s">
        <v>14</v>
      </c>
      <c r="D415" s="172" t="s">
        <v>15</v>
      </c>
      <c r="E415" s="173">
        <v>42486</v>
      </c>
      <c r="F415" s="174">
        <v>106.85041200000001</v>
      </c>
      <c r="G415" s="175" t="s">
        <v>19</v>
      </c>
      <c r="H415" s="172" t="s">
        <v>17</v>
      </c>
      <c r="I415" s="175">
        <v>1</v>
      </c>
      <c r="J415" s="175" t="s">
        <v>18</v>
      </c>
      <c r="K415" s="175" t="s">
        <v>74</v>
      </c>
      <c r="L415" s="172" t="s">
        <v>75</v>
      </c>
    </row>
    <row r="416" spans="1:12" x14ac:dyDescent="0.2">
      <c r="A416" s="172" t="s">
        <v>72</v>
      </c>
      <c r="B416" s="172" t="s">
        <v>73</v>
      </c>
      <c r="C416" s="172" t="s">
        <v>14</v>
      </c>
      <c r="D416" s="172" t="s">
        <v>15</v>
      </c>
      <c r="E416" s="173">
        <v>42486</v>
      </c>
      <c r="F416" s="174">
        <v>10.5</v>
      </c>
      <c r="G416" s="175" t="s">
        <v>16</v>
      </c>
      <c r="H416" s="172" t="s">
        <v>20</v>
      </c>
      <c r="I416" s="175">
        <v>1</v>
      </c>
      <c r="J416" s="175" t="s">
        <v>18</v>
      </c>
      <c r="K416" s="175" t="s">
        <v>74</v>
      </c>
      <c r="L416" s="172" t="s">
        <v>75</v>
      </c>
    </row>
    <row r="417" spans="1:12" x14ac:dyDescent="0.2">
      <c r="A417" s="172" t="s">
        <v>72</v>
      </c>
      <c r="B417" s="172" t="s">
        <v>73</v>
      </c>
      <c r="C417" s="172" t="s">
        <v>14</v>
      </c>
      <c r="D417" s="172" t="s">
        <v>15</v>
      </c>
      <c r="E417" s="173">
        <v>42486</v>
      </c>
      <c r="F417" s="174">
        <v>92.649060000000006</v>
      </c>
      <c r="G417" s="175" t="s">
        <v>19</v>
      </c>
      <c r="H417" s="172" t="s">
        <v>20</v>
      </c>
      <c r="I417" s="175">
        <v>1</v>
      </c>
      <c r="J417" s="175" t="s">
        <v>18</v>
      </c>
      <c r="K417" s="175" t="s">
        <v>74</v>
      </c>
      <c r="L417" s="172" t="s">
        <v>75</v>
      </c>
    </row>
    <row r="418" spans="1:12" x14ac:dyDescent="0.2">
      <c r="A418" s="172" t="s">
        <v>72</v>
      </c>
      <c r="B418" s="172" t="s">
        <v>73</v>
      </c>
      <c r="C418" s="172" t="s">
        <v>14</v>
      </c>
      <c r="D418" s="172" t="s">
        <v>15</v>
      </c>
      <c r="E418" s="173">
        <v>42479</v>
      </c>
      <c r="F418" s="174">
        <v>14</v>
      </c>
      <c r="G418" s="175" t="s">
        <v>16</v>
      </c>
      <c r="H418" s="172" t="s">
        <v>17</v>
      </c>
      <c r="I418" s="175">
        <v>1</v>
      </c>
      <c r="J418" s="175" t="s">
        <v>18</v>
      </c>
      <c r="K418" s="175" t="s">
        <v>74</v>
      </c>
      <c r="L418" s="172" t="s">
        <v>75</v>
      </c>
    </row>
    <row r="419" spans="1:12" x14ac:dyDescent="0.2">
      <c r="A419" s="172" t="s">
        <v>72</v>
      </c>
      <c r="B419" s="172" t="s">
        <v>73</v>
      </c>
      <c r="C419" s="172" t="s">
        <v>14</v>
      </c>
      <c r="D419" s="172" t="s">
        <v>15</v>
      </c>
      <c r="E419" s="173">
        <v>42479</v>
      </c>
      <c r="F419" s="174">
        <v>104.03316</v>
      </c>
      <c r="G419" s="175" t="s">
        <v>19</v>
      </c>
      <c r="H419" s="172" t="s">
        <v>17</v>
      </c>
      <c r="I419" s="175">
        <v>1</v>
      </c>
      <c r="J419" s="175" t="s">
        <v>18</v>
      </c>
      <c r="K419" s="175" t="s">
        <v>74</v>
      </c>
      <c r="L419" s="172" t="s">
        <v>75</v>
      </c>
    </row>
    <row r="420" spans="1:12" x14ac:dyDescent="0.2">
      <c r="A420" s="172" t="s">
        <v>72</v>
      </c>
      <c r="B420" s="172" t="s">
        <v>73</v>
      </c>
      <c r="C420" s="172" t="s">
        <v>14</v>
      </c>
      <c r="D420" s="172" t="s">
        <v>15</v>
      </c>
      <c r="E420" s="173">
        <v>42479</v>
      </c>
      <c r="F420" s="174">
        <v>11</v>
      </c>
      <c r="G420" s="175" t="s">
        <v>16</v>
      </c>
      <c r="H420" s="172" t="s">
        <v>20</v>
      </c>
      <c r="I420" s="175">
        <v>1</v>
      </c>
      <c r="J420" s="175" t="s">
        <v>18</v>
      </c>
      <c r="K420" s="175" t="s">
        <v>74</v>
      </c>
      <c r="L420" s="172" t="s">
        <v>75</v>
      </c>
    </row>
    <row r="421" spans="1:12" x14ac:dyDescent="0.2">
      <c r="A421" s="172" t="s">
        <v>72</v>
      </c>
      <c r="B421" s="172" t="s">
        <v>73</v>
      </c>
      <c r="C421" s="172" t="s">
        <v>14</v>
      </c>
      <c r="D421" s="172" t="s">
        <v>15</v>
      </c>
      <c r="E421" s="173">
        <v>42479</v>
      </c>
      <c r="F421" s="174">
        <v>106.8771</v>
      </c>
      <c r="G421" s="175" t="s">
        <v>19</v>
      </c>
      <c r="H421" s="172" t="s">
        <v>20</v>
      </c>
      <c r="I421" s="175">
        <v>1</v>
      </c>
      <c r="J421" s="175" t="s">
        <v>18</v>
      </c>
      <c r="K421" s="175" t="s">
        <v>74</v>
      </c>
      <c r="L421" s="172" t="s">
        <v>75</v>
      </c>
    </row>
    <row r="422" spans="1:12" x14ac:dyDescent="0.2">
      <c r="A422" s="172" t="s">
        <v>72</v>
      </c>
      <c r="B422" s="172" t="s">
        <v>73</v>
      </c>
      <c r="C422" s="172" t="s">
        <v>14</v>
      </c>
      <c r="D422" s="172" t="s">
        <v>15</v>
      </c>
      <c r="E422" s="173">
        <v>42472</v>
      </c>
      <c r="F422" s="174">
        <v>14.9</v>
      </c>
      <c r="G422" s="175" t="s">
        <v>16</v>
      </c>
      <c r="H422" s="172" t="s">
        <v>17</v>
      </c>
      <c r="I422" s="175">
        <v>1</v>
      </c>
      <c r="J422" s="175" t="s">
        <v>18</v>
      </c>
      <c r="K422" s="175" t="s">
        <v>74</v>
      </c>
      <c r="L422" s="172" t="s">
        <v>75</v>
      </c>
    </row>
    <row r="423" spans="1:12" x14ac:dyDescent="0.2">
      <c r="A423" s="172" t="s">
        <v>72</v>
      </c>
      <c r="B423" s="172" t="s">
        <v>73</v>
      </c>
      <c r="C423" s="172" t="s">
        <v>14</v>
      </c>
      <c r="D423" s="172" t="s">
        <v>15</v>
      </c>
      <c r="E423" s="173">
        <v>42472</v>
      </c>
      <c r="F423" s="174">
        <v>133.95874800000001</v>
      </c>
      <c r="G423" s="175" t="s">
        <v>19</v>
      </c>
      <c r="H423" s="172" t="s">
        <v>17</v>
      </c>
      <c r="I423" s="175">
        <v>1</v>
      </c>
      <c r="J423" s="175" t="s">
        <v>18</v>
      </c>
      <c r="K423" s="175" t="s">
        <v>74</v>
      </c>
      <c r="L423" s="172" t="s">
        <v>75</v>
      </c>
    </row>
    <row r="424" spans="1:12" x14ac:dyDescent="0.2">
      <c r="A424" s="172" t="s">
        <v>72</v>
      </c>
      <c r="B424" s="172" t="s">
        <v>73</v>
      </c>
      <c r="C424" s="172" t="s">
        <v>14</v>
      </c>
      <c r="D424" s="172" t="s">
        <v>15</v>
      </c>
      <c r="E424" s="173">
        <v>42472</v>
      </c>
      <c r="F424" s="174">
        <v>8.6</v>
      </c>
      <c r="G424" s="175" t="s">
        <v>16</v>
      </c>
      <c r="H424" s="172" t="s">
        <v>20</v>
      </c>
      <c r="I424" s="175">
        <v>1</v>
      </c>
      <c r="J424" s="175" t="s">
        <v>18</v>
      </c>
      <c r="K424" s="175" t="s">
        <v>74</v>
      </c>
      <c r="L424" s="172" t="s">
        <v>75</v>
      </c>
    </row>
    <row r="425" spans="1:12" x14ac:dyDescent="0.2">
      <c r="A425" s="172" t="s">
        <v>72</v>
      </c>
      <c r="B425" s="172" t="s">
        <v>73</v>
      </c>
      <c r="C425" s="172" t="s">
        <v>14</v>
      </c>
      <c r="D425" s="172" t="s">
        <v>15</v>
      </c>
      <c r="E425" s="173">
        <v>42472</v>
      </c>
      <c r="F425" s="174">
        <v>99.122568000000001</v>
      </c>
      <c r="G425" s="175" t="s">
        <v>19</v>
      </c>
      <c r="H425" s="172" t="s">
        <v>20</v>
      </c>
      <c r="I425" s="175">
        <v>1</v>
      </c>
      <c r="J425" s="175" t="s">
        <v>18</v>
      </c>
      <c r="K425" s="175" t="s">
        <v>74</v>
      </c>
      <c r="L425" s="172" t="s">
        <v>75</v>
      </c>
    </row>
    <row r="426" spans="1:12" x14ac:dyDescent="0.2">
      <c r="A426" s="172" t="s">
        <v>72</v>
      </c>
      <c r="B426" s="172" t="s">
        <v>73</v>
      </c>
      <c r="C426" s="172" t="s">
        <v>14</v>
      </c>
      <c r="D426" s="172" t="s">
        <v>15</v>
      </c>
      <c r="E426" s="173">
        <v>42465</v>
      </c>
      <c r="F426" s="174">
        <v>11.4</v>
      </c>
      <c r="G426" s="175" t="s">
        <v>16</v>
      </c>
      <c r="H426" s="172" t="s">
        <v>17</v>
      </c>
      <c r="I426" s="175">
        <v>1</v>
      </c>
      <c r="J426" s="175" t="s">
        <v>18</v>
      </c>
      <c r="K426" s="175" t="s">
        <v>74</v>
      </c>
      <c r="L426" s="172" t="s">
        <v>75</v>
      </c>
    </row>
    <row r="427" spans="1:12" x14ac:dyDescent="0.2">
      <c r="A427" s="172" t="s">
        <v>72</v>
      </c>
      <c r="B427" s="172" t="s">
        <v>73</v>
      </c>
      <c r="C427" s="172" t="s">
        <v>14</v>
      </c>
      <c r="D427" s="172" t="s">
        <v>15</v>
      </c>
      <c r="E427" s="173">
        <v>42465</v>
      </c>
      <c r="F427" s="174">
        <v>154.49850000000001</v>
      </c>
      <c r="G427" s="175" t="s">
        <v>19</v>
      </c>
      <c r="H427" s="172" t="s">
        <v>17</v>
      </c>
      <c r="I427" s="175">
        <v>1</v>
      </c>
      <c r="J427" s="175" t="s">
        <v>18</v>
      </c>
      <c r="K427" s="175" t="s">
        <v>74</v>
      </c>
      <c r="L427" s="172" t="s">
        <v>75</v>
      </c>
    </row>
    <row r="428" spans="1:12" x14ac:dyDescent="0.2">
      <c r="A428" s="172" t="s">
        <v>72</v>
      </c>
      <c r="B428" s="172" t="s">
        <v>73</v>
      </c>
      <c r="C428" s="172" t="s">
        <v>14</v>
      </c>
      <c r="D428" s="172" t="s">
        <v>15</v>
      </c>
      <c r="E428" s="173">
        <v>42465</v>
      </c>
      <c r="F428" s="174">
        <v>8.5</v>
      </c>
      <c r="G428" s="175" t="s">
        <v>16</v>
      </c>
      <c r="H428" s="172" t="s">
        <v>20</v>
      </c>
      <c r="I428" s="175">
        <v>1</v>
      </c>
      <c r="J428" s="175" t="s">
        <v>18</v>
      </c>
      <c r="K428" s="175" t="s">
        <v>74</v>
      </c>
      <c r="L428" s="172" t="s">
        <v>75</v>
      </c>
    </row>
    <row r="429" spans="1:12" x14ac:dyDescent="0.2">
      <c r="A429" s="172" t="s">
        <v>72</v>
      </c>
      <c r="B429" s="172" t="s">
        <v>73</v>
      </c>
      <c r="C429" s="172" t="s">
        <v>14</v>
      </c>
      <c r="D429" s="172" t="s">
        <v>15</v>
      </c>
      <c r="E429" s="173">
        <v>42465</v>
      </c>
      <c r="F429" s="174">
        <v>150.49947</v>
      </c>
      <c r="G429" s="175" t="s">
        <v>19</v>
      </c>
      <c r="H429" s="172" t="s">
        <v>20</v>
      </c>
      <c r="I429" s="175">
        <v>1</v>
      </c>
      <c r="J429" s="175" t="s">
        <v>18</v>
      </c>
      <c r="K429" s="175" t="s">
        <v>74</v>
      </c>
      <c r="L429" s="172" t="s">
        <v>75</v>
      </c>
    </row>
    <row r="430" spans="1:12" x14ac:dyDescent="0.2">
      <c r="A430" s="172" t="s">
        <v>72</v>
      </c>
      <c r="B430" s="172" t="s">
        <v>73</v>
      </c>
      <c r="C430" s="172" t="s">
        <v>14</v>
      </c>
      <c r="D430" s="172" t="s">
        <v>15</v>
      </c>
      <c r="E430" s="173">
        <v>42458</v>
      </c>
      <c r="F430" s="174">
        <v>11.8</v>
      </c>
      <c r="G430" s="175" t="s">
        <v>16</v>
      </c>
      <c r="H430" s="172" t="s">
        <v>17</v>
      </c>
      <c r="I430" s="175">
        <v>1</v>
      </c>
      <c r="J430" s="175" t="s">
        <v>18</v>
      </c>
      <c r="K430" s="175" t="s">
        <v>74</v>
      </c>
      <c r="L430" s="172" t="s">
        <v>75</v>
      </c>
    </row>
    <row r="431" spans="1:12" x14ac:dyDescent="0.2">
      <c r="A431" s="172" t="s">
        <v>72</v>
      </c>
      <c r="B431" s="172" t="s">
        <v>73</v>
      </c>
      <c r="C431" s="172" t="s">
        <v>14</v>
      </c>
      <c r="D431" s="172" t="s">
        <v>15</v>
      </c>
      <c r="E431" s="173">
        <v>42458</v>
      </c>
      <c r="F431" s="174">
        <v>187.770096</v>
      </c>
      <c r="G431" s="175" t="s">
        <v>19</v>
      </c>
      <c r="H431" s="172" t="s">
        <v>17</v>
      </c>
      <c r="I431" s="175">
        <v>1</v>
      </c>
      <c r="J431" s="175" t="s">
        <v>18</v>
      </c>
      <c r="K431" s="175" t="s">
        <v>74</v>
      </c>
      <c r="L431" s="172" t="s">
        <v>75</v>
      </c>
    </row>
    <row r="432" spans="1:12" x14ac:dyDescent="0.2">
      <c r="A432" s="172" t="s">
        <v>72</v>
      </c>
      <c r="B432" s="172" t="s">
        <v>73</v>
      </c>
      <c r="C432" s="172" t="s">
        <v>14</v>
      </c>
      <c r="D432" s="172" t="s">
        <v>15</v>
      </c>
      <c r="E432" s="173">
        <v>42458</v>
      </c>
      <c r="F432" s="174">
        <v>10.3</v>
      </c>
      <c r="G432" s="175" t="s">
        <v>16</v>
      </c>
      <c r="H432" s="172" t="s">
        <v>20</v>
      </c>
      <c r="I432" s="175">
        <v>1</v>
      </c>
      <c r="J432" s="175" t="s">
        <v>18</v>
      </c>
      <c r="K432" s="175" t="s">
        <v>74</v>
      </c>
      <c r="L432" s="172" t="s">
        <v>75</v>
      </c>
    </row>
    <row r="433" spans="1:12" x14ac:dyDescent="0.2">
      <c r="A433" s="172" t="s">
        <v>72</v>
      </c>
      <c r="B433" s="172" t="s">
        <v>73</v>
      </c>
      <c r="C433" s="172" t="s">
        <v>14</v>
      </c>
      <c r="D433" s="172" t="s">
        <v>15</v>
      </c>
      <c r="E433" s="173">
        <v>42458</v>
      </c>
      <c r="F433" s="174">
        <v>151.101618</v>
      </c>
      <c r="G433" s="175" t="s">
        <v>19</v>
      </c>
      <c r="H433" s="172" t="s">
        <v>20</v>
      </c>
      <c r="I433" s="175">
        <v>1</v>
      </c>
      <c r="J433" s="175" t="s">
        <v>18</v>
      </c>
      <c r="K433" s="175" t="s">
        <v>74</v>
      </c>
      <c r="L433" s="172" t="s">
        <v>75</v>
      </c>
    </row>
    <row r="434" spans="1:12" x14ac:dyDescent="0.2">
      <c r="A434" s="172" t="s">
        <v>72</v>
      </c>
      <c r="B434" s="172" t="s">
        <v>73</v>
      </c>
      <c r="C434" s="172" t="s">
        <v>14</v>
      </c>
      <c r="D434" s="172" t="s">
        <v>15</v>
      </c>
      <c r="E434" s="173">
        <v>42452</v>
      </c>
      <c r="F434" s="174">
        <v>14.4</v>
      </c>
      <c r="G434" s="175" t="s">
        <v>16</v>
      </c>
      <c r="H434" s="172" t="s">
        <v>17</v>
      </c>
      <c r="I434" s="175">
        <v>1</v>
      </c>
      <c r="J434" s="175" t="s">
        <v>18</v>
      </c>
      <c r="K434" s="175" t="s">
        <v>74</v>
      </c>
      <c r="L434" s="172" t="s">
        <v>75</v>
      </c>
    </row>
    <row r="435" spans="1:12" x14ac:dyDescent="0.2">
      <c r="A435" s="172" t="s">
        <v>72</v>
      </c>
      <c r="B435" s="172" t="s">
        <v>73</v>
      </c>
      <c r="C435" s="172" t="s">
        <v>14</v>
      </c>
      <c r="D435" s="172" t="s">
        <v>15</v>
      </c>
      <c r="E435" s="173">
        <v>42452</v>
      </c>
      <c r="F435" s="174">
        <v>125.740512</v>
      </c>
      <c r="G435" s="175" t="s">
        <v>19</v>
      </c>
      <c r="H435" s="172" t="s">
        <v>17</v>
      </c>
      <c r="I435" s="175">
        <v>1</v>
      </c>
      <c r="J435" s="175" t="s">
        <v>18</v>
      </c>
      <c r="K435" s="175" t="s">
        <v>74</v>
      </c>
      <c r="L435" s="172" t="s">
        <v>75</v>
      </c>
    </row>
    <row r="436" spans="1:12" x14ac:dyDescent="0.2">
      <c r="A436" s="172" t="s">
        <v>72</v>
      </c>
      <c r="B436" s="172" t="s">
        <v>73</v>
      </c>
      <c r="C436" s="172" t="s">
        <v>14</v>
      </c>
      <c r="D436" s="172" t="s">
        <v>15</v>
      </c>
      <c r="E436" s="173">
        <v>42452</v>
      </c>
      <c r="F436" s="174">
        <v>7.3</v>
      </c>
      <c r="G436" s="175" t="s">
        <v>16</v>
      </c>
      <c r="H436" s="172" t="s">
        <v>20</v>
      </c>
      <c r="I436" s="175">
        <v>1</v>
      </c>
      <c r="J436" s="175" t="s">
        <v>18</v>
      </c>
      <c r="K436" s="175" t="s">
        <v>74</v>
      </c>
      <c r="L436" s="172" t="s">
        <v>75</v>
      </c>
    </row>
    <row r="437" spans="1:12" x14ac:dyDescent="0.2">
      <c r="A437" s="172" t="s">
        <v>72</v>
      </c>
      <c r="B437" s="172" t="s">
        <v>73</v>
      </c>
      <c r="C437" s="172" t="s">
        <v>14</v>
      </c>
      <c r="D437" s="172" t="s">
        <v>15</v>
      </c>
      <c r="E437" s="173">
        <v>42452</v>
      </c>
      <c r="F437" s="174">
        <v>76.954847999999998</v>
      </c>
      <c r="G437" s="175" t="s">
        <v>19</v>
      </c>
      <c r="H437" s="172" t="s">
        <v>20</v>
      </c>
      <c r="I437" s="175">
        <v>1</v>
      </c>
      <c r="J437" s="175" t="s">
        <v>18</v>
      </c>
      <c r="K437" s="175" t="s">
        <v>74</v>
      </c>
      <c r="L437" s="172" t="s">
        <v>75</v>
      </c>
    </row>
    <row r="438" spans="1:12" x14ac:dyDescent="0.2">
      <c r="A438" s="172" t="s">
        <v>72</v>
      </c>
      <c r="B438" s="172" t="s">
        <v>73</v>
      </c>
      <c r="C438" s="172" t="s">
        <v>14</v>
      </c>
      <c r="D438" s="172" t="s">
        <v>15</v>
      </c>
      <c r="E438" s="173">
        <v>42444</v>
      </c>
      <c r="F438" s="174">
        <v>12.5</v>
      </c>
      <c r="G438" s="175" t="s">
        <v>16</v>
      </c>
      <c r="H438" s="172" t="s">
        <v>17</v>
      </c>
      <c r="I438" s="175">
        <v>1</v>
      </c>
      <c r="J438" s="175" t="s">
        <v>18</v>
      </c>
      <c r="K438" s="175" t="s">
        <v>74</v>
      </c>
      <c r="L438" s="172" t="s">
        <v>75</v>
      </c>
    </row>
    <row r="439" spans="1:12" x14ac:dyDescent="0.2">
      <c r="A439" s="172" t="s">
        <v>72</v>
      </c>
      <c r="B439" s="172" t="s">
        <v>73</v>
      </c>
      <c r="C439" s="172" t="s">
        <v>14</v>
      </c>
      <c r="D439" s="172" t="s">
        <v>15</v>
      </c>
      <c r="E439" s="173">
        <v>42444</v>
      </c>
      <c r="F439" s="174">
        <v>98.307749999999999</v>
      </c>
      <c r="G439" s="175" t="s">
        <v>19</v>
      </c>
      <c r="H439" s="172" t="s">
        <v>17</v>
      </c>
      <c r="I439" s="175">
        <v>1</v>
      </c>
      <c r="J439" s="175" t="s">
        <v>18</v>
      </c>
      <c r="K439" s="175" t="s">
        <v>74</v>
      </c>
      <c r="L439" s="172" t="s">
        <v>75</v>
      </c>
    </row>
    <row r="440" spans="1:12" x14ac:dyDescent="0.2">
      <c r="A440" s="172" t="s">
        <v>72</v>
      </c>
      <c r="B440" s="172" t="s">
        <v>73</v>
      </c>
      <c r="C440" s="172" t="s">
        <v>14</v>
      </c>
      <c r="D440" s="172" t="s">
        <v>15</v>
      </c>
      <c r="E440" s="173">
        <v>42444</v>
      </c>
      <c r="F440" s="174">
        <v>9.9</v>
      </c>
      <c r="G440" s="175" t="s">
        <v>16</v>
      </c>
      <c r="H440" s="172" t="s">
        <v>20</v>
      </c>
      <c r="I440" s="175">
        <v>1</v>
      </c>
      <c r="J440" s="175" t="s">
        <v>18</v>
      </c>
      <c r="K440" s="175" t="s">
        <v>74</v>
      </c>
      <c r="L440" s="172" t="s">
        <v>75</v>
      </c>
    </row>
    <row r="441" spans="1:12" x14ac:dyDescent="0.2">
      <c r="A441" s="172" t="s">
        <v>72</v>
      </c>
      <c r="B441" s="172" t="s">
        <v>73</v>
      </c>
      <c r="C441" s="172" t="s">
        <v>14</v>
      </c>
      <c r="D441" s="172" t="s">
        <v>15</v>
      </c>
      <c r="E441" s="173">
        <v>42444</v>
      </c>
      <c r="F441" s="174">
        <v>125.252622</v>
      </c>
      <c r="G441" s="175" t="s">
        <v>19</v>
      </c>
      <c r="H441" s="172" t="s">
        <v>20</v>
      </c>
      <c r="I441" s="175">
        <v>1</v>
      </c>
      <c r="J441" s="175" t="s">
        <v>18</v>
      </c>
      <c r="K441" s="175" t="s">
        <v>74</v>
      </c>
      <c r="L441" s="172" t="s">
        <v>75</v>
      </c>
    </row>
    <row r="442" spans="1:12" x14ac:dyDescent="0.2">
      <c r="A442" s="172" t="s">
        <v>72</v>
      </c>
      <c r="B442" s="172" t="s">
        <v>73</v>
      </c>
      <c r="C442" s="172" t="s">
        <v>14</v>
      </c>
      <c r="D442" s="172" t="s">
        <v>15</v>
      </c>
      <c r="E442" s="173">
        <v>42437</v>
      </c>
      <c r="F442" s="174">
        <v>10.9</v>
      </c>
      <c r="G442" s="175" t="s">
        <v>16</v>
      </c>
      <c r="H442" s="172" t="s">
        <v>17</v>
      </c>
      <c r="I442" s="175">
        <v>1</v>
      </c>
      <c r="J442" s="175" t="s">
        <v>18</v>
      </c>
      <c r="K442" s="175" t="s">
        <v>74</v>
      </c>
      <c r="L442" s="172" t="s">
        <v>75</v>
      </c>
    </row>
    <row r="443" spans="1:12" x14ac:dyDescent="0.2">
      <c r="A443" s="172" t="s">
        <v>72</v>
      </c>
      <c r="B443" s="172" t="s">
        <v>73</v>
      </c>
      <c r="C443" s="172" t="s">
        <v>14</v>
      </c>
      <c r="D443" s="172" t="s">
        <v>15</v>
      </c>
      <c r="E443" s="173">
        <v>42437</v>
      </c>
      <c r="F443" s="174">
        <v>118.90504799999999</v>
      </c>
      <c r="G443" s="175" t="s">
        <v>19</v>
      </c>
      <c r="H443" s="172" t="s">
        <v>17</v>
      </c>
      <c r="I443" s="175">
        <v>1</v>
      </c>
      <c r="J443" s="175" t="s">
        <v>18</v>
      </c>
      <c r="K443" s="175" t="s">
        <v>74</v>
      </c>
      <c r="L443" s="172" t="s">
        <v>75</v>
      </c>
    </row>
    <row r="444" spans="1:12" x14ac:dyDescent="0.2">
      <c r="A444" s="172" t="s">
        <v>72</v>
      </c>
      <c r="B444" s="172" t="s">
        <v>73</v>
      </c>
      <c r="C444" s="172" t="s">
        <v>14</v>
      </c>
      <c r="D444" s="172" t="s">
        <v>15</v>
      </c>
      <c r="E444" s="173">
        <v>42437</v>
      </c>
      <c r="F444" s="174">
        <v>7.5</v>
      </c>
      <c r="G444" s="175" t="s">
        <v>16</v>
      </c>
      <c r="H444" s="172" t="s">
        <v>20</v>
      </c>
      <c r="I444" s="175">
        <v>1</v>
      </c>
      <c r="J444" s="175" t="s">
        <v>18</v>
      </c>
      <c r="K444" s="175" t="s">
        <v>74</v>
      </c>
      <c r="L444" s="172" t="s">
        <v>75</v>
      </c>
    </row>
    <row r="445" spans="1:12" x14ac:dyDescent="0.2">
      <c r="A445" s="172" t="s">
        <v>72</v>
      </c>
      <c r="B445" s="172" t="s">
        <v>73</v>
      </c>
      <c r="C445" s="172" t="s">
        <v>14</v>
      </c>
      <c r="D445" s="172" t="s">
        <v>15</v>
      </c>
      <c r="E445" s="173">
        <v>42437</v>
      </c>
      <c r="F445" s="174">
        <v>97.578000000000003</v>
      </c>
      <c r="G445" s="175" t="s">
        <v>19</v>
      </c>
      <c r="H445" s="172" t="s">
        <v>20</v>
      </c>
      <c r="I445" s="175">
        <v>1</v>
      </c>
      <c r="J445" s="175" t="s">
        <v>18</v>
      </c>
      <c r="K445" s="175" t="s">
        <v>74</v>
      </c>
      <c r="L445" s="172" t="s">
        <v>75</v>
      </c>
    </row>
    <row r="446" spans="1:12" x14ac:dyDescent="0.2">
      <c r="A446" s="172" t="s">
        <v>72</v>
      </c>
      <c r="B446" s="172" t="s">
        <v>73</v>
      </c>
      <c r="C446" s="172" t="s">
        <v>14</v>
      </c>
      <c r="D446" s="172" t="s">
        <v>15</v>
      </c>
      <c r="E446" s="173">
        <v>42430</v>
      </c>
      <c r="F446" s="174">
        <v>12.1</v>
      </c>
      <c r="G446" s="175" t="s">
        <v>16</v>
      </c>
      <c r="H446" s="172" t="s">
        <v>17</v>
      </c>
      <c r="I446" s="175">
        <v>1</v>
      </c>
      <c r="J446" s="175" t="s">
        <v>18</v>
      </c>
      <c r="K446" s="175" t="s">
        <v>74</v>
      </c>
      <c r="L446" s="172" t="s">
        <v>75</v>
      </c>
    </row>
    <row r="447" spans="1:12" x14ac:dyDescent="0.2">
      <c r="A447" s="172" t="s">
        <v>72</v>
      </c>
      <c r="B447" s="172" t="s">
        <v>73</v>
      </c>
      <c r="C447" s="172" t="s">
        <v>14</v>
      </c>
      <c r="D447" s="172" t="s">
        <v>15</v>
      </c>
      <c r="E447" s="173">
        <v>42430</v>
      </c>
      <c r="F447" s="174">
        <v>147.73809600000001</v>
      </c>
      <c r="G447" s="175" t="s">
        <v>19</v>
      </c>
      <c r="H447" s="172" t="s">
        <v>17</v>
      </c>
      <c r="I447" s="175">
        <v>1</v>
      </c>
      <c r="J447" s="175" t="s">
        <v>18</v>
      </c>
      <c r="K447" s="175" t="s">
        <v>74</v>
      </c>
      <c r="L447" s="172" t="s">
        <v>75</v>
      </c>
    </row>
    <row r="448" spans="1:12" x14ac:dyDescent="0.2">
      <c r="A448" s="172" t="s">
        <v>72</v>
      </c>
      <c r="B448" s="172" t="s">
        <v>73</v>
      </c>
      <c r="C448" s="172" t="s">
        <v>14</v>
      </c>
      <c r="D448" s="172" t="s">
        <v>15</v>
      </c>
      <c r="E448" s="173">
        <v>42430</v>
      </c>
      <c r="F448" s="174">
        <v>6.2</v>
      </c>
      <c r="G448" s="175" t="s">
        <v>16</v>
      </c>
      <c r="H448" s="172" t="s">
        <v>20</v>
      </c>
      <c r="I448" s="175">
        <v>1</v>
      </c>
      <c r="J448" s="175" t="s">
        <v>18</v>
      </c>
      <c r="K448" s="175" t="s">
        <v>74</v>
      </c>
      <c r="L448" s="172" t="s">
        <v>75</v>
      </c>
    </row>
    <row r="449" spans="1:12" x14ac:dyDescent="0.2">
      <c r="A449" s="172" t="s">
        <v>72</v>
      </c>
      <c r="B449" s="172" t="s">
        <v>73</v>
      </c>
      <c r="C449" s="172" t="s">
        <v>14</v>
      </c>
      <c r="D449" s="172" t="s">
        <v>15</v>
      </c>
      <c r="E449" s="173">
        <v>42430</v>
      </c>
      <c r="F449" s="174">
        <v>87.541644000000005</v>
      </c>
      <c r="G449" s="175" t="s">
        <v>19</v>
      </c>
      <c r="H449" s="172" t="s">
        <v>20</v>
      </c>
      <c r="I449" s="175">
        <v>1</v>
      </c>
      <c r="J449" s="175" t="s">
        <v>18</v>
      </c>
      <c r="K449" s="175" t="s">
        <v>74</v>
      </c>
      <c r="L449" s="172" t="s">
        <v>75</v>
      </c>
    </row>
    <row r="450" spans="1:12" x14ac:dyDescent="0.2">
      <c r="A450" s="172" t="s">
        <v>72</v>
      </c>
      <c r="B450" s="172" t="s">
        <v>73</v>
      </c>
      <c r="C450" s="172" t="s">
        <v>14</v>
      </c>
      <c r="D450" s="172" t="s">
        <v>15</v>
      </c>
      <c r="E450" s="173">
        <v>42423</v>
      </c>
      <c r="F450" s="174">
        <v>10.1</v>
      </c>
      <c r="G450" s="175" t="s">
        <v>16</v>
      </c>
      <c r="H450" s="172" t="s">
        <v>17</v>
      </c>
      <c r="I450" s="175">
        <v>1</v>
      </c>
      <c r="J450" s="175" t="s">
        <v>18</v>
      </c>
      <c r="K450" s="175" t="s">
        <v>74</v>
      </c>
      <c r="L450" s="172" t="s">
        <v>75</v>
      </c>
    </row>
    <row r="451" spans="1:12" x14ac:dyDescent="0.2">
      <c r="A451" s="172" t="s">
        <v>72</v>
      </c>
      <c r="B451" s="172" t="s">
        <v>73</v>
      </c>
      <c r="C451" s="172" t="s">
        <v>14</v>
      </c>
      <c r="D451" s="172" t="s">
        <v>15</v>
      </c>
      <c r="E451" s="173">
        <v>42423</v>
      </c>
      <c r="F451" s="174">
        <v>157.34911199999999</v>
      </c>
      <c r="G451" s="175" t="s">
        <v>19</v>
      </c>
      <c r="H451" s="172" t="s">
        <v>17</v>
      </c>
      <c r="I451" s="175">
        <v>1</v>
      </c>
      <c r="J451" s="175" t="s">
        <v>18</v>
      </c>
      <c r="K451" s="175" t="s">
        <v>74</v>
      </c>
      <c r="L451" s="172" t="s">
        <v>75</v>
      </c>
    </row>
    <row r="452" spans="1:12" x14ac:dyDescent="0.2">
      <c r="A452" s="172" t="s">
        <v>72</v>
      </c>
      <c r="B452" s="172" t="s">
        <v>73</v>
      </c>
      <c r="C452" s="172" t="s">
        <v>14</v>
      </c>
      <c r="D452" s="172" t="s">
        <v>15</v>
      </c>
      <c r="E452" s="173">
        <v>42423</v>
      </c>
      <c r="F452" s="174">
        <v>5.9</v>
      </c>
      <c r="G452" s="175" t="s">
        <v>16</v>
      </c>
      <c r="H452" s="172" t="s">
        <v>20</v>
      </c>
      <c r="I452" s="175">
        <v>1</v>
      </c>
      <c r="J452" s="175" t="s">
        <v>18</v>
      </c>
      <c r="K452" s="175" t="s">
        <v>74</v>
      </c>
      <c r="L452" s="172" t="s">
        <v>75</v>
      </c>
    </row>
    <row r="453" spans="1:12" x14ac:dyDescent="0.2">
      <c r="A453" s="172" t="s">
        <v>72</v>
      </c>
      <c r="B453" s="172" t="s">
        <v>73</v>
      </c>
      <c r="C453" s="172" t="s">
        <v>14</v>
      </c>
      <c r="D453" s="172" t="s">
        <v>15</v>
      </c>
      <c r="E453" s="173">
        <v>42423</v>
      </c>
      <c r="F453" s="174">
        <v>97.821528000000001</v>
      </c>
      <c r="G453" s="175" t="s">
        <v>19</v>
      </c>
      <c r="H453" s="172" t="s">
        <v>20</v>
      </c>
      <c r="I453" s="175">
        <v>1</v>
      </c>
      <c r="J453" s="175" t="s">
        <v>18</v>
      </c>
      <c r="K453" s="175" t="s">
        <v>74</v>
      </c>
      <c r="L453" s="172" t="s">
        <v>75</v>
      </c>
    </row>
    <row r="454" spans="1:12" x14ac:dyDescent="0.2">
      <c r="A454" s="172" t="s">
        <v>72</v>
      </c>
      <c r="B454" s="172" t="s">
        <v>73</v>
      </c>
      <c r="C454" s="172" t="s">
        <v>14</v>
      </c>
      <c r="D454" s="172" t="s">
        <v>15</v>
      </c>
      <c r="E454" s="173">
        <v>42416</v>
      </c>
      <c r="F454" s="174">
        <v>14.4</v>
      </c>
      <c r="G454" s="175" t="s">
        <v>16</v>
      </c>
      <c r="H454" s="172" t="s">
        <v>17</v>
      </c>
      <c r="I454" s="175">
        <v>1</v>
      </c>
      <c r="J454" s="175" t="s">
        <v>18</v>
      </c>
      <c r="K454" s="175" t="s">
        <v>74</v>
      </c>
      <c r="L454" s="172" t="s">
        <v>75</v>
      </c>
    </row>
    <row r="455" spans="1:12" x14ac:dyDescent="0.2">
      <c r="A455" s="172" t="s">
        <v>72</v>
      </c>
      <c r="B455" s="172" t="s">
        <v>73</v>
      </c>
      <c r="C455" s="172" t="s">
        <v>14</v>
      </c>
      <c r="D455" s="172" t="s">
        <v>15</v>
      </c>
      <c r="E455" s="173">
        <v>42416</v>
      </c>
      <c r="F455" s="174">
        <v>82.385856000000004</v>
      </c>
      <c r="G455" s="175" t="s">
        <v>19</v>
      </c>
      <c r="H455" s="172" t="s">
        <v>17</v>
      </c>
      <c r="I455" s="175">
        <v>1</v>
      </c>
      <c r="J455" s="175" t="s">
        <v>18</v>
      </c>
      <c r="K455" s="175" t="s">
        <v>74</v>
      </c>
      <c r="L455" s="172" t="s">
        <v>75</v>
      </c>
    </row>
    <row r="456" spans="1:12" x14ac:dyDescent="0.2">
      <c r="A456" s="172" t="s">
        <v>72</v>
      </c>
      <c r="B456" s="172" t="s">
        <v>73</v>
      </c>
      <c r="C456" s="172" t="s">
        <v>14</v>
      </c>
      <c r="D456" s="172" t="s">
        <v>15</v>
      </c>
      <c r="E456" s="173">
        <v>42416</v>
      </c>
      <c r="F456" s="174">
        <v>9.3000000000000007</v>
      </c>
      <c r="G456" s="175" t="s">
        <v>16</v>
      </c>
      <c r="H456" s="172" t="s">
        <v>20</v>
      </c>
      <c r="I456" s="175">
        <v>1</v>
      </c>
      <c r="J456" s="175" t="s">
        <v>18</v>
      </c>
      <c r="K456" s="175" t="s">
        <v>74</v>
      </c>
      <c r="L456" s="172" t="s">
        <v>75</v>
      </c>
    </row>
    <row r="457" spans="1:12" x14ac:dyDescent="0.2">
      <c r="A457" s="172" t="s">
        <v>72</v>
      </c>
      <c r="B457" s="172" t="s">
        <v>73</v>
      </c>
      <c r="C457" s="172" t="s">
        <v>14</v>
      </c>
      <c r="D457" s="172" t="s">
        <v>15</v>
      </c>
      <c r="E457" s="173">
        <v>42416</v>
      </c>
      <c r="F457" s="174">
        <v>70.038486000000006</v>
      </c>
      <c r="G457" s="175" t="s">
        <v>19</v>
      </c>
      <c r="H457" s="172" t="s">
        <v>20</v>
      </c>
      <c r="I457" s="175">
        <v>1</v>
      </c>
      <c r="J457" s="175" t="s">
        <v>18</v>
      </c>
      <c r="K457" s="175" t="s">
        <v>74</v>
      </c>
      <c r="L457" s="172" t="s">
        <v>75</v>
      </c>
    </row>
    <row r="458" spans="1:12" x14ac:dyDescent="0.2">
      <c r="A458" s="172" t="s">
        <v>72</v>
      </c>
      <c r="B458" s="172" t="s">
        <v>73</v>
      </c>
      <c r="C458" s="172" t="s">
        <v>14</v>
      </c>
      <c r="D458" s="172" t="s">
        <v>15</v>
      </c>
      <c r="E458" s="173">
        <v>42410</v>
      </c>
      <c r="F458" s="174">
        <v>14.7</v>
      </c>
      <c r="G458" s="175" t="s">
        <v>16</v>
      </c>
      <c r="H458" s="172" t="s">
        <v>17</v>
      </c>
      <c r="I458" s="175">
        <v>1</v>
      </c>
      <c r="J458" s="175" t="s">
        <v>18</v>
      </c>
      <c r="K458" s="175" t="s">
        <v>74</v>
      </c>
      <c r="L458" s="172" t="s">
        <v>75</v>
      </c>
    </row>
    <row r="459" spans="1:12" x14ac:dyDescent="0.2">
      <c r="A459" s="172" t="s">
        <v>72</v>
      </c>
      <c r="B459" s="172" t="s">
        <v>73</v>
      </c>
      <c r="C459" s="172" t="s">
        <v>14</v>
      </c>
      <c r="D459" s="172" t="s">
        <v>15</v>
      </c>
      <c r="E459" s="173">
        <v>42410</v>
      </c>
      <c r="F459" s="174">
        <v>89.496539999999996</v>
      </c>
      <c r="G459" s="175" t="s">
        <v>19</v>
      </c>
      <c r="H459" s="172" t="s">
        <v>17</v>
      </c>
      <c r="I459" s="175">
        <v>1</v>
      </c>
      <c r="J459" s="175" t="s">
        <v>18</v>
      </c>
      <c r="K459" s="175" t="s">
        <v>74</v>
      </c>
      <c r="L459" s="172" t="s">
        <v>75</v>
      </c>
    </row>
    <row r="460" spans="1:12" x14ac:dyDescent="0.2">
      <c r="A460" s="172" t="s">
        <v>72</v>
      </c>
      <c r="B460" s="172" t="s">
        <v>73</v>
      </c>
      <c r="C460" s="172" t="s">
        <v>14</v>
      </c>
      <c r="D460" s="172" t="s">
        <v>15</v>
      </c>
      <c r="E460" s="173">
        <v>42410</v>
      </c>
      <c r="F460" s="174">
        <v>7.9</v>
      </c>
      <c r="G460" s="175" t="s">
        <v>16</v>
      </c>
      <c r="H460" s="172" t="s">
        <v>20</v>
      </c>
      <c r="I460" s="175">
        <v>1</v>
      </c>
      <c r="J460" s="175" t="s">
        <v>18</v>
      </c>
      <c r="K460" s="175" t="s">
        <v>74</v>
      </c>
      <c r="L460" s="172" t="s">
        <v>75</v>
      </c>
    </row>
    <row r="461" spans="1:12" x14ac:dyDescent="0.2">
      <c r="A461" s="172" t="s">
        <v>72</v>
      </c>
      <c r="B461" s="172" t="s">
        <v>73</v>
      </c>
      <c r="C461" s="172" t="s">
        <v>14</v>
      </c>
      <c r="D461" s="172" t="s">
        <v>15</v>
      </c>
      <c r="E461" s="173">
        <v>42410</v>
      </c>
      <c r="F461" s="174">
        <v>60.483347999999999</v>
      </c>
      <c r="G461" s="175" t="s">
        <v>19</v>
      </c>
      <c r="H461" s="172" t="s">
        <v>20</v>
      </c>
      <c r="I461" s="175">
        <v>1</v>
      </c>
      <c r="J461" s="175" t="s">
        <v>18</v>
      </c>
      <c r="K461" s="175" t="s">
        <v>74</v>
      </c>
      <c r="L461" s="172" t="s">
        <v>75</v>
      </c>
    </row>
    <row r="462" spans="1:12" x14ac:dyDescent="0.2">
      <c r="A462" s="172" t="s">
        <v>72</v>
      </c>
      <c r="B462" s="172" t="s">
        <v>73</v>
      </c>
      <c r="C462" s="172" t="s">
        <v>14</v>
      </c>
      <c r="D462" s="172" t="s">
        <v>15</v>
      </c>
      <c r="E462" s="173">
        <v>42404</v>
      </c>
      <c r="F462" s="174">
        <v>13.8</v>
      </c>
      <c r="G462" s="175" t="s">
        <v>16</v>
      </c>
      <c r="H462" s="172" t="s">
        <v>17</v>
      </c>
      <c r="I462" s="175">
        <v>1</v>
      </c>
      <c r="J462" s="175" t="s">
        <v>18</v>
      </c>
      <c r="K462" s="175" t="s">
        <v>74</v>
      </c>
      <c r="L462" s="172" t="s">
        <v>75</v>
      </c>
    </row>
    <row r="463" spans="1:12" x14ac:dyDescent="0.2">
      <c r="A463" s="172" t="s">
        <v>72</v>
      </c>
      <c r="B463" s="172" t="s">
        <v>73</v>
      </c>
      <c r="C463" s="172" t="s">
        <v>14</v>
      </c>
      <c r="D463" s="172" t="s">
        <v>15</v>
      </c>
      <c r="E463" s="173">
        <v>42404</v>
      </c>
      <c r="F463" s="174">
        <v>90.001943999999995</v>
      </c>
      <c r="G463" s="175" t="s">
        <v>19</v>
      </c>
      <c r="H463" s="172" t="s">
        <v>17</v>
      </c>
      <c r="I463" s="175">
        <v>1</v>
      </c>
      <c r="J463" s="175" t="s">
        <v>18</v>
      </c>
      <c r="K463" s="175" t="s">
        <v>74</v>
      </c>
      <c r="L463" s="172" t="s">
        <v>75</v>
      </c>
    </row>
    <row r="464" spans="1:12" x14ac:dyDescent="0.2">
      <c r="A464" s="172" t="s">
        <v>72</v>
      </c>
      <c r="B464" s="172" t="s">
        <v>73</v>
      </c>
      <c r="C464" s="172" t="s">
        <v>14</v>
      </c>
      <c r="D464" s="172" t="s">
        <v>15</v>
      </c>
      <c r="E464" s="173">
        <v>42404</v>
      </c>
      <c r="F464" s="174">
        <v>10.1</v>
      </c>
      <c r="G464" s="175" t="s">
        <v>16</v>
      </c>
      <c r="H464" s="172" t="s">
        <v>20</v>
      </c>
      <c r="I464" s="175">
        <v>1</v>
      </c>
      <c r="J464" s="175" t="s">
        <v>18</v>
      </c>
      <c r="K464" s="175" t="s">
        <v>74</v>
      </c>
      <c r="L464" s="172" t="s">
        <v>75</v>
      </c>
    </row>
    <row r="465" spans="1:12" x14ac:dyDescent="0.2">
      <c r="A465" s="172" t="s">
        <v>72</v>
      </c>
      <c r="B465" s="172" t="s">
        <v>73</v>
      </c>
      <c r="C465" s="172" t="s">
        <v>14</v>
      </c>
      <c r="D465" s="172" t="s">
        <v>15</v>
      </c>
      <c r="E465" s="173">
        <v>42404</v>
      </c>
      <c r="F465" s="174">
        <v>82.886256000000003</v>
      </c>
      <c r="G465" s="175" t="s">
        <v>19</v>
      </c>
      <c r="H465" s="172" t="s">
        <v>20</v>
      </c>
      <c r="I465" s="175">
        <v>1</v>
      </c>
      <c r="J465" s="175" t="s">
        <v>18</v>
      </c>
      <c r="K465" s="175" t="s">
        <v>74</v>
      </c>
      <c r="L465" s="172" t="s">
        <v>75</v>
      </c>
    </row>
    <row r="466" spans="1:12" x14ac:dyDescent="0.2">
      <c r="A466" s="172" t="s">
        <v>72</v>
      </c>
      <c r="B466" s="172" t="s">
        <v>73</v>
      </c>
      <c r="C466" s="172" t="s">
        <v>14</v>
      </c>
      <c r="D466" s="172" t="s">
        <v>15</v>
      </c>
      <c r="E466" s="173">
        <v>42396</v>
      </c>
      <c r="F466" s="174">
        <v>14.1</v>
      </c>
      <c r="G466" s="175" t="s">
        <v>16</v>
      </c>
      <c r="H466" s="172" t="s">
        <v>17</v>
      </c>
      <c r="I466" s="175">
        <v>1</v>
      </c>
      <c r="J466" s="175" t="s">
        <v>18</v>
      </c>
      <c r="K466" s="175" t="s">
        <v>74</v>
      </c>
      <c r="L466" s="172" t="s">
        <v>75</v>
      </c>
    </row>
    <row r="467" spans="1:12" x14ac:dyDescent="0.2">
      <c r="A467" s="172" t="s">
        <v>72</v>
      </c>
      <c r="B467" s="172" t="s">
        <v>73</v>
      </c>
      <c r="C467" s="172" t="s">
        <v>14</v>
      </c>
      <c r="D467" s="172" t="s">
        <v>15</v>
      </c>
      <c r="E467" s="173">
        <v>42396</v>
      </c>
      <c r="F467" s="174">
        <v>80.787077999999994</v>
      </c>
      <c r="G467" s="175" t="s">
        <v>19</v>
      </c>
      <c r="H467" s="172" t="s">
        <v>17</v>
      </c>
      <c r="I467" s="175">
        <v>1</v>
      </c>
      <c r="J467" s="175" t="s">
        <v>18</v>
      </c>
      <c r="K467" s="175" t="s">
        <v>74</v>
      </c>
      <c r="L467" s="172" t="s">
        <v>75</v>
      </c>
    </row>
    <row r="468" spans="1:12" x14ac:dyDescent="0.2">
      <c r="A468" s="172" t="s">
        <v>72</v>
      </c>
      <c r="B468" s="172" t="s">
        <v>73</v>
      </c>
      <c r="C468" s="172" t="s">
        <v>14</v>
      </c>
      <c r="D468" s="172" t="s">
        <v>15</v>
      </c>
      <c r="E468" s="173">
        <v>42396</v>
      </c>
      <c r="F468" s="174">
        <v>8.4</v>
      </c>
      <c r="G468" s="175" t="s">
        <v>16</v>
      </c>
      <c r="H468" s="172" t="s">
        <v>20</v>
      </c>
      <c r="I468" s="175">
        <v>1</v>
      </c>
      <c r="J468" s="175" t="s">
        <v>18</v>
      </c>
      <c r="K468" s="175" t="s">
        <v>74</v>
      </c>
      <c r="L468" s="172" t="s">
        <v>75</v>
      </c>
    </row>
    <row r="469" spans="1:12" x14ac:dyDescent="0.2">
      <c r="A469" s="172" t="s">
        <v>72</v>
      </c>
      <c r="B469" s="172" t="s">
        <v>73</v>
      </c>
      <c r="C469" s="172" t="s">
        <v>14</v>
      </c>
      <c r="D469" s="172" t="s">
        <v>15</v>
      </c>
      <c r="E469" s="173">
        <v>42396</v>
      </c>
      <c r="F469" s="174">
        <v>62.069616000000003</v>
      </c>
      <c r="G469" s="175" t="s">
        <v>19</v>
      </c>
      <c r="H469" s="172" t="s">
        <v>20</v>
      </c>
      <c r="I469" s="175">
        <v>1</v>
      </c>
      <c r="J469" s="175" t="s">
        <v>18</v>
      </c>
      <c r="K469" s="175" t="s">
        <v>74</v>
      </c>
      <c r="L469" s="172" t="s">
        <v>75</v>
      </c>
    </row>
    <row r="470" spans="1:12" x14ac:dyDescent="0.2">
      <c r="A470" s="172" t="s">
        <v>72</v>
      </c>
      <c r="B470" s="172" t="s">
        <v>73</v>
      </c>
      <c r="C470" s="172" t="s">
        <v>14</v>
      </c>
      <c r="D470" s="172" t="s">
        <v>15</v>
      </c>
      <c r="E470" s="173">
        <v>42388</v>
      </c>
      <c r="F470" s="174">
        <v>12.9</v>
      </c>
      <c r="G470" s="175" t="s">
        <v>16</v>
      </c>
      <c r="H470" s="172" t="s">
        <v>17</v>
      </c>
      <c r="I470" s="175">
        <v>1</v>
      </c>
      <c r="J470" s="175" t="s">
        <v>18</v>
      </c>
      <c r="K470" s="175" t="s">
        <v>74</v>
      </c>
      <c r="L470" s="172" t="s">
        <v>75</v>
      </c>
    </row>
    <row r="471" spans="1:12" x14ac:dyDescent="0.2">
      <c r="A471" s="172" t="s">
        <v>72</v>
      </c>
      <c r="B471" s="172" t="s">
        <v>73</v>
      </c>
      <c r="C471" s="172" t="s">
        <v>14</v>
      </c>
      <c r="D471" s="172" t="s">
        <v>15</v>
      </c>
      <c r="E471" s="173">
        <v>42388</v>
      </c>
      <c r="F471" s="174">
        <v>89.296379999999999</v>
      </c>
      <c r="G471" s="175" t="s">
        <v>19</v>
      </c>
      <c r="H471" s="172" t="s">
        <v>17</v>
      </c>
      <c r="I471" s="175">
        <v>1</v>
      </c>
      <c r="J471" s="175" t="s">
        <v>18</v>
      </c>
      <c r="K471" s="175" t="s">
        <v>74</v>
      </c>
      <c r="L471" s="172" t="s">
        <v>75</v>
      </c>
    </row>
    <row r="472" spans="1:12" x14ac:dyDescent="0.2">
      <c r="A472" s="172" t="s">
        <v>72</v>
      </c>
      <c r="B472" s="172" t="s">
        <v>73</v>
      </c>
      <c r="C472" s="172" t="s">
        <v>14</v>
      </c>
      <c r="D472" s="172" t="s">
        <v>15</v>
      </c>
      <c r="E472" s="173">
        <v>42388</v>
      </c>
      <c r="F472" s="174">
        <v>10</v>
      </c>
      <c r="G472" s="175" t="s">
        <v>16</v>
      </c>
      <c r="H472" s="172" t="s">
        <v>20</v>
      </c>
      <c r="I472" s="175">
        <v>1</v>
      </c>
      <c r="J472" s="175" t="s">
        <v>18</v>
      </c>
      <c r="K472" s="175" t="s">
        <v>74</v>
      </c>
      <c r="L472" s="172" t="s">
        <v>75</v>
      </c>
    </row>
    <row r="473" spans="1:12" x14ac:dyDescent="0.2">
      <c r="A473" s="172" t="s">
        <v>72</v>
      </c>
      <c r="B473" s="172" t="s">
        <v>73</v>
      </c>
      <c r="C473" s="172" t="s">
        <v>14</v>
      </c>
      <c r="D473" s="172" t="s">
        <v>15</v>
      </c>
      <c r="E473" s="173">
        <v>42388</v>
      </c>
      <c r="F473" s="174">
        <v>86.485799999999998</v>
      </c>
      <c r="G473" s="175" t="s">
        <v>19</v>
      </c>
      <c r="H473" s="172" t="s">
        <v>20</v>
      </c>
      <c r="I473" s="175">
        <v>1</v>
      </c>
      <c r="J473" s="175" t="s">
        <v>18</v>
      </c>
      <c r="K473" s="175" t="s">
        <v>74</v>
      </c>
      <c r="L473" s="172" t="s">
        <v>75</v>
      </c>
    </row>
    <row r="474" spans="1:12" x14ac:dyDescent="0.2">
      <c r="A474" s="172" t="s">
        <v>72</v>
      </c>
      <c r="B474" s="172" t="s">
        <v>73</v>
      </c>
      <c r="C474" s="172" t="s">
        <v>14</v>
      </c>
      <c r="D474" s="172" t="s">
        <v>15</v>
      </c>
      <c r="E474" s="173">
        <v>42382</v>
      </c>
      <c r="F474" s="174">
        <v>14.3</v>
      </c>
      <c r="G474" s="175" t="s">
        <v>16</v>
      </c>
      <c r="H474" s="172" t="s">
        <v>17</v>
      </c>
      <c r="I474" s="175">
        <v>1</v>
      </c>
      <c r="J474" s="175" t="s">
        <v>18</v>
      </c>
      <c r="K474" s="175" t="s">
        <v>74</v>
      </c>
      <c r="L474" s="172" t="s">
        <v>75</v>
      </c>
    </row>
    <row r="475" spans="1:12" x14ac:dyDescent="0.2">
      <c r="A475" s="172" t="s">
        <v>72</v>
      </c>
      <c r="B475" s="172" t="s">
        <v>73</v>
      </c>
      <c r="C475" s="172" t="s">
        <v>14</v>
      </c>
      <c r="D475" s="172" t="s">
        <v>15</v>
      </c>
      <c r="E475" s="173">
        <v>42382</v>
      </c>
      <c r="F475" s="174">
        <v>120.693144</v>
      </c>
      <c r="G475" s="175" t="s">
        <v>19</v>
      </c>
      <c r="H475" s="172" t="s">
        <v>17</v>
      </c>
      <c r="I475" s="175">
        <v>1</v>
      </c>
      <c r="J475" s="175" t="s">
        <v>18</v>
      </c>
      <c r="K475" s="175" t="s">
        <v>74</v>
      </c>
      <c r="L475" s="172" t="s">
        <v>75</v>
      </c>
    </row>
    <row r="476" spans="1:12" x14ac:dyDescent="0.2">
      <c r="A476" s="172" t="s">
        <v>72</v>
      </c>
      <c r="B476" s="172" t="s">
        <v>73</v>
      </c>
      <c r="C476" s="172" t="s">
        <v>14</v>
      </c>
      <c r="D476" s="172" t="s">
        <v>15</v>
      </c>
      <c r="E476" s="173">
        <v>42382</v>
      </c>
      <c r="F476" s="174">
        <v>6.5</v>
      </c>
      <c r="G476" s="175" t="s">
        <v>16</v>
      </c>
      <c r="H476" s="172" t="s">
        <v>20</v>
      </c>
      <c r="I476" s="175">
        <v>1</v>
      </c>
      <c r="J476" s="175" t="s">
        <v>18</v>
      </c>
      <c r="K476" s="175" t="s">
        <v>74</v>
      </c>
      <c r="L476" s="172" t="s">
        <v>75</v>
      </c>
    </row>
    <row r="477" spans="1:12" x14ac:dyDescent="0.2">
      <c r="A477" s="172" t="s">
        <v>72</v>
      </c>
      <c r="B477" s="172" t="s">
        <v>73</v>
      </c>
      <c r="C477" s="172" t="s">
        <v>14</v>
      </c>
      <c r="D477" s="172" t="s">
        <v>15</v>
      </c>
      <c r="E477" s="173">
        <v>42382</v>
      </c>
      <c r="F477" s="174">
        <v>65.106210000000004</v>
      </c>
      <c r="G477" s="175" t="s">
        <v>19</v>
      </c>
      <c r="H477" s="172" t="s">
        <v>20</v>
      </c>
      <c r="I477" s="175">
        <v>1</v>
      </c>
      <c r="J477" s="175" t="s">
        <v>18</v>
      </c>
      <c r="K477" s="175" t="s">
        <v>74</v>
      </c>
      <c r="L477" s="172" t="s">
        <v>75</v>
      </c>
    </row>
    <row r="478" spans="1:12" x14ac:dyDescent="0.2">
      <c r="A478" s="172" t="s">
        <v>72</v>
      </c>
      <c r="B478" s="172" t="s">
        <v>73</v>
      </c>
      <c r="C478" s="172" t="s">
        <v>14</v>
      </c>
      <c r="D478" s="172" t="s">
        <v>15</v>
      </c>
      <c r="E478" s="173">
        <v>42375</v>
      </c>
      <c r="F478" s="174">
        <v>12.2</v>
      </c>
      <c r="G478" s="175" t="s">
        <v>16</v>
      </c>
      <c r="H478" s="172" t="s">
        <v>17</v>
      </c>
      <c r="I478" s="175">
        <v>1</v>
      </c>
      <c r="J478" s="175" t="s">
        <v>18</v>
      </c>
      <c r="K478" s="175" t="s">
        <v>74</v>
      </c>
      <c r="L478" s="172" t="s">
        <v>75</v>
      </c>
    </row>
    <row r="479" spans="1:12" x14ac:dyDescent="0.2">
      <c r="A479" s="172" t="s">
        <v>72</v>
      </c>
      <c r="B479" s="172" t="s">
        <v>73</v>
      </c>
      <c r="C479" s="172" t="s">
        <v>14</v>
      </c>
      <c r="D479" s="172" t="s">
        <v>15</v>
      </c>
      <c r="E479" s="173">
        <v>42375</v>
      </c>
      <c r="F479" s="174">
        <v>105.003936</v>
      </c>
      <c r="G479" s="175" t="s">
        <v>19</v>
      </c>
      <c r="H479" s="172" t="s">
        <v>17</v>
      </c>
      <c r="I479" s="175">
        <v>1</v>
      </c>
      <c r="J479" s="175" t="s">
        <v>18</v>
      </c>
      <c r="K479" s="175" t="s">
        <v>74</v>
      </c>
      <c r="L479" s="172" t="s">
        <v>75</v>
      </c>
    </row>
    <row r="480" spans="1:12" x14ac:dyDescent="0.2">
      <c r="A480" s="172" t="s">
        <v>72</v>
      </c>
      <c r="B480" s="172" t="s">
        <v>73</v>
      </c>
      <c r="C480" s="172" t="s">
        <v>14</v>
      </c>
      <c r="D480" s="172" t="s">
        <v>15</v>
      </c>
      <c r="E480" s="173">
        <v>42375</v>
      </c>
      <c r="F480" s="174">
        <v>7.3</v>
      </c>
      <c r="G480" s="175" t="s">
        <v>16</v>
      </c>
      <c r="H480" s="172" t="s">
        <v>20</v>
      </c>
      <c r="I480" s="175">
        <v>1</v>
      </c>
      <c r="J480" s="175" t="s">
        <v>18</v>
      </c>
      <c r="K480" s="175" t="s">
        <v>74</v>
      </c>
      <c r="L480" s="172" t="s">
        <v>75</v>
      </c>
    </row>
    <row r="481" spans="1:12" x14ac:dyDescent="0.2">
      <c r="A481" s="172" t="s">
        <v>72</v>
      </c>
      <c r="B481" s="172" t="s">
        <v>73</v>
      </c>
      <c r="C481" s="172" t="s">
        <v>14</v>
      </c>
      <c r="D481" s="172" t="s">
        <v>15</v>
      </c>
      <c r="E481" s="173">
        <v>42375</v>
      </c>
      <c r="F481" s="174">
        <v>73.362809999999996</v>
      </c>
      <c r="G481" s="175" t="s">
        <v>19</v>
      </c>
      <c r="H481" s="172" t="s">
        <v>20</v>
      </c>
      <c r="I481" s="175">
        <v>1</v>
      </c>
      <c r="J481" s="175" t="s">
        <v>18</v>
      </c>
      <c r="K481" s="175" t="s">
        <v>74</v>
      </c>
      <c r="L481" s="172" t="s">
        <v>75</v>
      </c>
    </row>
    <row r="482" spans="1:12" x14ac:dyDescent="0.2">
      <c r="A482" s="172" t="s">
        <v>72</v>
      </c>
      <c r="B482" s="172" t="s">
        <v>73</v>
      </c>
      <c r="C482" s="172" t="s">
        <v>14</v>
      </c>
      <c r="D482" s="172" t="s">
        <v>15</v>
      </c>
      <c r="E482" s="173">
        <v>42331</v>
      </c>
      <c r="F482" s="174">
        <v>18.8</v>
      </c>
      <c r="G482" s="175" t="s">
        <v>16</v>
      </c>
      <c r="H482" s="172" t="s">
        <v>17</v>
      </c>
      <c r="I482" s="175">
        <v>1</v>
      </c>
      <c r="J482" s="175" t="s">
        <v>18</v>
      </c>
      <c r="K482" s="175" t="s">
        <v>74</v>
      </c>
      <c r="L482" s="172" t="s">
        <v>75</v>
      </c>
    </row>
    <row r="483" spans="1:12" x14ac:dyDescent="0.2">
      <c r="A483" s="172" t="s">
        <v>72</v>
      </c>
      <c r="B483" s="172" t="s">
        <v>73</v>
      </c>
      <c r="C483" s="172" t="s">
        <v>14</v>
      </c>
      <c r="D483" s="172" t="s">
        <v>15</v>
      </c>
      <c r="E483" s="173">
        <v>42331</v>
      </c>
      <c r="F483" s="174">
        <v>96.740663999999995</v>
      </c>
      <c r="G483" s="175" t="s">
        <v>19</v>
      </c>
      <c r="H483" s="172" t="s">
        <v>17</v>
      </c>
      <c r="I483" s="175">
        <v>1</v>
      </c>
      <c r="J483" s="175" t="s">
        <v>18</v>
      </c>
      <c r="K483" s="175" t="s">
        <v>74</v>
      </c>
      <c r="L483" s="172" t="s">
        <v>75</v>
      </c>
    </row>
    <row r="484" spans="1:12" x14ac:dyDescent="0.2">
      <c r="A484" s="172" t="s">
        <v>72</v>
      </c>
      <c r="B484" s="172" t="s">
        <v>73</v>
      </c>
      <c r="C484" s="172" t="s">
        <v>14</v>
      </c>
      <c r="D484" s="172" t="s">
        <v>15</v>
      </c>
      <c r="E484" s="173">
        <v>42331</v>
      </c>
      <c r="F484" s="174">
        <v>10.7</v>
      </c>
      <c r="G484" s="175" t="s">
        <v>16</v>
      </c>
      <c r="H484" s="172" t="s">
        <v>20</v>
      </c>
      <c r="I484" s="175">
        <v>1</v>
      </c>
      <c r="J484" s="175" t="s">
        <v>18</v>
      </c>
      <c r="K484" s="175" t="s">
        <v>74</v>
      </c>
      <c r="L484" s="172" t="s">
        <v>75</v>
      </c>
    </row>
    <row r="485" spans="1:12" x14ac:dyDescent="0.2">
      <c r="A485" s="172" t="s">
        <v>72</v>
      </c>
      <c r="B485" s="172" t="s">
        <v>73</v>
      </c>
      <c r="C485" s="172" t="s">
        <v>14</v>
      </c>
      <c r="D485" s="172" t="s">
        <v>15</v>
      </c>
      <c r="E485" s="173">
        <v>42331</v>
      </c>
      <c r="F485" s="174">
        <v>66.660786000000002</v>
      </c>
      <c r="G485" s="175" t="s">
        <v>19</v>
      </c>
      <c r="H485" s="172" t="s">
        <v>20</v>
      </c>
      <c r="I485" s="175">
        <v>1</v>
      </c>
      <c r="J485" s="175" t="s">
        <v>18</v>
      </c>
      <c r="K485" s="175" t="s">
        <v>74</v>
      </c>
      <c r="L485" s="172" t="s">
        <v>75</v>
      </c>
    </row>
    <row r="486" spans="1:12" x14ac:dyDescent="0.2">
      <c r="A486" s="172" t="s">
        <v>72</v>
      </c>
      <c r="B486" s="172" t="s">
        <v>73</v>
      </c>
      <c r="C486" s="172" t="s">
        <v>14</v>
      </c>
      <c r="D486" s="172" t="s">
        <v>15</v>
      </c>
      <c r="E486" s="173">
        <v>42325</v>
      </c>
      <c r="F486" s="174">
        <v>21.8</v>
      </c>
      <c r="G486" s="175" t="s">
        <v>16</v>
      </c>
      <c r="H486" s="172" t="s">
        <v>17</v>
      </c>
      <c r="I486" s="175">
        <v>1</v>
      </c>
      <c r="J486" s="175" t="s">
        <v>18</v>
      </c>
      <c r="K486" s="175" t="s">
        <v>74</v>
      </c>
      <c r="L486" s="172" t="s">
        <v>75</v>
      </c>
    </row>
    <row r="487" spans="1:12" x14ac:dyDescent="0.2">
      <c r="A487" s="172" t="s">
        <v>72</v>
      </c>
      <c r="B487" s="172" t="s">
        <v>73</v>
      </c>
      <c r="C487" s="172" t="s">
        <v>14</v>
      </c>
      <c r="D487" s="172" t="s">
        <v>15</v>
      </c>
      <c r="E487" s="173">
        <v>42325</v>
      </c>
      <c r="F487" s="174">
        <v>96.723984000000002</v>
      </c>
      <c r="G487" s="175" t="s">
        <v>19</v>
      </c>
      <c r="H487" s="172" t="s">
        <v>17</v>
      </c>
      <c r="I487" s="175">
        <v>1</v>
      </c>
      <c r="J487" s="175" t="s">
        <v>18</v>
      </c>
      <c r="K487" s="175" t="s">
        <v>74</v>
      </c>
      <c r="L487" s="172" t="s">
        <v>75</v>
      </c>
    </row>
    <row r="488" spans="1:12" x14ac:dyDescent="0.2">
      <c r="A488" s="172" t="s">
        <v>72</v>
      </c>
      <c r="B488" s="172" t="s">
        <v>73</v>
      </c>
      <c r="C488" s="172" t="s">
        <v>14</v>
      </c>
      <c r="D488" s="172" t="s">
        <v>15</v>
      </c>
      <c r="E488" s="173">
        <v>42325</v>
      </c>
      <c r="F488" s="174">
        <v>11.9</v>
      </c>
      <c r="G488" s="175" t="s">
        <v>16</v>
      </c>
      <c r="H488" s="172" t="s">
        <v>20</v>
      </c>
      <c r="I488" s="175">
        <v>1</v>
      </c>
      <c r="J488" s="175" t="s">
        <v>18</v>
      </c>
      <c r="K488" s="175" t="s">
        <v>74</v>
      </c>
      <c r="L488" s="172" t="s">
        <v>75</v>
      </c>
    </row>
    <row r="489" spans="1:12" x14ac:dyDescent="0.2">
      <c r="A489" s="172" t="s">
        <v>72</v>
      </c>
      <c r="B489" s="172" t="s">
        <v>73</v>
      </c>
      <c r="C489" s="172" t="s">
        <v>14</v>
      </c>
      <c r="D489" s="172" t="s">
        <v>15</v>
      </c>
      <c r="E489" s="173">
        <v>42325</v>
      </c>
      <c r="F489" s="174">
        <v>63.120455999999997</v>
      </c>
      <c r="G489" s="175" t="s">
        <v>19</v>
      </c>
      <c r="H489" s="172" t="s">
        <v>20</v>
      </c>
      <c r="I489" s="175">
        <v>1</v>
      </c>
      <c r="J489" s="175" t="s">
        <v>18</v>
      </c>
      <c r="K489" s="175" t="s">
        <v>74</v>
      </c>
      <c r="L489" s="172" t="s">
        <v>75</v>
      </c>
    </row>
    <row r="490" spans="1:12" x14ac:dyDescent="0.2">
      <c r="A490" s="172" t="s">
        <v>72</v>
      </c>
      <c r="B490" s="172" t="s">
        <v>73</v>
      </c>
      <c r="C490" s="172" t="s">
        <v>14</v>
      </c>
      <c r="D490" s="172" t="s">
        <v>15</v>
      </c>
      <c r="E490" s="173">
        <v>42319</v>
      </c>
      <c r="F490" s="174">
        <v>19.399999999999999</v>
      </c>
      <c r="G490" s="175" t="s">
        <v>16</v>
      </c>
      <c r="H490" s="172" t="s">
        <v>17</v>
      </c>
      <c r="I490" s="175">
        <v>1</v>
      </c>
      <c r="J490" s="175" t="s">
        <v>18</v>
      </c>
      <c r="K490" s="175" t="s">
        <v>74</v>
      </c>
      <c r="L490" s="172" t="s">
        <v>75</v>
      </c>
    </row>
    <row r="491" spans="1:12" x14ac:dyDescent="0.2">
      <c r="A491" s="172" t="s">
        <v>72</v>
      </c>
      <c r="B491" s="172" t="s">
        <v>73</v>
      </c>
      <c r="C491" s="172" t="s">
        <v>14</v>
      </c>
      <c r="D491" s="172" t="s">
        <v>15</v>
      </c>
      <c r="E491" s="173">
        <v>42319</v>
      </c>
      <c r="F491" s="174">
        <v>77.176692000000003</v>
      </c>
      <c r="G491" s="175" t="s">
        <v>19</v>
      </c>
      <c r="H491" s="172" t="s">
        <v>17</v>
      </c>
      <c r="I491" s="175">
        <v>1</v>
      </c>
      <c r="J491" s="175" t="s">
        <v>18</v>
      </c>
      <c r="K491" s="175" t="s">
        <v>74</v>
      </c>
      <c r="L491" s="172" t="s">
        <v>75</v>
      </c>
    </row>
    <row r="492" spans="1:12" x14ac:dyDescent="0.2">
      <c r="A492" s="172" t="s">
        <v>72</v>
      </c>
      <c r="B492" s="172" t="s">
        <v>73</v>
      </c>
      <c r="C492" s="172" t="s">
        <v>14</v>
      </c>
      <c r="D492" s="172" t="s">
        <v>15</v>
      </c>
      <c r="E492" s="173">
        <v>42319</v>
      </c>
      <c r="F492" s="174">
        <v>13.3</v>
      </c>
      <c r="G492" s="175" t="s">
        <v>16</v>
      </c>
      <c r="H492" s="172" t="s">
        <v>20</v>
      </c>
      <c r="I492" s="175">
        <v>1</v>
      </c>
      <c r="J492" s="175" t="s">
        <v>18</v>
      </c>
      <c r="K492" s="175" t="s">
        <v>74</v>
      </c>
      <c r="L492" s="172" t="s">
        <v>75</v>
      </c>
    </row>
    <row r="493" spans="1:12" x14ac:dyDescent="0.2">
      <c r="A493" s="172" t="s">
        <v>72</v>
      </c>
      <c r="B493" s="172" t="s">
        <v>73</v>
      </c>
      <c r="C493" s="172" t="s">
        <v>14</v>
      </c>
      <c r="D493" s="172" t="s">
        <v>15</v>
      </c>
      <c r="E493" s="173">
        <v>42319</v>
      </c>
      <c r="F493" s="174">
        <v>68.549796000000001</v>
      </c>
      <c r="G493" s="175" t="s">
        <v>19</v>
      </c>
      <c r="H493" s="172" t="s">
        <v>20</v>
      </c>
      <c r="I493" s="175">
        <v>1</v>
      </c>
      <c r="J493" s="175" t="s">
        <v>18</v>
      </c>
      <c r="K493" s="175" t="s">
        <v>74</v>
      </c>
      <c r="L493" s="172" t="s">
        <v>75</v>
      </c>
    </row>
    <row r="494" spans="1:12" x14ac:dyDescent="0.2">
      <c r="A494" s="172" t="s">
        <v>72</v>
      </c>
      <c r="B494" s="172" t="s">
        <v>73</v>
      </c>
      <c r="C494" s="172" t="s">
        <v>14</v>
      </c>
      <c r="D494" s="172" t="s">
        <v>15</v>
      </c>
      <c r="E494" s="173">
        <v>42312</v>
      </c>
      <c r="F494" s="174">
        <v>20</v>
      </c>
      <c r="G494" s="175" t="s">
        <v>16</v>
      </c>
      <c r="H494" s="172" t="s">
        <v>17</v>
      </c>
      <c r="I494" s="175">
        <v>1</v>
      </c>
      <c r="J494" s="175" t="s">
        <v>18</v>
      </c>
      <c r="K494" s="175" t="s">
        <v>74</v>
      </c>
      <c r="L494" s="172" t="s">
        <v>75</v>
      </c>
    </row>
    <row r="495" spans="1:12" x14ac:dyDescent="0.2">
      <c r="A495" s="172" t="s">
        <v>72</v>
      </c>
      <c r="B495" s="172" t="s">
        <v>73</v>
      </c>
      <c r="C495" s="172" t="s">
        <v>14</v>
      </c>
      <c r="D495" s="172" t="s">
        <v>15</v>
      </c>
      <c r="E495" s="173">
        <v>42312</v>
      </c>
      <c r="F495" s="174">
        <v>83.900400000000005</v>
      </c>
      <c r="G495" s="175" t="s">
        <v>19</v>
      </c>
      <c r="H495" s="172" t="s">
        <v>17</v>
      </c>
      <c r="I495" s="175">
        <v>1</v>
      </c>
      <c r="J495" s="175" t="s">
        <v>18</v>
      </c>
      <c r="K495" s="175" t="s">
        <v>74</v>
      </c>
      <c r="L495" s="172" t="s">
        <v>75</v>
      </c>
    </row>
    <row r="496" spans="1:12" x14ac:dyDescent="0.2">
      <c r="A496" s="172" t="s">
        <v>72</v>
      </c>
      <c r="B496" s="172" t="s">
        <v>73</v>
      </c>
      <c r="C496" s="172" t="s">
        <v>14</v>
      </c>
      <c r="D496" s="172" t="s">
        <v>15</v>
      </c>
      <c r="E496" s="173">
        <v>42312</v>
      </c>
      <c r="F496" s="174">
        <v>11.4</v>
      </c>
      <c r="G496" s="175" t="s">
        <v>16</v>
      </c>
      <c r="H496" s="172" t="s">
        <v>20</v>
      </c>
      <c r="I496" s="175">
        <v>1</v>
      </c>
      <c r="J496" s="175" t="s">
        <v>18</v>
      </c>
      <c r="K496" s="175" t="s">
        <v>74</v>
      </c>
      <c r="L496" s="172" t="s">
        <v>75</v>
      </c>
    </row>
    <row r="497" spans="1:12" x14ac:dyDescent="0.2">
      <c r="A497" s="172" t="s">
        <v>72</v>
      </c>
      <c r="B497" s="172" t="s">
        <v>73</v>
      </c>
      <c r="C497" s="172" t="s">
        <v>14</v>
      </c>
      <c r="D497" s="172" t="s">
        <v>15</v>
      </c>
      <c r="E497" s="173">
        <v>42312</v>
      </c>
      <c r="F497" s="174">
        <v>61.324019999999997</v>
      </c>
      <c r="G497" s="175" t="s">
        <v>19</v>
      </c>
      <c r="H497" s="172" t="s">
        <v>20</v>
      </c>
      <c r="I497" s="175">
        <v>1</v>
      </c>
      <c r="J497" s="175" t="s">
        <v>18</v>
      </c>
      <c r="K497" s="175" t="s">
        <v>74</v>
      </c>
      <c r="L497" s="172" t="s">
        <v>75</v>
      </c>
    </row>
    <row r="498" spans="1:12" x14ac:dyDescent="0.2">
      <c r="A498" s="172" t="s">
        <v>72</v>
      </c>
      <c r="B498" s="172" t="s">
        <v>73</v>
      </c>
      <c r="C498" s="172" t="s">
        <v>14</v>
      </c>
      <c r="D498" s="172" t="s">
        <v>15</v>
      </c>
      <c r="E498" s="173">
        <v>42304</v>
      </c>
      <c r="F498" s="174">
        <v>19.3</v>
      </c>
      <c r="G498" s="175" t="s">
        <v>16</v>
      </c>
      <c r="H498" s="172" t="s">
        <v>17</v>
      </c>
      <c r="I498" s="175">
        <v>1</v>
      </c>
      <c r="J498" s="175" t="s">
        <v>18</v>
      </c>
      <c r="K498" s="175" t="s">
        <v>74</v>
      </c>
      <c r="L498" s="172" t="s">
        <v>75</v>
      </c>
    </row>
    <row r="499" spans="1:12" x14ac:dyDescent="0.2">
      <c r="A499" s="172" t="s">
        <v>72</v>
      </c>
      <c r="B499" s="172" t="s">
        <v>73</v>
      </c>
      <c r="C499" s="172" t="s">
        <v>14</v>
      </c>
      <c r="D499" s="172" t="s">
        <v>15</v>
      </c>
      <c r="E499" s="173">
        <v>42304</v>
      </c>
      <c r="F499" s="174">
        <v>76.295987999999994</v>
      </c>
      <c r="G499" s="175" t="s">
        <v>19</v>
      </c>
      <c r="H499" s="172" t="s">
        <v>17</v>
      </c>
      <c r="I499" s="175">
        <v>1</v>
      </c>
      <c r="J499" s="175" t="s">
        <v>18</v>
      </c>
      <c r="K499" s="175" t="s">
        <v>74</v>
      </c>
      <c r="L499" s="172" t="s">
        <v>75</v>
      </c>
    </row>
    <row r="500" spans="1:12" x14ac:dyDescent="0.2">
      <c r="A500" s="172" t="s">
        <v>72</v>
      </c>
      <c r="B500" s="172" t="s">
        <v>73</v>
      </c>
      <c r="C500" s="172" t="s">
        <v>14</v>
      </c>
      <c r="D500" s="172" t="s">
        <v>15</v>
      </c>
      <c r="E500" s="173">
        <v>42304</v>
      </c>
      <c r="F500" s="174">
        <v>16.100000000000001</v>
      </c>
      <c r="G500" s="175" t="s">
        <v>16</v>
      </c>
      <c r="H500" s="172" t="s">
        <v>20</v>
      </c>
      <c r="I500" s="175">
        <v>1</v>
      </c>
      <c r="J500" s="175" t="s">
        <v>18</v>
      </c>
      <c r="K500" s="175" t="s">
        <v>74</v>
      </c>
      <c r="L500" s="172" t="s">
        <v>75</v>
      </c>
    </row>
    <row r="501" spans="1:12" x14ac:dyDescent="0.2">
      <c r="A501" s="172" t="s">
        <v>72</v>
      </c>
      <c r="B501" s="172" t="s">
        <v>73</v>
      </c>
      <c r="C501" s="172" t="s">
        <v>14</v>
      </c>
      <c r="D501" s="172" t="s">
        <v>15</v>
      </c>
      <c r="E501" s="173">
        <v>42304</v>
      </c>
      <c r="F501" s="174">
        <v>86.069633999999994</v>
      </c>
      <c r="G501" s="175" t="s">
        <v>19</v>
      </c>
      <c r="H501" s="172" t="s">
        <v>20</v>
      </c>
      <c r="I501" s="175">
        <v>1</v>
      </c>
      <c r="J501" s="175" t="s">
        <v>18</v>
      </c>
      <c r="K501" s="175" t="s">
        <v>74</v>
      </c>
      <c r="L501" s="172" t="s">
        <v>75</v>
      </c>
    </row>
    <row r="502" spans="1:12" x14ac:dyDescent="0.2">
      <c r="A502" s="172" t="s">
        <v>72</v>
      </c>
      <c r="B502" s="172" t="s">
        <v>73</v>
      </c>
      <c r="C502" s="172" t="s">
        <v>14</v>
      </c>
      <c r="D502" s="172" t="s">
        <v>15</v>
      </c>
      <c r="E502" s="173">
        <v>42298</v>
      </c>
      <c r="F502" s="174">
        <v>16.100000000000001</v>
      </c>
      <c r="G502" s="175" t="s">
        <v>16</v>
      </c>
      <c r="H502" s="172" t="s">
        <v>17</v>
      </c>
      <c r="I502" s="175">
        <v>1</v>
      </c>
      <c r="J502" s="175" t="s">
        <v>18</v>
      </c>
      <c r="K502" s="175" t="s">
        <v>74</v>
      </c>
      <c r="L502" s="172" t="s">
        <v>75</v>
      </c>
    </row>
    <row r="503" spans="1:12" x14ac:dyDescent="0.2">
      <c r="A503" s="172" t="s">
        <v>72</v>
      </c>
      <c r="B503" s="172" t="s">
        <v>73</v>
      </c>
      <c r="C503" s="172" t="s">
        <v>14</v>
      </c>
      <c r="D503" s="172" t="s">
        <v>15</v>
      </c>
      <c r="E503" s="173">
        <v>42298</v>
      </c>
      <c r="F503" s="174">
        <v>65.257164000000003</v>
      </c>
      <c r="G503" s="175" t="s">
        <v>19</v>
      </c>
      <c r="H503" s="172" t="s">
        <v>17</v>
      </c>
      <c r="I503" s="175">
        <v>1</v>
      </c>
      <c r="J503" s="175" t="s">
        <v>18</v>
      </c>
      <c r="K503" s="175" t="s">
        <v>74</v>
      </c>
      <c r="L503" s="172" t="s">
        <v>75</v>
      </c>
    </row>
    <row r="504" spans="1:12" x14ac:dyDescent="0.2">
      <c r="A504" s="172" t="s">
        <v>72</v>
      </c>
      <c r="B504" s="172" t="s">
        <v>73</v>
      </c>
      <c r="C504" s="172" t="s">
        <v>14</v>
      </c>
      <c r="D504" s="172" t="s">
        <v>15</v>
      </c>
      <c r="E504" s="173">
        <v>42298</v>
      </c>
      <c r="F504" s="174">
        <v>11.3</v>
      </c>
      <c r="G504" s="175" t="s">
        <v>16</v>
      </c>
      <c r="H504" s="172" t="s">
        <v>20</v>
      </c>
      <c r="I504" s="175">
        <v>1</v>
      </c>
      <c r="J504" s="175" t="s">
        <v>18</v>
      </c>
      <c r="K504" s="175" t="s">
        <v>74</v>
      </c>
      <c r="L504" s="172" t="s">
        <v>75</v>
      </c>
    </row>
    <row r="505" spans="1:12" x14ac:dyDescent="0.2">
      <c r="A505" s="172" t="s">
        <v>72</v>
      </c>
      <c r="B505" s="172" t="s">
        <v>73</v>
      </c>
      <c r="C505" s="172" t="s">
        <v>14</v>
      </c>
      <c r="D505" s="172" t="s">
        <v>15</v>
      </c>
      <c r="E505" s="173">
        <v>42298</v>
      </c>
      <c r="F505" s="174">
        <v>58.807008000000003</v>
      </c>
      <c r="G505" s="175" t="s">
        <v>19</v>
      </c>
      <c r="H505" s="172" t="s">
        <v>20</v>
      </c>
      <c r="I505" s="175">
        <v>1</v>
      </c>
      <c r="J505" s="175" t="s">
        <v>18</v>
      </c>
      <c r="K505" s="175" t="s">
        <v>74</v>
      </c>
      <c r="L505" s="172" t="s">
        <v>75</v>
      </c>
    </row>
    <row r="506" spans="1:12" x14ac:dyDescent="0.2">
      <c r="A506" s="172" t="s">
        <v>72</v>
      </c>
      <c r="B506" s="172" t="s">
        <v>73</v>
      </c>
      <c r="C506" s="172" t="s">
        <v>14</v>
      </c>
      <c r="D506" s="172" t="s">
        <v>15</v>
      </c>
      <c r="E506" s="173">
        <v>42291</v>
      </c>
      <c r="F506" s="174">
        <v>17.899999999999999</v>
      </c>
      <c r="G506" s="175" t="s">
        <v>16</v>
      </c>
      <c r="H506" s="172" t="s">
        <v>17</v>
      </c>
      <c r="I506" s="175">
        <v>1</v>
      </c>
      <c r="J506" s="175" t="s">
        <v>18</v>
      </c>
      <c r="K506" s="175" t="s">
        <v>74</v>
      </c>
      <c r="L506" s="172" t="s">
        <v>75</v>
      </c>
    </row>
    <row r="507" spans="1:12" x14ac:dyDescent="0.2">
      <c r="A507" s="172" t="s">
        <v>72</v>
      </c>
      <c r="B507" s="172" t="s">
        <v>73</v>
      </c>
      <c r="C507" s="172" t="s">
        <v>14</v>
      </c>
      <c r="D507" s="172" t="s">
        <v>15</v>
      </c>
      <c r="E507" s="173">
        <v>42291</v>
      </c>
      <c r="F507" s="174">
        <v>76.583718000000005</v>
      </c>
      <c r="G507" s="175" t="s">
        <v>19</v>
      </c>
      <c r="H507" s="172" t="s">
        <v>17</v>
      </c>
      <c r="I507" s="175">
        <v>1</v>
      </c>
      <c r="J507" s="175" t="s">
        <v>18</v>
      </c>
      <c r="K507" s="175" t="s">
        <v>74</v>
      </c>
      <c r="L507" s="172" t="s">
        <v>75</v>
      </c>
    </row>
    <row r="508" spans="1:12" x14ac:dyDescent="0.2">
      <c r="A508" s="172" t="s">
        <v>72</v>
      </c>
      <c r="B508" s="172" t="s">
        <v>73</v>
      </c>
      <c r="C508" s="172" t="s">
        <v>14</v>
      </c>
      <c r="D508" s="172" t="s">
        <v>15</v>
      </c>
      <c r="E508" s="173">
        <v>42291</v>
      </c>
      <c r="F508" s="174">
        <v>11.6</v>
      </c>
      <c r="G508" s="175" t="s">
        <v>16</v>
      </c>
      <c r="H508" s="172" t="s">
        <v>20</v>
      </c>
      <c r="I508" s="175">
        <v>1</v>
      </c>
      <c r="J508" s="175" t="s">
        <v>18</v>
      </c>
      <c r="K508" s="175" t="s">
        <v>74</v>
      </c>
      <c r="L508" s="172" t="s">
        <v>75</v>
      </c>
    </row>
    <row r="509" spans="1:12" x14ac:dyDescent="0.2">
      <c r="A509" s="172" t="s">
        <v>72</v>
      </c>
      <c r="B509" s="172" t="s">
        <v>73</v>
      </c>
      <c r="C509" s="172" t="s">
        <v>14</v>
      </c>
      <c r="D509" s="172" t="s">
        <v>15</v>
      </c>
      <c r="E509" s="173">
        <v>42291</v>
      </c>
      <c r="F509" s="174">
        <v>62.012903999999999</v>
      </c>
      <c r="G509" s="175" t="s">
        <v>19</v>
      </c>
      <c r="H509" s="172" t="s">
        <v>20</v>
      </c>
      <c r="I509" s="175">
        <v>1</v>
      </c>
      <c r="J509" s="175" t="s">
        <v>18</v>
      </c>
      <c r="K509" s="175" t="s">
        <v>74</v>
      </c>
      <c r="L509" s="172" t="s">
        <v>75</v>
      </c>
    </row>
    <row r="510" spans="1:12" x14ac:dyDescent="0.2">
      <c r="A510" s="172" t="s">
        <v>72</v>
      </c>
      <c r="B510" s="172" t="s">
        <v>73</v>
      </c>
      <c r="C510" s="172" t="s">
        <v>14</v>
      </c>
      <c r="D510" s="172" t="s">
        <v>15</v>
      </c>
      <c r="E510" s="173">
        <v>42284</v>
      </c>
      <c r="F510" s="174">
        <v>18.8</v>
      </c>
      <c r="G510" s="175" t="s">
        <v>16</v>
      </c>
      <c r="H510" s="172" t="s">
        <v>17</v>
      </c>
      <c r="I510" s="175">
        <v>1</v>
      </c>
      <c r="J510" s="175" t="s">
        <v>18</v>
      </c>
      <c r="K510" s="175" t="s">
        <v>74</v>
      </c>
      <c r="L510" s="172" t="s">
        <v>75</v>
      </c>
    </row>
    <row r="511" spans="1:12" x14ac:dyDescent="0.2">
      <c r="A511" s="172" t="s">
        <v>72</v>
      </c>
      <c r="B511" s="172" t="s">
        <v>73</v>
      </c>
      <c r="C511" s="172" t="s">
        <v>14</v>
      </c>
      <c r="D511" s="172" t="s">
        <v>15</v>
      </c>
      <c r="E511" s="173">
        <v>42284</v>
      </c>
      <c r="F511" s="174">
        <v>80.591087999999999</v>
      </c>
      <c r="G511" s="175" t="s">
        <v>19</v>
      </c>
      <c r="H511" s="172" t="s">
        <v>17</v>
      </c>
      <c r="I511" s="175">
        <v>1</v>
      </c>
      <c r="J511" s="175" t="s">
        <v>18</v>
      </c>
      <c r="K511" s="175" t="s">
        <v>74</v>
      </c>
      <c r="L511" s="172" t="s">
        <v>75</v>
      </c>
    </row>
    <row r="512" spans="1:12" x14ac:dyDescent="0.2">
      <c r="A512" s="172" t="s">
        <v>72</v>
      </c>
      <c r="B512" s="172" t="s">
        <v>73</v>
      </c>
      <c r="C512" s="172" t="s">
        <v>14</v>
      </c>
      <c r="D512" s="172" t="s">
        <v>15</v>
      </c>
      <c r="E512" s="173">
        <v>42284</v>
      </c>
      <c r="F512" s="174">
        <v>15.4</v>
      </c>
      <c r="G512" s="175" t="s">
        <v>16</v>
      </c>
      <c r="H512" s="172" t="s">
        <v>20</v>
      </c>
      <c r="I512" s="175">
        <v>1</v>
      </c>
      <c r="J512" s="175" t="s">
        <v>18</v>
      </c>
      <c r="K512" s="175" t="s">
        <v>74</v>
      </c>
      <c r="L512" s="172" t="s">
        <v>75</v>
      </c>
    </row>
    <row r="513" spans="1:13" x14ac:dyDescent="0.2">
      <c r="A513" s="172" t="s">
        <v>72</v>
      </c>
      <c r="B513" s="172" t="s">
        <v>73</v>
      </c>
      <c r="C513" s="172" t="s">
        <v>14</v>
      </c>
      <c r="D513" s="172" t="s">
        <v>15</v>
      </c>
      <c r="E513" s="173">
        <v>42284</v>
      </c>
      <c r="F513" s="174">
        <v>82.712783999999999</v>
      </c>
      <c r="G513" s="175" t="s">
        <v>19</v>
      </c>
      <c r="H513" s="172" t="s">
        <v>20</v>
      </c>
      <c r="I513" s="175">
        <v>1</v>
      </c>
      <c r="J513" s="175" t="s">
        <v>18</v>
      </c>
      <c r="K513" s="175" t="s">
        <v>74</v>
      </c>
      <c r="L513" s="172" t="s">
        <v>75</v>
      </c>
    </row>
    <row r="514" spans="1:13" x14ac:dyDescent="0.2">
      <c r="A514" s="172" t="s">
        <v>72</v>
      </c>
      <c r="B514" s="172" t="s">
        <v>73</v>
      </c>
      <c r="C514" s="172" t="s">
        <v>21</v>
      </c>
      <c r="D514" s="172" t="s">
        <v>15</v>
      </c>
      <c r="E514" s="173">
        <v>43214</v>
      </c>
      <c r="F514" s="174">
        <v>0.186</v>
      </c>
      <c r="G514" s="175" t="s">
        <v>16</v>
      </c>
      <c r="H514" s="172" t="s">
        <v>17</v>
      </c>
      <c r="I514" s="175">
        <v>1</v>
      </c>
      <c r="J514" s="175" t="s">
        <v>18</v>
      </c>
      <c r="K514" s="175" t="s">
        <v>74</v>
      </c>
      <c r="L514" s="172" t="s">
        <v>75</v>
      </c>
      <c r="M514" s="172" t="s">
        <v>17</v>
      </c>
    </row>
    <row r="515" spans="1:13" x14ac:dyDescent="0.2">
      <c r="A515" s="172" t="s">
        <v>72</v>
      </c>
      <c r="B515" s="172" t="s">
        <v>73</v>
      </c>
      <c r="C515" s="172" t="s">
        <v>21</v>
      </c>
      <c r="D515" s="172" t="s">
        <v>15</v>
      </c>
      <c r="E515" s="173">
        <v>43214</v>
      </c>
      <c r="F515" s="174">
        <v>3.0543914999999999</v>
      </c>
      <c r="G515" s="175" t="s">
        <v>19</v>
      </c>
      <c r="H515" s="172" t="s">
        <v>17</v>
      </c>
      <c r="I515" s="175">
        <v>1</v>
      </c>
      <c r="J515" s="175" t="s">
        <v>18</v>
      </c>
      <c r="K515" s="175" t="s">
        <v>74</v>
      </c>
      <c r="L515" s="172" t="s">
        <v>75</v>
      </c>
      <c r="M515" s="172" t="s">
        <v>17</v>
      </c>
    </row>
    <row r="516" spans="1:13" x14ac:dyDescent="0.2">
      <c r="A516" s="172" t="s">
        <v>72</v>
      </c>
      <c r="B516" s="172" t="s">
        <v>73</v>
      </c>
      <c r="C516" s="172" t="s">
        <v>21</v>
      </c>
      <c r="D516" s="172" t="s">
        <v>15</v>
      </c>
      <c r="E516" s="173">
        <v>43214</v>
      </c>
      <c r="F516" s="174">
        <v>0.36</v>
      </c>
      <c r="G516" s="175" t="s">
        <v>16</v>
      </c>
      <c r="H516" s="172" t="s">
        <v>20</v>
      </c>
      <c r="I516" s="175">
        <v>1</v>
      </c>
      <c r="J516" s="175" t="s">
        <v>18</v>
      </c>
      <c r="K516" s="175" t="s">
        <v>74</v>
      </c>
      <c r="L516" s="172" t="s">
        <v>75</v>
      </c>
      <c r="M516" s="172" t="s">
        <v>76</v>
      </c>
    </row>
    <row r="517" spans="1:13" x14ac:dyDescent="0.2">
      <c r="A517" s="172" t="s">
        <v>72</v>
      </c>
      <c r="B517" s="172" t="s">
        <v>73</v>
      </c>
      <c r="C517" s="172" t="s">
        <v>21</v>
      </c>
      <c r="D517" s="172" t="s">
        <v>15</v>
      </c>
      <c r="E517" s="173">
        <v>43214</v>
      </c>
      <c r="F517" s="174">
        <v>7.5840623999999996</v>
      </c>
      <c r="G517" s="175" t="s">
        <v>19</v>
      </c>
      <c r="H517" s="172" t="s">
        <v>20</v>
      </c>
      <c r="I517" s="175">
        <v>1</v>
      </c>
      <c r="J517" s="175" t="s">
        <v>18</v>
      </c>
      <c r="K517" s="175" t="s">
        <v>74</v>
      </c>
      <c r="L517" s="172" t="s">
        <v>75</v>
      </c>
      <c r="M517" s="172" t="s">
        <v>76</v>
      </c>
    </row>
    <row r="518" spans="1:13" x14ac:dyDescent="0.2">
      <c r="A518" s="172" t="s">
        <v>72</v>
      </c>
      <c r="B518" s="172" t="s">
        <v>73</v>
      </c>
      <c r="C518" s="172" t="s">
        <v>21</v>
      </c>
      <c r="D518" s="172" t="s">
        <v>15</v>
      </c>
      <c r="E518" s="173">
        <v>43207</v>
      </c>
      <c r="F518" s="174">
        <v>0.24</v>
      </c>
      <c r="G518" s="175" t="s">
        <v>16</v>
      </c>
      <c r="H518" s="172" t="s">
        <v>17</v>
      </c>
      <c r="I518" s="175">
        <v>1</v>
      </c>
      <c r="J518" s="175" t="s">
        <v>18</v>
      </c>
      <c r="K518" s="175" t="s">
        <v>74</v>
      </c>
      <c r="L518" s="172" t="s">
        <v>75</v>
      </c>
      <c r="M518" s="172" t="s">
        <v>17</v>
      </c>
    </row>
    <row r="519" spans="1:13" x14ac:dyDescent="0.2">
      <c r="A519" s="172" t="s">
        <v>72</v>
      </c>
      <c r="B519" s="172" t="s">
        <v>73</v>
      </c>
      <c r="C519" s="172" t="s">
        <v>21</v>
      </c>
      <c r="D519" s="172" t="s">
        <v>15</v>
      </c>
      <c r="E519" s="173">
        <v>43207</v>
      </c>
      <c r="F519" s="174">
        <v>5.8867056</v>
      </c>
      <c r="G519" s="175" t="s">
        <v>19</v>
      </c>
      <c r="H519" s="172" t="s">
        <v>17</v>
      </c>
      <c r="I519" s="175">
        <v>1</v>
      </c>
      <c r="J519" s="175" t="s">
        <v>18</v>
      </c>
      <c r="K519" s="175" t="s">
        <v>74</v>
      </c>
      <c r="L519" s="172" t="s">
        <v>75</v>
      </c>
      <c r="M519" s="172" t="s">
        <v>17</v>
      </c>
    </row>
    <row r="520" spans="1:13" x14ac:dyDescent="0.2">
      <c r="A520" s="172" t="s">
        <v>72</v>
      </c>
      <c r="B520" s="172" t="s">
        <v>73</v>
      </c>
      <c r="C520" s="172" t="s">
        <v>21</v>
      </c>
      <c r="D520" s="172" t="s">
        <v>15</v>
      </c>
      <c r="E520" s="173">
        <v>43207</v>
      </c>
      <c r="F520" s="174">
        <v>0.20799999999999999</v>
      </c>
      <c r="G520" s="175" t="s">
        <v>16</v>
      </c>
      <c r="H520" s="172" t="s">
        <v>20</v>
      </c>
      <c r="I520" s="175">
        <v>1</v>
      </c>
      <c r="J520" s="175" t="s">
        <v>18</v>
      </c>
      <c r="K520" s="175" t="s">
        <v>74</v>
      </c>
      <c r="L520" s="172" t="s">
        <v>75</v>
      </c>
      <c r="M520" s="172" t="s">
        <v>76</v>
      </c>
    </row>
    <row r="521" spans="1:13" x14ac:dyDescent="0.2">
      <c r="A521" s="172" t="s">
        <v>72</v>
      </c>
      <c r="B521" s="172" t="s">
        <v>73</v>
      </c>
      <c r="C521" s="172" t="s">
        <v>21</v>
      </c>
      <c r="D521" s="172" t="s">
        <v>15</v>
      </c>
      <c r="E521" s="173">
        <v>43207</v>
      </c>
      <c r="F521" s="174">
        <v>5.2249765999999997</v>
      </c>
      <c r="G521" s="175" t="s">
        <v>19</v>
      </c>
      <c r="H521" s="172" t="s">
        <v>20</v>
      </c>
      <c r="I521" s="175">
        <v>1</v>
      </c>
      <c r="J521" s="175" t="s">
        <v>18</v>
      </c>
      <c r="K521" s="175" t="s">
        <v>74</v>
      </c>
      <c r="L521" s="172" t="s">
        <v>75</v>
      </c>
      <c r="M521" s="172" t="s">
        <v>76</v>
      </c>
    </row>
    <row r="522" spans="1:13" x14ac:dyDescent="0.2">
      <c r="A522" s="172" t="s">
        <v>72</v>
      </c>
      <c r="B522" s="172" t="s">
        <v>73</v>
      </c>
      <c r="C522" s="172" t="s">
        <v>21</v>
      </c>
      <c r="D522" s="172" t="s">
        <v>15</v>
      </c>
      <c r="E522" s="173">
        <v>43200</v>
      </c>
      <c r="F522" s="174">
        <v>1.675</v>
      </c>
      <c r="G522" s="175" t="s">
        <v>16</v>
      </c>
      <c r="H522" s="172" t="s">
        <v>17</v>
      </c>
      <c r="I522" s="175">
        <v>1</v>
      </c>
      <c r="J522" s="175" t="s">
        <v>18</v>
      </c>
      <c r="K522" s="175" t="s">
        <v>74</v>
      </c>
      <c r="L522" s="172" t="s">
        <v>75</v>
      </c>
      <c r="M522" s="172" t="s">
        <v>17</v>
      </c>
    </row>
    <row r="523" spans="1:13" x14ac:dyDescent="0.2">
      <c r="A523" s="172" t="s">
        <v>72</v>
      </c>
      <c r="B523" s="172" t="s">
        <v>73</v>
      </c>
      <c r="C523" s="172" t="s">
        <v>21</v>
      </c>
      <c r="D523" s="172" t="s">
        <v>15</v>
      </c>
      <c r="E523" s="173">
        <v>43200</v>
      </c>
      <c r="F523" s="174">
        <v>15.017212499999999</v>
      </c>
      <c r="G523" s="175" t="s">
        <v>19</v>
      </c>
      <c r="H523" s="172" t="s">
        <v>17</v>
      </c>
      <c r="I523" s="175">
        <v>1</v>
      </c>
      <c r="J523" s="175" t="s">
        <v>18</v>
      </c>
      <c r="K523" s="175" t="s">
        <v>74</v>
      </c>
      <c r="L523" s="172" t="s">
        <v>75</v>
      </c>
      <c r="M523" s="172" t="s">
        <v>17</v>
      </c>
    </row>
    <row r="524" spans="1:13" x14ac:dyDescent="0.2">
      <c r="A524" s="172" t="s">
        <v>72</v>
      </c>
      <c r="B524" s="172" t="s">
        <v>73</v>
      </c>
      <c r="C524" s="172" t="s">
        <v>21</v>
      </c>
      <c r="D524" s="172" t="s">
        <v>15</v>
      </c>
      <c r="E524" s="173">
        <v>43200</v>
      </c>
      <c r="F524" s="174">
        <v>1.7629999999999999</v>
      </c>
      <c r="G524" s="175" t="s">
        <v>16</v>
      </c>
      <c r="H524" s="172" t="s">
        <v>20</v>
      </c>
      <c r="I524" s="175">
        <v>1</v>
      </c>
      <c r="J524" s="175" t="s">
        <v>18</v>
      </c>
      <c r="K524" s="175" t="s">
        <v>74</v>
      </c>
      <c r="L524" s="172" t="s">
        <v>75</v>
      </c>
      <c r="M524" s="172" t="s">
        <v>76</v>
      </c>
    </row>
    <row r="525" spans="1:13" x14ac:dyDescent="0.2">
      <c r="A525" s="172" t="s">
        <v>72</v>
      </c>
      <c r="B525" s="172" t="s">
        <v>73</v>
      </c>
      <c r="C525" s="172" t="s">
        <v>21</v>
      </c>
      <c r="D525" s="172" t="s">
        <v>15</v>
      </c>
      <c r="E525" s="173">
        <v>43200</v>
      </c>
      <c r="F525" s="174">
        <v>20.996483699999999</v>
      </c>
      <c r="G525" s="175" t="s">
        <v>19</v>
      </c>
      <c r="H525" s="172" t="s">
        <v>20</v>
      </c>
      <c r="I525" s="175">
        <v>1</v>
      </c>
      <c r="J525" s="175" t="s">
        <v>18</v>
      </c>
      <c r="K525" s="175" t="s">
        <v>74</v>
      </c>
      <c r="L525" s="172" t="s">
        <v>75</v>
      </c>
      <c r="M525" s="172" t="s">
        <v>76</v>
      </c>
    </row>
    <row r="526" spans="1:13" x14ac:dyDescent="0.2">
      <c r="A526" s="172" t="s">
        <v>72</v>
      </c>
      <c r="B526" s="172" t="s">
        <v>73</v>
      </c>
      <c r="C526" s="172" t="s">
        <v>21</v>
      </c>
      <c r="D526" s="172" t="s">
        <v>15</v>
      </c>
      <c r="E526" s="173">
        <v>43193</v>
      </c>
      <c r="F526" s="177">
        <v>0.627</v>
      </c>
      <c r="G526" s="175" t="s">
        <v>16</v>
      </c>
      <c r="H526" s="172" t="s">
        <v>17</v>
      </c>
      <c r="I526" s="175">
        <v>1</v>
      </c>
      <c r="J526" s="175" t="s">
        <v>18</v>
      </c>
      <c r="K526" s="175" t="s">
        <v>74</v>
      </c>
      <c r="L526" s="172" t="s">
        <v>75</v>
      </c>
      <c r="M526" s="172" t="s">
        <v>17</v>
      </c>
    </row>
    <row r="527" spans="1:13" x14ac:dyDescent="0.2">
      <c r="A527" s="172" t="s">
        <v>72</v>
      </c>
      <c r="B527" s="172" t="s">
        <v>73</v>
      </c>
      <c r="C527" s="172" t="s">
        <v>21</v>
      </c>
      <c r="D527" s="172" t="s">
        <v>15</v>
      </c>
      <c r="E527" s="173">
        <v>43193</v>
      </c>
      <c r="F527" s="177">
        <v>7.1587474000000002</v>
      </c>
      <c r="G527" s="175" t="s">
        <v>19</v>
      </c>
      <c r="H527" s="172" t="s">
        <v>17</v>
      </c>
      <c r="I527" s="175">
        <v>1</v>
      </c>
      <c r="J527" s="175" t="s">
        <v>18</v>
      </c>
      <c r="K527" s="175" t="s">
        <v>74</v>
      </c>
      <c r="L527" s="172" t="s">
        <v>75</v>
      </c>
      <c r="M527" s="172" t="s">
        <v>17</v>
      </c>
    </row>
    <row r="528" spans="1:13" x14ac:dyDescent="0.2">
      <c r="A528" s="172" t="s">
        <v>72</v>
      </c>
      <c r="B528" s="172" t="s">
        <v>73</v>
      </c>
      <c r="C528" s="172" t="s">
        <v>21</v>
      </c>
      <c r="D528" s="172" t="s">
        <v>15</v>
      </c>
      <c r="E528" s="173">
        <v>43193</v>
      </c>
      <c r="F528" s="177">
        <v>2.63</v>
      </c>
      <c r="G528" s="175" t="s">
        <v>16</v>
      </c>
      <c r="H528" s="172" t="s">
        <v>20</v>
      </c>
      <c r="I528" s="175">
        <v>1</v>
      </c>
      <c r="J528" s="175" t="s">
        <v>18</v>
      </c>
      <c r="K528" s="175" t="s">
        <v>74</v>
      </c>
      <c r="L528" s="172" t="s">
        <v>75</v>
      </c>
      <c r="M528" s="172" t="s">
        <v>76</v>
      </c>
    </row>
    <row r="529" spans="1:13" x14ac:dyDescent="0.2">
      <c r="A529" s="172" t="s">
        <v>72</v>
      </c>
      <c r="B529" s="172" t="s">
        <v>73</v>
      </c>
      <c r="C529" s="172" t="s">
        <v>21</v>
      </c>
      <c r="D529" s="172" t="s">
        <v>15</v>
      </c>
      <c r="E529" s="173">
        <v>43193</v>
      </c>
      <c r="F529" s="177">
        <v>49.373884199999999</v>
      </c>
      <c r="G529" s="181" t="s">
        <v>19</v>
      </c>
      <c r="H529" s="182" t="s">
        <v>20</v>
      </c>
      <c r="I529" s="175">
        <v>1</v>
      </c>
      <c r="J529" s="175" t="s">
        <v>18</v>
      </c>
      <c r="K529" s="175" t="s">
        <v>74</v>
      </c>
      <c r="L529" s="172" t="s">
        <v>75</v>
      </c>
      <c r="M529" s="172" t="s">
        <v>76</v>
      </c>
    </row>
    <row r="530" spans="1:13" x14ac:dyDescent="0.2">
      <c r="A530" s="172" t="s">
        <v>72</v>
      </c>
      <c r="B530" s="172" t="s">
        <v>73</v>
      </c>
      <c r="C530" s="172" t="s">
        <v>21</v>
      </c>
      <c r="D530" s="172" t="s">
        <v>15</v>
      </c>
      <c r="E530" s="173">
        <v>43186</v>
      </c>
      <c r="F530" s="174">
        <v>1.9</v>
      </c>
      <c r="G530" s="175" t="s">
        <v>16</v>
      </c>
      <c r="H530" s="172" t="s">
        <v>17</v>
      </c>
      <c r="I530" s="175">
        <v>1</v>
      </c>
      <c r="J530" s="175" t="s">
        <v>18</v>
      </c>
      <c r="K530" s="175" t="s">
        <v>74</v>
      </c>
      <c r="L530" s="172" t="s">
        <v>75</v>
      </c>
      <c r="M530" s="172" t="s">
        <v>17</v>
      </c>
    </row>
    <row r="531" spans="1:13" x14ac:dyDescent="0.2">
      <c r="A531" s="172" t="s">
        <v>72</v>
      </c>
      <c r="B531" s="172" t="s">
        <v>73</v>
      </c>
      <c r="C531" s="172" t="s">
        <v>21</v>
      </c>
      <c r="D531" s="172" t="s">
        <v>15</v>
      </c>
      <c r="E531" s="173">
        <v>43186</v>
      </c>
      <c r="F531" s="174">
        <v>20.869181999999999</v>
      </c>
      <c r="G531" s="175" t="s">
        <v>19</v>
      </c>
      <c r="H531" s="172" t="s">
        <v>17</v>
      </c>
      <c r="I531" s="175">
        <v>1</v>
      </c>
      <c r="J531" s="175" t="s">
        <v>18</v>
      </c>
      <c r="K531" s="175" t="s">
        <v>74</v>
      </c>
      <c r="L531" s="172" t="s">
        <v>75</v>
      </c>
      <c r="M531" s="172" t="s">
        <v>17</v>
      </c>
    </row>
    <row r="532" spans="1:13" x14ac:dyDescent="0.2">
      <c r="A532" s="172" t="s">
        <v>72</v>
      </c>
      <c r="B532" s="172" t="s">
        <v>73</v>
      </c>
      <c r="C532" s="172" t="s">
        <v>21</v>
      </c>
      <c r="D532" s="172" t="s">
        <v>15</v>
      </c>
      <c r="E532" s="173">
        <v>43186</v>
      </c>
      <c r="F532" s="174">
        <v>0.47499999999999998</v>
      </c>
      <c r="G532" s="175" t="s">
        <v>16</v>
      </c>
      <c r="H532" s="172" t="s">
        <v>20</v>
      </c>
      <c r="I532" s="175">
        <v>1</v>
      </c>
      <c r="J532" s="175" t="s">
        <v>18</v>
      </c>
      <c r="K532" s="175" t="s">
        <v>74</v>
      </c>
      <c r="L532" s="172" t="s">
        <v>75</v>
      </c>
      <c r="M532" s="172" t="s">
        <v>76</v>
      </c>
    </row>
    <row r="533" spans="1:13" x14ac:dyDescent="0.2">
      <c r="A533" s="172" t="s">
        <v>72</v>
      </c>
      <c r="B533" s="172" t="s">
        <v>73</v>
      </c>
      <c r="C533" s="172" t="s">
        <v>21</v>
      </c>
      <c r="D533" s="172" t="s">
        <v>15</v>
      </c>
      <c r="E533" s="173">
        <v>43186</v>
      </c>
      <c r="F533" s="174">
        <v>5.8115205000000003</v>
      </c>
      <c r="G533" s="175" t="s">
        <v>19</v>
      </c>
      <c r="H533" s="172" t="s">
        <v>20</v>
      </c>
      <c r="I533" s="175">
        <v>1</v>
      </c>
      <c r="J533" s="175" t="s">
        <v>18</v>
      </c>
      <c r="K533" s="175" t="s">
        <v>74</v>
      </c>
      <c r="L533" s="172" t="s">
        <v>75</v>
      </c>
      <c r="M533" s="172" t="s">
        <v>76</v>
      </c>
    </row>
    <row r="534" spans="1:13" x14ac:dyDescent="0.2">
      <c r="A534" s="172" t="s">
        <v>72</v>
      </c>
      <c r="B534" s="172" t="s">
        <v>73</v>
      </c>
      <c r="C534" s="172" t="s">
        <v>21</v>
      </c>
      <c r="D534" s="172" t="s">
        <v>15</v>
      </c>
      <c r="E534" s="173">
        <v>43179</v>
      </c>
      <c r="F534" s="174">
        <v>2.5449999999999999</v>
      </c>
      <c r="G534" s="175" t="s">
        <v>16</v>
      </c>
      <c r="H534" s="172" t="s">
        <v>17</v>
      </c>
      <c r="I534" s="175">
        <v>1</v>
      </c>
      <c r="J534" s="175" t="s">
        <v>18</v>
      </c>
      <c r="K534" s="175" t="s">
        <v>74</v>
      </c>
      <c r="L534" s="172" t="s">
        <v>75</v>
      </c>
      <c r="M534" s="172" t="s">
        <v>17</v>
      </c>
    </row>
    <row r="535" spans="1:13" x14ac:dyDescent="0.2">
      <c r="A535" s="172" t="s">
        <v>72</v>
      </c>
      <c r="B535" s="172" t="s">
        <v>73</v>
      </c>
      <c r="C535" s="172" t="s">
        <v>21</v>
      </c>
      <c r="D535" s="172" t="s">
        <v>15</v>
      </c>
      <c r="E535" s="173">
        <v>43179</v>
      </c>
      <c r="F535" s="174">
        <v>18.274983299999999</v>
      </c>
      <c r="G535" s="175" t="s">
        <v>19</v>
      </c>
      <c r="H535" s="172" t="s">
        <v>17</v>
      </c>
      <c r="I535" s="175">
        <v>1</v>
      </c>
      <c r="J535" s="175" t="s">
        <v>18</v>
      </c>
      <c r="K535" s="175" t="s">
        <v>74</v>
      </c>
      <c r="L535" s="172" t="s">
        <v>75</v>
      </c>
      <c r="M535" s="172" t="s">
        <v>17</v>
      </c>
    </row>
    <row r="536" spans="1:13" x14ac:dyDescent="0.2">
      <c r="A536" s="172" t="s">
        <v>72</v>
      </c>
      <c r="B536" s="172" t="s">
        <v>73</v>
      </c>
      <c r="C536" s="172" t="s">
        <v>21</v>
      </c>
      <c r="D536" s="172" t="s">
        <v>15</v>
      </c>
      <c r="E536" s="173">
        <v>43179</v>
      </c>
      <c r="F536" s="174">
        <v>0.219</v>
      </c>
      <c r="G536" s="175" t="s">
        <v>16</v>
      </c>
      <c r="H536" s="172" t="s">
        <v>20</v>
      </c>
      <c r="I536" s="175">
        <v>1</v>
      </c>
      <c r="J536" s="175" t="s">
        <v>18</v>
      </c>
      <c r="K536" s="175" t="s">
        <v>74</v>
      </c>
      <c r="L536" s="172" t="s">
        <v>75</v>
      </c>
      <c r="M536" s="172" t="s">
        <v>76</v>
      </c>
    </row>
    <row r="537" spans="1:13" x14ac:dyDescent="0.2">
      <c r="A537" s="172" t="s">
        <v>72</v>
      </c>
      <c r="B537" s="172" t="s">
        <v>73</v>
      </c>
      <c r="C537" s="172" t="s">
        <v>21</v>
      </c>
      <c r="D537" s="172" t="s">
        <v>15</v>
      </c>
      <c r="E537" s="173">
        <v>43179</v>
      </c>
      <c r="F537" s="174">
        <v>1.8520304000000001</v>
      </c>
      <c r="G537" s="175" t="s">
        <v>19</v>
      </c>
      <c r="H537" s="172" t="s">
        <v>20</v>
      </c>
      <c r="I537" s="175">
        <v>1</v>
      </c>
      <c r="J537" s="175" t="s">
        <v>18</v>
      </c>
      <c r="K537" s="175" t="s">
        <v>74</v>
      </c>
      <c r="L537" s="172" t="s">
        <v>75</v>
      </c>
      <c r="M537" s="172" t="s">
        <v>76</v>
      </c>
    </row>
    <row r="538" spans="1:13" x14ac:dyDescent="0.2">
      <c r="A538" s="172" t="s">
        <v>72</v>
      </c>
      <c r="B538" s="172" t="s">
        <v>73</v>
      </c>
      <c r="C538" s="172" t="s">
        <v>21</v>
      </c>
      <c r="D538" s="172" t="s">
        <v>15</v>
      </c>
      <c r="E538" s="173">
        <v>43172</v>
      </c>
      <c r="F538" s="174">
        <v>2.09</v>
      </c>
      <c r="G538" s="175" t="s">
        <v>16</v>
      </c>
      <c r="H538" s="172" t="s">
        <v>17</v>
      </c>
      <c r="I538" s="175">
        <v>1</v>
      </c>
      <c r="J538" s="175" t="s">
        <v>18</v>
      </c>
      <c r="K538" s="175" t="s">
        <v>74</v>
      </c>
      <c r="L538" s="172" t="s">
        <v>75</v>
      </c>
      <c r="M538" s="172" t="s">
        <v>17</v>
      </c>
    </row>
    <row r="539" spans="1:13" x14ac:dyDescent="0.2">
      <c r="A539" s="172" t="s">
        <v>72</v>
      </c>
      <c r="B539" s="172" t="s">
        <v>73</v>
      </c>
      <c r="C539" s="172" t="s">
        <v>21</v>
      </c>
      <c r="D539" s="172" t="s">
        <v>15</v>
      </c>
      <c r="E539" s="173">
        <v>43172</v>
      </c>
      <c r="F539" s="174">
        <v>14.6242734</v>
      </c>
      <c r="G539" s="175" t="s">
        <v>19</v>
      </c>
      <c r="H539" s="172" t="s">
        <v>17</v>
      </c>
      <c r="I539" s="175">
        <v>1</v>
      </c>
      <c r="J539" s="175" t="s">
        <v>18</v>
      </c>
      <c r="K539" s="175" t="s">
        <v>74</v>
      </c>
      <c r="L539" s="172" t="s">
        <v>75</v>
      </c>
      <c r="M539" s="172" t="s">
        <v>17</v>
      </c>
    </row>
    <row r="540" spans="1:13" x14ac:dyDescent="0.2">
      <c r="A540" s="172" t="s">
        <v>72</v>
      </c>
      <c r="B540" s="172" t="s">
        <v>73</v>
      </c>
      <c r="C540" s="172" t="s">
        <v>21</v>
      </c>
      <c r="D540" s="172" t="s">
        <v>15</v>
      </c>
      <c r="E540" s="173">
        <v>43172</v>
      </c>
      <c r="F540" s="174">
        <v>1.1830000000000001</v>
      </c>
      <c r="G540" s="175" t="s">
        <v>16</v>
      </c>
      <c r="H540" s="172" t="s">
        <v>20</v>
      </c>
      <c r="I540" s="175">
        <v>1</v>
      </c>
      <c r="J540" s="175" t="s">
        <v>18</v>
      </c>
      <c r="K540" s="175" t="s">
        <v>74</v>
      </c>
      <c r="L540" s="172" t="s">
        <v>75</v>
      </c>
      <c r="M540" s="172" t="s">
        <v>76</v>
      </c>
    </row>
    <row r="541" spans="1:13" x14ac:dyDescent="0.2">
      <c r="A541" s="172" t="s">
        <v>72</v>
      </c>
      <c r="B541" s="172" t="s">
        <v>73</v>
      </c>
      <c r="C541" s="172" t="s">
        <v>21</v>
      </c>
      <c r="D541" s="172" t="s">
        <v>15</v>
      </c>
      <c r="E541" s="173">
        <v>43172</v>
      </c>
      <c r="F541" s="174">
        <v>9.4913036000000002</v>
      </c>
      <c r="G541" s="175" t="s">
        <v>19</v>
      </c>
      <c r="H541" s="172" t="s">
        <v>20</v>
      </c>
      <c r="I541" s="175">
        <v>1</v>
      </c>
      <c r="J541" s="175" t="s">
        <v>18</v>
      </c>
      <c r="K541" s="175" t="s">
        <v>74</v>
      </c>
      <c r="L541" s="172" t="s">
        <v>75</v>
      </c>
      <c r="M541" s="172" t="s">
        <v>76</v>
      </c>
    </row>
    <row r="542" spans="1:13" x14ac:dyDescent="0.2">
      <c r="A542" s="172" t="s">
        <v>72</v>
      </c>
      <c r="B542" s="172" t="s">
        <v>73</v>
      </c>
      <c r="C542" s="172" t="s">
        <v>21</v>
      </c>
      <c r="D542" s="172" t="s">
        <v>15</v>
      </c>
      <c r="E542" s="173">
        <v>43165</v>
      </c>
      <c r="F542" s="174">
        <v>0.96499999999999997</v>
      </c>
      <c r="G542" s="175" t="s">
        <v>16</v>
      </c>
      <c r="H542" s="172" t="s">
        <v>17</v>
      </c>
      <c r="I542" s="175">
        <v>1</v>
      </c>
      <c r="J542" s="175" t="s">
        <v>18</v>
      </c>
      <c r="K542" s="175" t="s">
        <v>74</v>
      </c>
      <c r="L542" s="172" t="s">
        <v>75</v>
      </c>
      <c r="M542" s="172" t="s">
        <v>17</v>
      </c>
    </row>
    <row r="543" spans="1:13" x14ac:dyDescent="0.2">
      <c r="A543" s="172" t="s">
        <v>72</v>
      </c>
      <c r="B543" s="172" t="s">
        <v>73</v>
      </c>
      <c r="C543" s="172" t="s">
        <v>21</v>
      </c>
      <c r="D543" s="172" t="s">
        <v>15</v>
      </c>
      <c r="E543" s="173">
        <v>43165</v>
      </c>
      <c r="F543" s="174">
        <v>10.6395882</v>
      </c>
      <c r="G543" s="175" t="s">
        <v>19</v>
      </c>
      <c r="H543" s="172" t="s">
        <v>17</v>
      </c>
      <c r="I543" s="175">
        <v>1</v>
      </c>
      <c r="J543" s="175" t="s">
        <v>18</v>
      </c>
      <c r="K543" s="175" t="s">
        <v>74</v>
      </c>
      <c r="L543" s="172" t="s">
        <v>75</v>
      </c>
      <c r="M543" s="172" t="s">
        <v>17</v>
      </c>
    </row>
    <row r="544" spans="1:13" x14ac:dyDescent="0.2">
      <c r="A544" s="172" t="s">
        <v>72</v>
      </c>
      <c r="B544" s="172" t="s">
        <v>73</v>
      </c>
      <c r="C544" s="172" t="s">
        <v>21</v>
      </c>
      <c r="D544" s="172" t="s">
        <v>15</v>
      </c>
      <c r="E544" s="173">
        <v>43165</v>
      </c>
      <c r="F544" s="174">
        <v>0.28399999999999997</v>
      </c>
      <c r="G544" s="175" t="s">
        <v>16</v>
      </c>
      <c r="H544" s="172" t="s">
        <v>20</v>
      </c>
      <c r="I544" s="175">
        <v>1</v>
      </c>
      <c r="J544" s="175" t="s">
        <v>18</v>
      </c>
      <c r="K544" s="175" t="s">
        <v>74</v>
      </c>
      <c r="L544" s="172" t="s">
        <v>75</v>
      </c>
      <c r="M544" s="172" t="s">
        <v>76</v>
      </c>
    </row>
    <row r="545" spans="1:13" x14ac:dyDescent="0.2">
      <c r="A545" s="172" t="s">
        <v>72</v>
      </c>
      <c r="B545" s="172" t="s">
        <v>73</v>
      </c>
      <c r="C545" s="172" t="s">
        <v>21</v>
      </c>
      <c r="D545" s="172" t="s">
        <v>15</v>
      </c>
      <c r="E545" s="173">
        <v>43165</v>
      </c>
      <c r="F545" s="174">
        <v>3.5623141999999999</v>
      </c>
      <c r="G545" s="175" t="s">
        <v>19</v>
      </c>
      <c r="H545" s="172" t="s">
        <v>20</v>
      </c>
      <c r="I545" s="175">
        <v>1</v>
      </c>
      <c r="J545" s="175" t="s">
        <v>18</v>
      </c>
      <c r="K545" s="175" t="s">
        <v>74</v>
      </c>
      <c r="L545" s="172" t="s">
        <v>75</v>
      </c>
      <c r="M545" s="172" t="s">
        <v>76</v>
      </c>
    </row>
    <row r="546" spans="1:13" x14ac:dyDescent="0.2">
      <c r="A546" s="172" t="s">
        <v>72</v>
      </c>
      <c r="B546" s="172" t="s">
        <v>73</v>
      </c>
      <c r="C546" s="172" t="s">
        <v>21</v>
      </c>
      <c r="D546" s="172" t="s">
        <v>15</v>
      </c>
      <c r="E546" s="173">
        <v>43158</v>
      </c>
      <c r="F546" s="174">
        <v>1.095</v>
      </c>
      <c r="G546" s="175" t="s">
        <v>16</v>
      </c>
      <c r="H546" s="172" t="s">
        <v>17</v>
      </c>
      <c r="I546" s="175">
        <v>1</v>
      </c>
      <c r="J546" s="175" t="s">
        <v>18</v>
      </c>
      <c r="K546" s="175" t="s">
        <v>74</v>
      </c>
      <c r="L546" s="172" t="s">
        <v>75</v>
      </c>
      <c r="M546" s="172" t="s">
        <v>17</v>
      </c>
    </row>
    <row r="547" spans="1:13" x14ac:dyDescent="0.2">
      <c r="A547" s="172" t="s">
        <v>72</v>
      </c>
      <c r="B547" s="172" t="s">
        <v>73</v>
      </c>
      <c r="C547" s="172" t="s">
        <v>21</v>
      </c>
      <c r="D547" s="172" t="s">
        <v>15</v>
      </c>
      <c r="E547" s="173">
        <v>43158</v>
      </c>
      <c r="F547" s="174">
        <v>5.7259520999999998</v>
      </c>
      <c r="G547" s="175" t="s">
        <v>19</v>
      </c>
      <c r="H547" s="172" t="s">
        <v>17</v>
      </c>
      <c r="I547" s="175">
        <v>1</v>
      </c>
      <c r="J547" s="175" t="s">
        <v>18</v>
      </c>
      <c r="K547" s="175" t="s">
        <v>74</v>
      </c>
      <c r="L547" s="172" t="s">
        <v>75</v>
      </c>
      <c r="M547" s="172" t="s">
        <v>17</v>
      </c>
    </row>
    <row r="548" spans="1:13" x14ac:dyDescent="0.2">
      <c r="A548" s="172" t="s">
        <v>72</v>
      </c>
      <c r="B548" s="172" t="s">
        <v>73</v>
      </c>
      <c r="C548" s="172" t="s">
        <v>21</v>
      </c>
      <c r="D548" s="172" t="s">
        <v>15</v>
      </c>
      <c r="E548" s="173">
        <v>43158</v>
      </c>
      <c r="F548" s="174">
        <v>1.675</v>
      </c>
      <c r="G548" s="175" t="s">
        <v>16</v>
      </c>
      <c r="H548" s="172" t="s">
        <v>20</v>
      </c>
      <c r="I548" s="175">
        <v>1</v>
      </c>
      <c r="J548" s="175" t="s">
        <v>18</v>
      </c>
      <c r="K548" s="175" t="s">
        <v>74</v>
      </c>
      <c r="L548" s="172" t="s">
        <v>75</v>
      </c>
      <c r="M548" s="172" t="s">
        <v>76</v>
      </c>
    </row>
    <row r="549" spans="1:13" x14ac:dyDescent="0.2">
      <c r="A549" s="172" t="s">
        <v>72</v>
      </c>
      <c r="B549" s="172" t="s">
        <v>73</v>
      </c>
      <c r="C549" s="172" t="s">
        <v>21</v>
      </c>
      <c r="D549" s="172" t="s">
        <v>15</v>
      </c>
      <c r="E549" s="173">
        <v>43158</v>
      </c>
      <c r="F549" s="174">
        <v>10.2955215</v>
      </c>
      <c r="G549" s="175" t="s">
        <v>19</v>
      </c>
      <c r="H549" s="172" t="s">
        <v>20</v>
      </c>
      <c r="I549" s="175">
        <v>1</v>
      </c>
      <c r="J549" s="175" t="s">
        <v>18</v>
      </c>
      <c r="K549" s="175" t="s">
        <v>74</v>
      </c>
      <c r="L549" s="172" t="s">
        <v>75</v>
      </c>
      <c r="M549" s="172" t="s">
        <v>76</v>
      </c>
    </row>
    <row r="550" spans="1:13" x14ac:dyDescent="0.2">
      <c r="A550" s="172" t="s">
        <v>72</v>
      </c>
      <c r="B550" s="172" t="s">
        <v>73</v>
      </c>
      <c r="C550" s="172" t="s">
        <v>21</v>
      </c>
      <c r="D550" s="172" t="s">
        <v>15</v>
      </c>
      <c r="E550" s="173">
        <v>43151</v>
      </c>
      <c r="F550" s="174">
        <v>2.73</v>
      </c>
      <c r="G550" s="175" t="s">
        <v>16</v>
      </c>
      <c r="H550" s="172" t="s">
        <v>17</v>
      </c>
      <c r="I550" s="175">
        <v>1</v>
      </c>
      <c r="J550" s="175" t="s">
        <v>18</v>
      </c>
      <c r="K550" s="175" t="s">
        <v>74</v>
      </c>
      <c r="L550" s="172" t="s">
        <v>75</v>
      </c>
      <c r="M550" s="172" t="s">
        <v>17</v>
      </c>
    </row>
    <row r="551" spans="1:13" x14ac:dyDescent="0.2">
      <c r="A551" s="172" t="s">
        <v>72</v>
      </c>
      <c r="B551" s="172" t="s">
        <v>73</v>
      </c>
      <c r="C551" s="172" t="s">
        <v>21</v>
      </c>
      <c r="D551" s="172" t="s">
        <v>15</v>
      </c>
      <c r="E551" s="173">
        <v>43151</v>
      </c>
      <c r="F551" s="174">
        <v>12.2037552</v>
      </c>
      <c r="G551" s="175" t="s">
        <v>19</v>
      </c>
      <c r="H551" s="172" t="s">
        <v>17</v>
      </c>
      <c r="I551" s="175">
        <v>1</v>
      </c>
      <c r="J551" s="175" t="s">
        <v>18</v>
      </c>
      <c r="K551" s="175" t="s">
        <v>74</v>
      </c>
      <c r="L551" s="172" t="s">
        <v>75</v>
      </c>
      <c r="M551" s="172" t="s">
        <v>17</v>
      </c>
    </row>
    <row r="552" spans="1:13" x14ac:dyDescent="0.2">
      <c r="A552" s="172" t="s">
        <v>72</v>
      </c>
      <c r="B552" s="172" t="s">
        <v>73</v>
      </c>
      <c r="C552" s="172" t="s">
        <v>21</v>
      </c>
      <c r="D552" s="172" t="s">
        <v>15</v>
      </c>
      <c r="E552" s="173">
        <v>43151</v>
      </c>
      <c r="F552" s="174">
        <v>1.9550000000000001</v>
      </c>
      <c r="G552" s="175" t="s">
        <v>16</v>
      </c>
      <c r="H552" s="172" t="s">
        <v>20</v>
      </c>
      <c r="I552" s="175">
        <v>1</v>
      </c>
      <c r="J552" s="175" t="s">
        <v>18</v>
      </c>
      <c r="K552" s="175" t="s">
        <v>74</v>
      </c>
      <c r="L552" s="172" t="s">
        <v>75</v>
      </c>
      <c r="M552" s="172" t="s">
        <v>76</v>
      </c>
    </row>
    <row r="553" spans="1:13" x14ac:dyDescent="0.2">
      <c r="A553" s="172" t="s">
        <v>72</v>
      </c>
      <c r="B553" s="172" t="s">
        <v>73</v>
      </c>
      <c r="C553" s="172" t="s">
        <v>21</v>
      </c>
      <c r="D553" s="172" t="s">
        <v>15</v>
      </c>
      <c r="E553" s="173">
        <v>43151</v>
      </c>
      <c r="F553" s="174">
        <v>10.3697892</v>
      </c>
      <c r="G553" s="175" t="s">
        <v>19</v>
      </c>
      <c r="H553" s="172" t="s">
        <v>20</v>
      </c>
      <c r="I553" s="175">
        <v>1</v>
      </c>
      <c r="J553" s="175" t="s">
        <v>18</v>
      </c>
      <c r="K553" s="175" t="s">
        <v>74</v>
      </c>
      <c r="L553" s="172" t="s">
        <v>75</v>
      </c>
      <c r="M553" s="172" t="s">
        <v>76</v>
      </c>
    </row>
    <row r="554" spans="1:13" x14ac:dyDescent="0.2">
      <c r="A554" s="172" t="s">
        <v>72</v>
      </c>
      <c r="B554" s="172" t="s">
        <v>73</v>
      </c>
      <c r="C554" s="172" t="s">
        <v>21</v>
      </c>
      <c r="D554" s="172" t="s">
        <v>15</v>
      </c>
      <c r="E554" s="173">
        <v>43144</v>
      </c>
      <c r="F554" s="174">
        <v>3.24</v>
      </c>
      <c r="G554" s="175" t="s">
        <v>16</v>
      </c>
      <c r="H554" s="172" t="s">
        <v>17</v>
      </c>
      <c r="I554" s="175">
        <v>1</v>
      </c>
      <c r="J554" s="175" t="s">
        <v>18</v>
      </c>
      <c r="K554" s="175" t="s">
        <v>74</v>
      </c>
      <c r="L554" s="172" t="s">
        <v>75</v>
      </c>
      <c r="M554" s="172" t="s">
        <v>17</v>
      </c>
    </row>
    <row r="555" spans="1:13" x14ac:dyDescent="0.2">
      <c r="A555" s="172" t="s">
        <v>72</v>
      </c>
      <c r="B555" s="172" t="s">
        <v>73</v>
      </c>
      <c r="C555" s="172" t="s">
        <v>21</v>
      </c>
      <c r="D555" s="172" t="s">
        <v>15</v>
      </c>
      <c r="E555" s="173">
        <v>43144</v>
      </c>
      <c r="F555" s="174">
        <v>13.8080376</v>
      </c>
      <c r="G555" s="175" t="s">
        <v>19</v>
      </c>
      <c r="H555" s="172" t="s">
        <v>17</v>
      </c>
      <c r="I555" s="175">
        <v>1</v>
      </c>
      <c r="J555" s="175" t="s">
        <v>18</v>
      </c>
      <c r="K555" s="175" t="s">
        <v>74</v>
      </c>
      <c r="L555" s="172" t="s">
        <v>75</v>
      </c>
      <c r="M555" s="172" t="s">
        <v>17</v>
      </c>
    </row>
    <row r="556" spans="1:13" x14ac:dyDescent="0.2">
      <c r="A556" s="172" t="s">
        <v>72</v>
      </c>
      <c r="B556" s="172" t="s">
        <v>73</v>
      </c>
      <c r="C556" s="172" t="s">
        <v>21</v>
      </c>
      <c r="D556" s="172" t="s">
        <v>15</v>
      </c>
      <c r="E556" s="173">
        <v>43144</v>
      </c>
      <c r="F556" s="174">
        <v>2.085</v>
      </c>
      <c r="G556" s="175" t="s">
        <v>16</v>
      </c>
      <c r="H556" s="172" t="s">
        <v>20</v>
      </c>
      <c r="I556" s="175">
        <v>1</v>
      </c>
      <c r="J556" s="175" t="s">
        <v>18</v>
      </c>
      <c r="K556" s="175" t="s">
        <v>74</v>
      </c>
      <c r="L556" s="172" t="s">
        <v>75</v>
      </c>
      <c r="M556" s="172" t="s">
        <v>76</v>
      </c>
    </row>
    <row r="557" spans="1:13" x14ac:dyDescent="0.2">
      <c r="A557" s="172" t="s">
        <v>72</v>
      </c>
      <c r="B557" s="172" t="s">
        <v>73</v>
      </c>
      <c r="C557" s="172" t="s">
        <v>21</v>
      </c>
      <c r="D557" s="172" t="s">
        <v>15</v>
      </c>
      <c r="E557" s="173">
        <v>43144</v>
      </c>
      <c r="F557" s="174">
        <v>10.607229</v>
      </c>
      <c r="G557" s="175" t="s">
        <v>19</v>
      </c>
      <c r="H557" s="172" t="s">
        <v>20</v>
      </c>
      <c r="I557" s="175">
        <v>1</v>
      </c>
      <c r="J557" s="175" t="s">
        <v>18</v>
      </c>
      <c r="K557" s="175" t="s">
        <v>74</v>
      </c>
      <c r="L557" s="172" t="s">
        <v>75</v>
      </c>
      <c r="M557" s="172" t="s">
        <v>76</v>
      </c>
    </row>
    <row r="558" spans="1:13" x14ac:dyDescent="0.2">
      <c r="A558" s="172" t="s">
        <v>72</v>
      </c>
      <c r="B558" s="172" t="s">
        <v>73</v>
      </c>
      <c r="C558" s="172" t="s">
        <v>21</v>
      </c>
      <c r="D558" s="172" t="s">
        <v>15</v>
      </c>
      <c r="E558" s="173">
        <v>43137</v>
      </c>
      <c r="F558" s="174">
        <v>1.968</v>
      </c>
      <c r="G558" s="175" t="s">
        <v>16</v>
      </c>
      <c r="H558" s="172" t="s">
        <v>17</v>
      </c>
      <c r="I558" s="175">
        <v>1</v>
      </c>
      <c r="J558" s="175" t="s">
        <v>18</v>
      </c>
      <c r="K558" s="175" t="s">
        <v>74</v>
      </c>
      <c r="L558" s="172" t="s">
        <v>75</v>
      </c>
      <c r="M558" s="172" t="s">
        <v>17</v>
      </c>
    </row>
    <row r="559" spans="1:13" x14ac:dyDescent="0.2">
      <c r="A559" s="172" t="s">
        <v>72</v>
      </c>
      <c r="B559" s="172" t="s">
        <v>73</v>
      </c>
      <c r="C559" s="172" t="s">
        <v>21</v>
      </c>
      <c r="D559" s="172" t="s">
        <v>15</v>
      </c>
      <c r="E559" s="173">
        <v>43137</v>
      </c>
      <c r="F559" s="174">
        <v>8.2886255999999996</v>
      </c>
      <c r="G559" s="175" t="s">
        <v>19</v>
      </c>
      <c r="H559" s="172" t="s">
        <v>17</v>
      </c>
      <c r="I559" s="175">
        <v>1</v>
      </c>
      <c r="J559" s="175" t="s">
        <v>18</v>
      </c>
      <c r="K559" s="175" t="s">
        <v>74</v>
      </c>
      <c r="L559" s="172" t="s">
        <v>75</v>
      </c>
      <c r="M559" s="172" t="s">
        <v>17</v>
      </c>
    </row>
    <row r="560" spans="1:13" x14ac:dyDescent="0.2">
      <c r="A560" s="172" t="s">
        <v>72</v>
      </c>
      <c r="B560" s="172" t="s">
        <v>73</v>
      </c>
      <c r="C560" s="172" t="s">
        <v>21</v>
      </c>
      <c r="D560" s="172" t="s">
        <v>15</v>
      </c>
      <c r="E560" s="173">
        <v>43137</v>
      </c>
      <c r="F560" s="174">
        <v>1.038</v>
      </c>
      <c r="G560" s="175" t="s">
        <v>16</v>
      </c>
      <c r="H560" s="172" t="s">
        <v>20</v>
      </c>
      <c r="I560" s="175">
        <v>1</v>
      </c>
      <c r="J560" s="175" t="s">
        <v>18</v>
      </c>
      <c r="K560" s="175" t="s">
        <v>74</v>
      </c>
      <c r="L560" s="172" t="s">
        <v>75</v>
      </c>
      <c r="M560" s="172" t="s">
        <v>76</v>
      </c>
    </row>
    <row r="561" spans="1:13" x14ac:dyDescent="0.2">
      <c r="A561" s="172" t="s">
        <v>72</v>
      </c>
      <c r="B561" s="172" t="s">
        <v>73</v>
      </c>
      <c r="C561" s="172" t="s">
        <v>21</v>
      </c>
      <c r="D561" s="172" t="s">
        <v>15</v>
      </c>
      <c r="E561" s="173">
        <v>43137</v>
      </c>
      <c r="F561" s="174">
        <v>5.3066918999999997</v>
      </c>
      <c r="G561" s="175" t="s">
        <v>19</v>
      </c>
      <c r="H561" s="172" t="s">
        <v>20</v>
      </c>
      <c r="I561" s="175">
        <v>1</v>
      </c>
      <c r="J561" s="175" t="s">
        <v>18</v>
      </c>
      <c r="K561" s="175" t="s">
        <v>74</v>
      </c>
      <c r="L561" s="172" t="s">
        <v>75</v>
      </c>
      <c r="M561" s="172" t="s">
        <v>76</v>
      </c>
    </row>
    <row r="562" spans="1:13" x14ac:dyDescent="0.2">
      <c r="A562" s="172" t="s">
        <v>72</v>
      </c>
      <c r="B562" s="172" t="s">
        <v>73</v>
      </c>
      <c r="C562" s="172" t="s">
        <v>21</v>
      </c>
      <c r="D562" s="172" t="s">
        <v>15</v>
      </c>
      <c r="E562" s="173">
        <v>43130</v>
      </c>
      <c r="F562" s="174">
        <v>0.193</v>
      </c>
      <c r="G562" s="175" t="s">
        <v>16</v>
      </c>
      <c r="H562" s="172" t="s">
        <v>17</v>
      </c>
      <c r="I562" s="175">
        <v>1</v>
      </c>
      <c r="J562" s="175" t="s">
        <v>18</v>
      </c>
      <c r="K562" s="175" t="s">
        <v>74</v>
      </c>
      <c r="L562" s="172" t="s">
        <v>75</v>
      </c>
      <c r="M562" s="172" t="s">
        <v>17</v>
      </c>
    </row>
    <row r="563" spans="1:13" x14ac:dyDescent="0.2">
      <c r="A563" s="172" t="s">
        <v>72</v>
      </c>
      <c r="B563" s="172" t="s">
        <v>73</v>
      </c>
      <c r="C563" s="172" t="s">
        <v>21</v>
      </c>
      <c r="D563" s="172" t="s">
        <v>15</v>
      </c>
      <c r="E563" s="173">
        <v>43130</v>
      </c>
      <c r="F563" s="174">
        <v>0.81768689999999999</v>
      </c>
      <c r="G563" s="175" t="s">
        <v>19</v>
      </c>
      <c r="H563" s="172" t="s">
        <v>17</v>
      </c>
      <c r="I563" s="175">
        <v>1</v>
      </c>
      <c r="J563" s="175" t="s">
        <v>18</v>
      </c>
      <c r="K563" s="175" t="s">
        <v>74</v>
      </c>
      <c r="L563" s="172" t="s">
        <v>75</v>
      </c>
      <c r="M563" s="172" t="s">
        <v>17</v>
      </c>
    </row>
    <row r="564" spans="1:13" x14ac:dyDescent="0.2">
      <c r="A564" s="172" t="s">
        <v>72</v>
      </c>
      <c r="B564" s="172" t="s">
        <v>73</v>
      </c>
      <c r="C564" s="172" t="s">
        <v>21</v>
      </c>
      <c r="D564" s="172" t="s">
        <v>15</v>
      </c>
      <c r="E564" s="173">
        <v>43130</v>
      </c>
      <c r="F564" s="174">
        <v>0.55300000000000005</v>
      </c>
      <c r="G564" s="175" t="s">
        <v>16</v>
      </c>
      <c r="H564" s="172" t="s">
        <v>20</v>
      </c>
      <c r="I564" s="175">
        <v>1</v>
      </c>
      <c r="J564" s="175" t="s">
        <v>18</v>
      </c>
      <c r="K564" s="175" t="s">
        <v>74</v>
      </c>
      <c r="L564" s="172" t="s">
        <v>75</v>
      </c>
      <c r="M564" s="172" t="s">
        <v>76</v>
      </c>
    </row>
    <row r="565" spans="1:13" x14ac:dyDescent="0.2">
      <c r="A565" s="172" t="s">
        <v>72</v>
      </c>
      <c r="B565" s="172" t="s">
        <v>73</v>
      </c>
      <c r="C565" s="172" t="s">
        <v>21</v>
      </c>
      <c r="D565" s="172" t="s">
        <v>15</v>
      </c>
      <c r="E565" s="173">
        <v>43130</v>
      </c>
      <c r="F565" s="174">
        <v>2.8041081000000001</v>
      </c>
      <c r="G565" s="175" t="s">
        <v>19</v>
      </c>
      <c r="H565" s="172" t="s">
        <v>20</v>
      </c>
      <c r="I565" s="175">
        <v>1</v>
      </c>
      <c r="J565" s="175" t="s">
        <v>18</v>
      </c>
      <c r="K565" s="175" t="s">
        <v>74</v>
      </c>
      <c r="L565" s="172" t="s">
        <v>75</v>
      </c>
      <c r="M565" s="172" t="s">
        <v>76</v>
      </c>
    </row>
    <row r="566" spans="1:13" x14ac:dyDescent="0.2">
      <c r="A566" s="172" t="s">
        <v>72</v>
      </c>
      <c r="B566" s="172" t="s">
        <v>73</v>
      </c>
      <c r="C566" s="172" t="s">
        <v>21</v>
      </c>
      <c r="D566" s="172" t="s">
        <v>15</v>
      </c>
      <c r="E566" s="173">
        <v>43123</v>
      </c>
      <c r="F566" s="174">
        <v>1.25</v>
      </c>
      <c r="G566" s="175" t="s">
        <v>16</v>
      </c>
      <c r="H566" s="172" t="s">
        <v>17</v>
      </c>
      <c r="I566" s="175">
        <v>1</v>
      </c>
      <c r="J566" s="175" t="s">
        <v>18</v>
      </c>
      <c r="K566" s="175" t="s">
        <v>74</v>
      </c>
      <c r="L566" s="172" t="s">
        <v>75</v>
      </c>
      <c r="M566" s="172" t="s">
        <v>17</v>
      </c>
    </row>
    <row r="567" spans="1:13" x14ac:dyDescent="0.2">
      <c r="A567" s="172" t="s">
        <v>72</v>
      </c>
      <c r="B567" s="172" t="s">
        <v>73</v>
      </c>
      <c r="C567" s="172" t="s">
        <v>21</v>
      </c>
      <c r="D567" s="172" t="s">
        <v>15</v>
      </c>
      <c r="E567" s="173">
        <v>43123</v>
      </c>
      <c r="F567" s="174">
        <v>8.4234000000000009</v>
      </c>
      <c r="G567" s="175" t="s">
        <v>19</v>
      </c>
      <c r="H567" s="172" t="s">
        <v>17</v>
      </c>
      <c r="I567" s="175">
        <v>1</v>
      </c>
      <c r="J567" s="175" t="s">
        <v>18</v>
      </c>
      <c r="K567" s="175" t="s">
        <v>74</v>
      </c>
      <c r="L567" s="172" t="s">
        <v>75</v>
      </c>
      <c r="M567" s="172" t="s">
        <v>17</v>
      </c>
    </row>
    <row r="568" spans="1:13" x14ac:dyDescent="0.2">
      <c r="A568" s="172" t="s">
        <v>72</v>
      </c>
      <c r="B568" s="172" t="s">
        <v>73</v>
      </c>
      <c r="C568" s="172" t="s">
        <v>21</v>
      </c>
      <c r="D568" s="172" t="s">
        <v>15</v>
      </c>
      <c r="E568" s="173">
        <v>43123</v>
      </c>
      <c r="F568" s="174">
        <v>1.52</v>
      </c>
      <c r="G568" s="175" t="s">
        <v>16</v>
      </c>
      <c r="H568" s="172" t="s">
        <v>20</v>
      </c>
      <c r="I568" s="175">
        <v>1</v>
      </c>
      <c r="J568" s="175" t="s">
        <v>18</v>
      </c>
      <c r="K568" s="175" t="s">
        <v>74</v>
      </c>
      <c r="L568" s="172" t="s">
        <v>75</v>
      </c>
      <c r="M568" s="172" t="s">
        <v>76</v>
      </c>
    </row>
    <row r="569" spans="1:13" x14ac:dyDescent="0.2">
      <c r="A569" s="172" t="s">
        <v>72</v>
      </c>
      <c r="B569" s="172" t="s">
        <v>73</v>
      </c>
      <c r="C569" s="172" t="s">
        <v>21</v>
      </c>
      <c r="D569" s="172" t="s">
        <v>15</v>
      </c>
      <c r="E569" s="173">
        <v>43123</v>
      </c>
      <c r="F569" s="174">
        <v>11.7513936</v>
      </c>
      <c r="G569" s="175" t="s">
        <v>19</v>
      </c>
      <c r="H569" s="172" t="s">
        <v>20</v>
      </c>
      <c r="I569" s="175">
        <v>1</v>
      </c>
      <c r="J569" s="175" t="s">
        <v>18</v>
      </c>
      <c r="K569" s="175" t="s">
        <v>74</v>
      </c>
      <c r="L569" s="172" t="s">
        <v>75</v>
      </c>
      <c r="M569" s="172" t="s">
        <v>76</v>
      </c>
    </row>
    <row r="570" spans="1:13" x14ac:dyDescent="0.2">
      <c r="A570" s="172" t="s">
        <v>72</v>
      </c>
      <c r="B570" s="172" t="s">
        <v>73</v>
      </c>
      <c r="C570" s="172" t="s">
        <v>21</v>
      </c>
      <c r="D570" s="172" t="s">
        <v>15</v>
      </c>
      <c r="E570" s="173">
        <v>43116</v>
      </c>
      <c r="F570" s="174">
        <v>0.53500000000000003</v>
      </c>
      <c r="G570" s="175" t="s">
        <v>16</v>
      </c>
      <c r="H570" s="172" t="s">
        <v>17</v>
      </c>
      <c r="I570" s="175">
        <v>1</v>
      </c>
      <c r="J570" s="175" t="s">
        <v>18</v>
      </c>
      <c r="K570" s="175" t="s">
        <v>74</v>
      </c>
      <c r="L570" s="172" t="s">
        <v>75</v>
      </c>
      <c r="M570" s="172" t="s">
        <v>17</v>
      </c>
    </row>
    <row r="571" spans="1:13" x14ac:dyDescent="0.2">
      <c r="A571" s="172" t="s">
        <v>72</v>
      </c>
      <c r="B571" s="172" t="s">
        <v>73</v>
      </c>
      <c r="C571" s="172" t="s">
        <v>21</v>
      </c>
      <c r="D571" s="172" t="s">
        <v>15</v>
      </c>
      <c r="E571" s="173">
        <v>43116</v>
      </c>
      <c r="F571" s="174">
        <v>2.1595596000000001</v>
      </c>
      <c r="G571" s="175" t="s">
        <v>19</v>
      </c>
      <c r="H571" s="172" t="s">
        <v>17</v>
      </c>
      <c r="I571" s="175">
        <v>1</v>
      </c>
      <c r="J571" s="175" t="s">
        <v>18</v>
      </c>
      <c r="K571" s="175" t="s">
        <v>74</v>
      </c>
      <c r="L571" s="172" t="s">
        <v>75</v>
      </c>
      <c r="M571" s="172" t="s">
        <v>17</v>
      </c>
    </row>
    <row r="572" spans="1:13" x14ac:dyDescent="0.2">
      <c r="A572" s="172" t="s">
        <v>72</v>
      </c>
      <c r="B572" s="172" t="s">
        <v>73</v>
      </c>
      <c r="C572" s="172" t="s">
        <v>21</v>
      </c>
      <c r="D572" s="172" t="s">
        <v>15</v>
      </c>
      <c r="E572" s="173">
        <v>43116</v>
      </c>
      <c r="F572" s="174">
        <v>0.251</v>
      </c>
      <c r="G572" s="175" t="s">
        <v>16</v>
      </c>
      <c r="H572" s="172" t="s">
        <v>20</v>
      </c>
      <c r="I572" s="175">
        <v>1</v>
      </c>
      <c r="J572" s="175" t="s">
        <v>18</v>
      </c>
      <c r="K572" s="175" t="s">
        <v>74</v>
      </c>
      <c r="L572" s="172" t="s">
        <v>75</v>
      </c>
      <c r="M572" s="172" t="s">
        <v>76</v>
      </c>
    </row>
    <row r="573" spans="1:13" x14ac:dyDescent="0.2">
      <c r="A573" s="172" t="s">
        <v>72</v>
      </c>
      <c r="B573" s="172" t="s">
        <v>73</v>
      </c>
      <c r="C573" s="172" t="s">
        <v>21</v>
      </c>
      <c r="D573" s="172" t="s">
        <v>15</v>
      </c>
      <c r="E573" s="173">
        <v>43116</v>
      </c>
      <c r="F573" s="174">
        <v>1.1387769000000001</v>
      </c>
      <c r="G573" s="175" t="s">
        <v>19</v>
      </c>
      <c r="H573" s="172" t="s">
        <v>20</v>
      </c>
      <c r="I573" s="175">
        <v>1</v>
      </c>
      <c r="J573" s="175" t="s">
        <v>18</v>
      </c>
      <c r="K573" s="175" t="s">
        <v>74</v>
      </c>
      <c r="L573" s="172" t="s">
        <v>75</v>
      </c>
      <c r="M573" s="172" t="s">
        <v>76</v>
      </c>
    </row>
    <row r="574" spans="1:13" x14ac:dyDescent="0.2">
      <c r="A574" s="172" t="s">
        <v>72</v>
      </c>
      <c r="B574" s="172" t="s">
        <v>73</v>
      </c>
      <c r="C574" s="172" t="s">
        <v>21</v>
      </c>
      <c r="D574" s="172" t="s">
        <v>15</v>
      </c>
      <c r="E574" s="173">
        <v>43109</v>
      </c>
      <c r="F574" s="174">
        <v>2.3250000000000002</v>
      </c>
      <c r="G574" s="175" t="s">
        <v>16</v>
      </c>
      <c r="H574" s="172" t="s">
        <v>17</v>
      </c>
      <c r="I574" s="175">
        <v>1</v>
      </c>
      <c r="J574" s="175" t="s">
        <v>18</v>
      </c>
      <c r="K574" s="175" t="s">
        <v>74</v>
      </c>
      <c r="L574" s="172" t="s">
        <v>75</v>
      </c>
      <c r="M574" s="172" t="s">
        <v>17</v>
      </c>
    </row>
    <row r="575" spans="1:13" x14ac:dyDescent="0.2">
      <c r="A575" s="172" t="s">
        <v>72</v>
      </c>
      <c r="B575" s="172" t="s">
        <v>73</v>
      </c>
      <c r="C575" s="172" t="s">
        <v>21</v>
      </c>
      <c r="D575" s="172" t="s">
        <v>15</v>
      </c>
      <c r="E575" s="173">
        <v>43109</v>
      </c>
      <c r="F575" s="174">
        <v>9.7146404999999998</v>
      </c>
      <c r="G575" s="175" t="s">
        <v>19</v>
      </c>
      <c r="H575" s="172" t="s">
        <v>17</v>
      </c>
      <c r="I575" s="175">
        <v>1</v>
      </c>
      <c r="J575" s="175" t="s">
        <v>18</v>
      </c>
      <c r="K575" s="175" t="s">
        <v>74</v>
      </c>
      <c r="L575" s="172" t="s">
        <v>75</v>
      </c>
      <c r="M575" s="172" t="s">
        <v>17</v>
      </c>
    </row>
    <row r="576" spans="1:13" x14ac:dyDescent="0.2">
      <c r="A576" s="172" t="s">
        <v>72</v>
      </c>
      <c r="B576" s="172" t="s">
        <v>73</v>
      </c>
      <c r="C576" s="172" t="s">
        <v>21</v>
      </c>
      <c r="D576" s="172" t="s">
        <v>15</v>
      </c>
      <c r="E576" s="173">
        <v>43109</v>
      </c>
      <c r="F576" s="174">
        <v>2.2850000000000001</v>
      </c>
      <c r="G576" s="175" t="s">
        <v>16</v>
      </c>
      <c r="H576" s="172" t="s">
        <v>20</v>
      </c>
      <c r="I576" s="175">
        <v>1</v>
      </c>
      <c r="J576" s="175" t="s">
        <v>18</v>
      </c>
      <c r="K576" s="175" t="s">
        <v>74</v>
      </c>
      <c r="L576" s="172" t="s">
        <v>75</v>
      </c>
      <c r="M576" s="172" t="s">
        <v>76</v>
      </c>
    </row>
    <row r="577" spans="1:13" x14ac:dyDescent="0.2">
      <c r="A577" s="172" t="s">
        <v>72</v>
      </c>
      <c r="B577" s="172" t="s">
        <v>73</v>
      </c>
      <c r="C577" s="172" t="s">
        <v>21</v>
      </c>
      <c r="D577" s="172" t="s">
        <v>15</v>
      </c>
      <c r="E577" s="173">
        <v>43109</v>
      </c>
      <c r="F577" s="174">
        <v>11.243570999999999</v>
      </c>
      <c r="G577" s="175" t="s">
        <v>19</v>
      </c>
      <c r="H577" s="172" t="s">
        <v>20</v>
      </c>
      <c r="I577" s="175">
        <v>1</v>
      </c>
      <c r="J577" s="175" t="s">
        <v>18</v>
      </c>
      <c r="K577" s="175" t="s">
        <v>74</v>
      </c>
      <c r="L577" s="172" t="s">
        <v>75</v>
      </c>
      <c r="M577" s="172" t="s">
        <v>76</v>
      </c>
    </row>
    <row r="578" spans="1:13" x14ac:dyDescent="0.2">
      <c r="A578" s="172" t="s">
        <v>72</v>
      </c>
      <c r="B578" s="172" t="s">
        <v>73</v>
      </c>
      <c r="C578" s="172" t="s">
        <v>21</v>
      </c>
      <c r="D578" s="172" t="s">
        <v>15</v>
      </c>
      <c r="E578" s="173">
        <v>43103</v>
      </c>
      <c r="F578" s="174">
        <v>1.865</v>
      </c>
      <c r="G578" s="175" t="s">
        <v>16</v>
      </c>
      <c r="H578" s="172" t="s">
        <v>17</v>
      </c>
      <c r="I578" s="175">
        <v>1</v>
      </c>
      <c r="J578" s="175" t="s">
        <v>18</v>
      </c>
      <c r="K578" s="175" t="s">
        <v>74</v>
      </c>
      <c r="L578" s="172" t="s">
        <v>75</v>
      </c>
      <c r="M578" s="172" t="s">
        <v>17</v>
      </c>
    </row>
    <row r="579" spans="1:13" x14ac:dyDescent="0.2">
      <c r="A579" s="172" t="s">
        <v>72</v>
      </c>
      <c r="B579" s="172" t="s">
        <v>73</v>
      </c>
      <c r="C579" s="172" t="s">
        <v>21</v>
      </c>
      <c r="D579" s="172" t="s">
        <v>15</v>
      </c>
      <c r="E579" s="173">
        <v>43103</v>
      </c>
      <c r="F579" s="174">
        <v>8.4769845000000004</v>
      </c>
      <c r="G579" s="175" t="s">
        <v>19</v>
      </c>
      <c r="H579" s="172" t="s">
        <v>17</v>
      </c>
      <c r="I579" s="175">
        <v>1</v>
      </c>
      <c r="J579" s="175" t="s">
        <v>18</v>
      </c>
      <c r="K579" s="175" t="s">
        <v>74</v>
      </c>
      <c r="L579" s="172" t="s">
        <v>75</v>
      </c>
      <c r="M579" s="172" t="s">
        <v>17</v>
      </c>
    </row>
    <row r="580" spans="1:13" x14ac:dyDescent="0.2">
      <c r="A580" s="172" t="s">
        <v>72</v>
      </c>
      <c r="B580" s="172" t="s">
        <v>73</v>
      </c>
      <c r="C580" s="172" t="s">
        <v>21</v>
      </c>
      <c r="D580" s="172" t="s">
        <v>15</v>
      </c>
      <c r="E580" s="173">
        <v>43103</v>
      </c>
      <c r="F580" s="174">
        <v>0.84499999999999997</v>
      </c>
      <c r="G580" s="175" t="s">
        <v>16</v>
      </c>
      <c r="H580" s="172" t="s">
        <v>20</v>
      </c>
      <c r="I580" s="175">
        <v>1</v>
      </c>
      <c r="J580" s="175" t="s">
        <v>18</v>
      </c>
      <c r="K580" s="175" t="s">
        <v>74</v>
      </c>
      <c r="L580" s="172" t="s">
        <v>75</v>
      </c>
      <c r="M580" s="172" t="s">
        <v>76</v>
      </c>
    </row>
    <row r="581" spans="1:13" x14ac:dyDescent="0.2">
      <c r="A581" s="172" t="s">
        <v>72</v>
      </c>
      <c r="B581" s="172" t="s">
        <v>73</v>
      </c>
      <c r="C581" s="172" t="s">
        <v>21</v>
      </c>
      <c r="D581" s="172" t="s">
        <v>15</v>
      </c>
      <c r="E581" s="173">
        <v>43103</v>
      </c>
      <c r="F581" s="174">
        <v>4.4820827999999997</v>
      </c>
      <c r="G581" s="175" t="s">
        <v>19</v>
      </c>
      <c r="H581" s="172" t="s">
        <v>20</v>
      </c>
      <c r="I581" s="175">
        <v>1</v>
      </c>
      <c r="J581" s="175" t="s">
        <v>18</v>
      </c>
      <c r="K581" s="175" t="s">
        <v>74</v>
      </c>
      <c r="L581" s="172" t="s">
        <v>75</v>
      </c>
      <c r="M581" s="172" t="s">
        <v>76</v>
      </c>
    </row>
    <row r="582" spans="1:13" x14ac:dyDescent="0.2">
      <c r="A582" s="172" t="s">
        <v>72</v>
      </c>
      <c r="B582" s="172" t="s">
        <v>73</v>
      </c>
      <c r="C582" s="172" t="s">
        <v>21</v>
      </c>
      <c r="D582" s="172" t="s">
        <v>15</v>
      </c>
      <c r="E582" s="173">
        <v>43095</v>
      </c>
      <c r="F582" s="174">
        <v>1.095</v>
      </c>
      <c r="G582" s="175" t="s">
        <v>16</v>
      </c>
      <c r="H582" s="172" t="s">
        <v>17</v>
      </c>
      <c r="I582" s="175">
        <v>1</v>
      </c>
      <c r="J582" s="175" t="s">
        <v>18</v>
      </c>
      <c r="K582" s="175" t="s">
        <v>74</v>
      </c>
      <c r="L582" s="172" t="s">
        <v>75</v>
      </c>
      <c r="M582" s="172" t="s">
        <v>17</v>
      </c>
    </row>
    <row r="583" spans="1:13" x14ac:dyDescent="0.2">
      <c r="A583" s="172" t="s">
        <v>72</v>
      </c>
      <c r="B583" s="172" t="s">
        <v>73</v>
      </c>
      <c r="C583" s="172" t="s">
        <v>21</v>
      </c>
      <c r="D583" s="172" t="s">
        <v>15</v>
      </c>
      <c r="E583" s="173">
        <v>43095</v>
      </c>
      <c r="F583" s="174">
        <v>2.7305576999999999</v>
      </c>
      <c r="G583" s="175" t="s">
        <v>19</v>
      </c>
      <c r="H583" s="172" t="s">
        <v>17</v>
      </c>
      <c r="I583" s="175">
        <v>1</v>
      </c>
      <c r="J583" s="175" t="s">
        <v>18</v>
      </c>
      <c r="K583" s="175" t="s">
        <v>74</v>
      </c>
      <c r="L583" s="172" t="s">
        <v>75</v>
      </c>
      <c r="M583" s="172" t="s">
        <v>17</v>
      </c>
    </row>
    <row r="584" spans="1:13" x14ac:dyDescent="0.2">
      <c r="A584" s="172" t="s">
        <v>72</v>
      </c>
      <c r="B584" s="172" t="s">
        <v>73</v>
      </c>
      <c r="C584" s="172" t="s">
        <v>21</v>
      </c>
      <c r="D584" s="172" t="s">
        <v>15</v>
      </c>
      <c r="E584" s="173">
        <v>43095</v>
      </c>
      <c r="F584" s="174">
        <v>0.92500000000000004</v>
      </c>
      <c r="G584" s="175" t="s">
        <v>16</v>
      </c>
      <c r="H584" s="172" t="s">
        <v>20</v>
      </c>
      <c r="I584" s="175">
        <v>1</v>
      </c>
      <c r="J584" s="175" t="s">
        <v>18</v>
      </c>
      <c r="K584" s="175" t="s">
        <v>74</v>
      </c>
      <c r="L584" s="172" t="s">
        <v>75</v>
      </c>
      <c r="M584" s="172" t="s">
        <v>76</v>
      </c>
    </row>
    <row r="585" spans="1:13" x14ac:dyDescent="0.2">
      <c r="A585" s="172" t="s">
        <v>72</v>
      </c>
      <c r="B585" s="172" t="s">
        <v>73</v>
      </c>
      <c r="C585" s="172" t="s">
        <v>21</v>
      </c>
      <c r="D585" s="172" t="s">
        <v>15</v>
      </c>
      <c r="E585" s="173">
        <v>43095</v>
      </c>
      <c r="F585" s="174">
        <v>4.2661185000000001</v>
      </c>
      <c r="G585" s="175" t="s">
        <v>19</v>
      </c>
      <c r="H585" s="172" t="s">
        <v>20</v>
      </c>
      <c r="I585" s="175">
        <v>1</v>
      </c>
      <c r="J585" s="175" t="s">
        <v>18</v>
      </c>
      <c r="K585" s="175" t="s">
        <v>74</v>
      </c>
      <c r="L585" s="172" t="s">
        <v>75</v>
      </c>
      <c r="M585" s="172" t="s">
        <v>76</v>
      </c>
    </row>
    <row r="586" spans="1:13" x14ac:dyDescent="0.2">
      <c r="A586" s="172" t="s">
        <v>72</v>
      </c>
      <c r="B586" s="172" t="s">
        <v>73</v>
      </c>
      <c r="C586" s="172" t="s">
        <v>21</v>
      </c>
      <c r="D586" s="172" t="s">
        <v>15</v>
      </c>
      <c r="E586" s="173">
        <v>43088</v>
      </c>
      <c r="F586" s="174">
        <v>1.55</v>
      </c>
      <c r="G586" s="175" t="s">
        <v>16</v>
      </c>
      <c r="H586" s="172" t="s">
        <v>17</v>
      </c>
      <c r="I586" s="175">
        <v>1</v>
      </c>
      <c r="J586" s="175" t="s">
        <v>18</v>
      </c>
      <c r="K586" s="175" t="s">
        <v>74</v>
      </c>
      <c r="L586" s="172" t="s">
        <v>75</v>
      </c>
      <c r="M586" s="172" t="s">
        <v>17</v>
      </c>
    </row>
    <row r="587" spans="1:13" x14ac:dyDescent="0.2">
      <c r="A587" s="172" t="s">
        <v>72</v>
      </c>
      <c r="B587" s="172" t="s">
        <v>73</v>
      </c>
      <c r="C587" s="172" t="s">
        <v>21</v>
      </c>
      <c r="D587" s="172" t="s">
        <v>15</v>
      </c>
      <c r="E587" s="173">
        <v>43088</v>
      </c>
      <c r="F587" s="174">
        <v>6.2825220000000002</v>
      </c>
      <c r="G587" s="175" t="s">
        <v>19</v>
      </c>
      <c r="H587" s="172" t="s">
        <v>17</v>
      </c>
      <c r="I587" s="175">
        <v>1</v>
      </c>
      <c r="J587" s="175" t="s">
        <v>18</v>
      </c>
      <c r="K587" s="175" t="s">
        <v>74</v>
      </c>
      <c r="L587" s="172" t="s">
        <v>75</v>
      </c>
      <c r="M587" s="172" t="s">
        <v>17</v>
      </c>
    </row>
    <row r="588" spans="1:13" x14ac:dyDescent="0.2">
      <c r="A588" s="172" t="s">
        <v>72</v>
      </c>
      <c r="B588" s="172" t="s">
        <v>73</v>
      </c>
      <c r="C588" s="172" t="s">
        <v>21</v>
      </c>
      <c r="D588" s="172" t="s">
        <v>15</v>
      </c>
      <c r="E588" s="173">
        <v>43088</v>
      </c>
      <c r="F588" s="174">
        <v>1.01</v>
      </c>
      <c r="G588" s="175" t="s">
        <v>16</v>
      </c>
      <c r="H588" s="172" t="s">
        <v>20</v>
      </c>
      <c r="I588" s="175">
        <v>1</v>
      </c>
      <c r="J588" s="175" t="s">
        <v>18</v>
      </c>
      <c r="K588" s="175" t="s">
        <v>74</v>
      </c>
      <c r="L588" s="172" t="s">
        <v>75</v>
      </c>
      <c r="M588" s="172" t="s">
        <v>76</v>
      </c>
    </row>
    <row r="589" spans="1:13" x14ac:dyDescent="0.2">
      <c r="A589" s="172" t="s">
        <v>72</v>
      </c>
      <c r="B589" s="172" t="s">
        <v>73</v>
      </c>
      <c r="C589" s="172" t="s">
        <v>21</v>
      </c>
      <c r="D589" s="172" t="s">
        <v>15</v>
      </c>
      <c r="E589" s="173">
        <v>43088</v>
      </c>
      <c r="F589" s="174">
        <v>4.7929145999999996</v>
      </c>
      <c r="G589" s="175" t="s">
        <v>19</v>
      </c>
      <c r="H589" s="172" t="s">
        <v>20</v>
      </c>
      <c r="I589" s="175">
        <v>1</v>
      </c>
      <c r="J589" s="175" t="s">
        <v>18</v>
      </c>
      <c r="K589" s="175" t="s">
        <v>74</v>
      </c>
      <c r="L589" s="172" t="s">
        <v>75</v>
      </c>
      <c r="M589" s="172" t="s">
        <v>76</v>
      </c>
    </row>
    <row r="590" spans="1:13" x14ac:dyDescent="0.2">
      <c r="A590" s="172" t="s">
        <v>72</v>
      </c>
      <c r="B590" s="172" t="s">
        <v>73</v>
      </c>
      <c r="C590" s="172" t="s">
        <v>21</v>
      </c>
      <c r="D590" s="172" t="s">
        <v>15</v>
      </c>
      <c r="E590" s="173">
        <v>43081</v>
      </c>
      <c r="F590" s="174">
        <v>1.675</v>
      </c>
      <c r="G590" s="175" t="s">
        <v>16</v>
      </c>
      <c r="H590" s="172" t="s">
        <v>17</v>
      </c>
      <c r="I590" s="175">
        <v>1</v>
      </c>
      <c r="J590" s="175" t="s">
        <v>18</v>
      </c>
      <c r="K590" s="175" t="s">
        <v>74</v>
      </c>
      <c r="L590" s="172" t="s">
        <v>75</v>
      </c>
      <c r="M590" s="172" t="s">
        <v>17</v>
      </c>
    </row>
    <row r="591" spans="1:13" x14ac:dyDescent="0.2">
      <c r="A591" s="172" t="s">
        <v>72</v>
      </c>
      <c r="B591" s="172" t="s">
        <v>73</v>
      </c>
      <c r="C591" s="172" t="s">
        <v>21</v>
      </c>
      <c r="D591" s="172" t="s">
        <v>15</v>
      </c>
      <c r="E591" s="173">
        <v>43081</v>
      </c>
      <c r="F591" s="174">
        <v>6.8171160000000004</v>
      </c>
      <c r="G591" s="175" t="s">
        <v>19</v>
      </c>
      <c r="H591" s="172" t="s">
        <v>17</v>
      </c>
      <c r="I591" s="175">
        <v>1</v>
      </c>
      <c r="J591" s="175" t="s">
        <v>18</v>
      </c>
      <c r="K591" s="175" t="s">
        <v>74</v>
      </c>
      <c r="L591" s="172" t="s">
        <v>75</v>
      </c>
      <c r="M591" s="172" t="s">
        <v>17</v>
      </c>
    </row>
    <row r="592" spans="1:13" x14ac:dyDescent="0.2">
      <c r="A592" s="172" t="s">
        <v>72</v>
      </c>
      <c r="B592" s="172" t="s">
        <v>73</v>
      </c>
      <c r="C592" s="172" t="s">
        <v>21</v>
      </c>
      <c r="D592" s="172" t="s">
        <v>15</v>
      </c>
      <c r="E592" s="173">
        <v>43081</v>
      </c>
      <c r="F592" s="174">
        <v>0.875</v>
      </c>
      <c r="G592" s="175" t="s">
        <v>16</v>
      </c>
      <c r="H592" s="172" t="s">
        <v>20</v>
      </c>
      <c r="I592" s="175">
        <v>1</v>
      </c>
      <c r="J592" s="175" t="s">
        <v>18</v>
      </c>
      <c r="K592" s="175" t="s">
        <v>74</v>
      </c>
      <c r="L592" s="172" t="s">
        <v>75</v>
      </c>
      <c r="M592" s="172" t="s">
        <v>76</v>
      </c>
    </row>
    <row r="593" spans="1:13" x14ac:dyDescent="0.2">
      <c r="A593" s="172" t="s">
        <v>72</v>
      </c>
      <c r="B593" s="172" t="s">
        <v>73</v>
      </c>
      <c r="C593" s="172" t="s">
        <v>21</v>
      </c>
      <c r="D593" s="172" t="s">
        <v>15</v>
      </c>
      <c r="E593" s="173">
        <v>43081</v>
      </c>
      <c r="F593" s="174">
        <v>4.05741</v>
      </c>
      <c r="G593" s="175" t="s">
        <v>19</v>
      </c>
      <c r="H593" s="172" t="s">
        <v>20</v>
      </c>
      <c r="I593" s="175">
        <v>1</v>
      </c>
      <c r="J593" s="175" t="s">
        <v>18</v>
      </c>
      <c r="K593" s="175" t="s">
        <v>74</v>
      </c>
      <c r="L593" s="172" t="s">
        <v>75</v>
      </c>
      <c r="M593" s="172" t="s">
        <v>76</v>
      </c>
    </row>
    <row r="594" spans="1:13" x14ac:dyDescent="0.2">
      <c r="A594" s="172" t="s">
        <v>72</v>
      </c>
      <c r="B594" s="172" t="s">
        <v>73</v>
      </c>
      <c r="C594" s="172" t="s">
        <v>21</v>
      </c>
      <c r="D594" s="172" t="s">
        <v>15</v>
      </c>
      <c r="E594" s="173">
        <v>43074</v>
      </c>
      <c r="F594" s="174">
        <v>1.1100000000000001</v>
      </c>
      <c r="G594" s="175" t="s">
        <v>16</v>
      </c>
      <c r="H594" s="172" t="s">
        <v>17</v>
      </c>
      <c r="I594" s="175">
        <v>1</v>
      </c>
      <c r="J594" s="175" t="s">
        <v>18</v>
      </c>
      <c r="K594" s="175" t="s">
        <v>74</v>
      </c>
      <c r="L594" s="172" t="s">
        <v>75</v>
      </c>
      <c r="M594" s="172" t="s">
        <v>17</v>
      </c>
    </row>
    <row r="595" spans="1:13" x14ac:dyDescent="0.2">
      <c r="A595" s="172" t="s">
        <v>72</v>
      </c>
      <c r="B595" s="172" t="s">
        <v>73</v>
      </c>
      <c r="C595" s="172" t="s">
        <v>21</v>
      </c>
      <c r="D595" s="172" t="s">
        <v>15</v>
      </c>
      <c r="E595" s="173">
        <v>43074</v>
      </c>
      <c r="F595" s="174">
        <v>4.5083538000000001</v>
      </c>
      <c r="G595" s="175" t="s">
        <v>19</v>
      </c>
      <c r="H595" s="172" t="s">
        <v>17</v>
      </c>
      <c r="I595" s="175">
        <v>1</v>
      </c>
      <c r="J595" s="175" t="s">
        <v>18</v>
      </c>
      <c r="K595" s="175" t="s">
        <v>74</v>
      </c>
      <c r="L595" s="172" t="s">
        <v>75</v>
      </c>
      <c r="M595" s="172" t="s">
        <v>17</v>
      </c>
    </row>
    <row r="596" spans="1:13" x14ac:dyDescent="0.2">
      <c r="A596" s="172" t="s">
        <v>72</v>
      </c>
      <c r="B596" s="172" t="s">
        <v>73</v>
      </c>
      <c r="C596" s="172" t="s">
        <v>21</v>
      </c>
      <c r="D596" s="172" t="s">
        <v>15</v>
      </c>
      <c r="E596" s="173">
        <v>43074</v>
      </c>
      <c r="F596" s="174">
        <v>0.65</v>
      </c>
      <c r="G596" s="175" t="s">
        <v>16</v>
      </c>
      <c r="H596" s="172" t="s">
        <v>20</v>
      </c>
      <c r="I596" s="175">
        <v>1</v>
      </c>
      <c r="J596" s="175" t="s">
        <v>18</v>
      </c>
      <c r="K596" s="175" t="s">
        <v>74</v>
      </c>
      <c r="L596" s="172" t="s">
        <v>75</v>
      </c>
      <c r="M596" s="172" t="s">
        <v>76</v>
      </c>
    </row>
    <row r="597" spans="1:13" x14ac:dyDescent="0.2">
      <c r="A597" s="172" t="s">
        <v>72</v>
      </c>
      <c r="B597" s="172" t="s">
        <v>73</v>
      </c>
      <c r="C597" s="172" t="s">
        <v>21</v>
      </c>
      <c r="D597" s="172" t="s">
        <v>15</v>
      </c>
      <c r="E597" s="173">
        <v>43074</v>
      </c>
      <c r="F597" s="174">
        <v>3.187548</v>
      </c>
      <c r="G597" s="175" t="s">
        <v>19</v>
      </c>
      <c r="H597" s="172" t="s">
        <v>20</v>
      </c>
      <c r="I597" s="175">
        <v>1</v>
      </c>
      <c r="J597" s="175" t="s">
        <v>18</v>
      </c>
      <c r="K597" s="175" t="s">
        <v>74</v>
      </c>
      <c r="L597" s="172" t="s">
        <v>75</v>
      </c>
      <c r="M597" s="172" t="s">
        <v>76</v>
      </c>
    </row>
    <row r="598" spans="1:13" x14ac:dyDescent="0.2">
      <c r="A598" s="172" t="s">
        <v>72</v>
      </c>
      <c r="B598" s="172" t="s">
        <v>73</v>
      </c>
      <c r="C598" s="172" t="s">
        <v>21</v>
      </c>
      <c r="D598" s="172" t="s">
        <v>15</v>
      </c>
      <c r="E598" s="173">
        <v>43067</v>
      </c>
      <c r="F598" s="174">
        <v>0.76</v>
      </c>
      <c r="G598" s="175" t="s">
        <v>16</v>
      </c>
      <c r="H598" s="172" t="s">
        <v>17</v>
      </c>
      <c r="I598" s="175">
        <v>1</v>
      </c>
      <c r="J598" s="175" t="s">
        <v>18</v>
      </c>
      <c r="K598" s="175" t="s">
        <v>74</v>
      </c>
      <c r="L598" s="172" t="s">
        <v>75</v>
      </c>
      <c r="M598" s="172" t="s">
        <v>17</v>
      </c>
    </row>
    <row r="599" spans="1:13" x14ac:dyDescent="0.2">
      <c r="A599" s="172" t="s">
        <v>72</v>
      </c>
      <c r="B599" s="172" t="s">
        <v>73</v>
      </c>
      <c r="C599" s="172" t="s">
        <v>21</v>
      </c>
      <c r="D599" s="172" t="s">
        <v>15</v>
      </c>
      <c r="E599" s="173">
        <v>43067</v>
      </c>
      <c r="F599" s="174">
        <v>3.2199072000000002</v>
      </c>
      <c r="G599" s="175" t="s">
        <v>19</v>
      </c>
      <c r="H599" s="172" t="s">
        <v>17</v>
      </c>
      <c r="I599" s="175">
        <v>1</v>
      </c>
      <c r="J599" s="175" t="s">
        <v>18</v>
      </c>
      <c r="K599" s="175" t="s">
        <v>74</v>
      </c>
      <c r="L599" s="172" t="s">
        <v>75</v>
      </c>
      <c r="M599" s="172" t="s">
        <v>17</v>
      </c>
    </row>
    <row r="600" spans="1:13" x14ac:dyDescent="0.2">
      <c r="A600" s="172" t="s">
        <v>72</v>
      </c>
      <c r="B600" s="172" t="s">
        <v>73</v>
      </c>
      <c r="C600" s="172" t="s">
        <v>21</v>
      </c>
      <c r="D600" s="172" t="s">
        <v>15</v>
      </c>
      <c r="E600" s="173">
        <v>43067</v>
      </c>
      <c r="F600" s="174">
        <v>0.52</v>
      </c>
      <c r="G600" s="175" t="s">
        <v>16</v>
      </c>
      <c r="H600" s="172" t="s">
        <v>20</v>
      </c>
      <c r="I600" s="175">
        <v>1</v>
      </c>
      <c r="J600" s="175" t="s">
        <v>18</v>
      </c>
      <c r="K600" s="175" t="s">
        <v>74</v>
      </c>
      <c r="L600" s="172" t="s">
        <v>75</v>
      </c>
      <c r="M600" s="172" t="s">
        <v>76</v>
      </c>
    </row>
    <row r="601" spans="1:13" x14ac:dyDescent="0.2">
      <c r="A601" s="172" t="s">
        <v>72</v>
      </c>
      <c r="B601" s="172" t="s">
        <v>73</v>
      </c>
      <c r="C601" s="172" t="s">
        <v>21</v>
      </c>
      <c r="D601" s="172" t="s">
        <v>15</v>
      </c>
      <c r="E601" s="173">
        <v>43067</v>
      </c>
      <c r="F601" s="174">
        <v>2.5934064000000001</v>
      </c>
      <c r="G601" s="175" t="s">
        <v>19</v>
      </c>
      <c r="H601" s="172" t="s">
        <v>20</v>
      </c>
      <c r="I601" s="175">
        <v>1</v>
      </c>
      <c r="J601" s="175" t="s">
        <v>18</v>
      </c>
      <c r="K601" s="175" t="s">
        <v>74</v>
      </c>
      <c r="L601" s="172" t="s">
        <v>75</v>
      </c>
      <c r="M601" s="172" t="s">
        <v>76</v>
      </c>
    </row>
    <row r="602" spans="1:13" x14ac:dyDescent="0.2">
      <c r="A602" s="172" t="s">
        <v>72</v>
      </c>
      <c r="B602" s="172" t="s">
        <v>73</v>
      </c>
      <c r="C602" s="172" t="s">
        <v>21</v>
      </c>
      <c r="D602" s="172" t="s">
        <v>15</v>
      </c>
      <c r="E602" s="173">
        <v>43059</v>
      </c>
      <c r="F602" s="174">
        <v>3.835</v>
      </c>
      <c r="G602" s="175" t="s">
        <v>16</v>
      </c>
      <c r="H602" s="172" t="s">
        <v>17</v>
      </c>
      <c r="I602" s="175">
        <v>1</v>
      </c>
      <c r="J602" s="175" t="s">
        <v>18</v>
      </c>
      <c r="K602" s="175" t="s">
        <v>74</v>
      </c>
      <c r="L602" s="172" t="s">
        <v>75</v>
      </c>
      <c r="M602" s="172" t="s">
        <v>17</v>
      </c>
    </row>
    <row r="603" spans="1:13" x14ac:dyDescent="0.2">
      <c r="A603" s="172" t="s">
        <v>72</v>
      </c>
      <c r="B603" s="172" t="s">
        <v>73</v>
      </c>
      <c r="C603" s="172" t="s">
        <v>21</v>
      </c>
      <c r="D603" s="172" t="s">
        <v>15</v>
      </c>
      <c r="E603" s="173">
        <v>43059</v>
      </c>
      <c r="F603" s="174">
        <v>16.599644099999999</v>
      </c>
      <c r="G603" s="175" t="s">
        <v>19</v>
      </c>
      <c r="H603" s="172" t="s">
        <v>17</v>
      </c>
      <c r="I603" s="175">
        <v>1</v>
      </c>
      <c r="J603" s="175" t="s">
        <v>18</v>
      </c>
      <c r="K603" s="175" t="s">
        <v>74</v>
      </c>
      <c r="L603" s="172" t="s">
        <v>75</v>
      </c>
      <c r="M603" s="172" t="s">
        <v>17</v>
      </c>
    </row>
    <row r="604" spans="1:13" x14ac:dyDescent="0.2">
      <c r="A604" s="172" t="s">
        <v>72</v>
      </c>
      <c r="B604" s="172" t="s">
        <v>73</v>
      </c>
      <c r="C604" s="172" t="s">
        <v>21</v>
      </c>
      <c r="D604" s="172" t="s">
        <v>15</v>
      </c>
      <c r="E604" s="173">
        <v>43059</v>
      </c>
      <c r="F604" s="174">
        <v>2.89</v>
      </c>
      <c r="G604" s="175" t="s">
        <v>16</v>
      </c>
      <c r="H604" s="172" t="s">
        <v>20</v>
      </c>
      <c r="I604" s="175">
        <v>1</v>
      </c>
      <c r="J604" s="175" t="s">
        <v>18</v>
      </c>
      <c r="K604" s="175" t="s">
        <v>74</v>
      </c>
      <c r="L604" s="172" t="s">
        <v>75</v>
      </c>
      <c r="M604" s="172" t="s">
        <v>76</v>
      </c>
    </row>
    <row r="605" spans="1:13" x14ac:dyDescent="0.2">
      <c r="A605" s="172" t="s">
        <v>72</v>
      </c>
      <c r="B605" s="172" t="s">
        <v>73</v>
      </c>
      <c r="C605" s="172" t="s">
        <v>21</v>
      </c>
      <c r="D605" s="172" t="s">
        <v>15</v>
      </c>
      <c r="E605" s="173">
        <v>43059</v>
      </c>
      <c r="F605" s="174">
        <v>15.184638</v>
      </c>
      <c r="G605" s="175" t="s">
        <v>19</v>
      </c>
      <c r="H605" s="172" t="s">
        <v>20</v>
      </c>
      <c r="I605" s="175">
        <v>1</v>
      </c>
      <c r="J605" s="175" t="s">
        <v>18</v>
      </c>
      <c r="K605" s="175" t="s">
        <v>74</v>
      </c>
      <c r="L605" s="172" t="s">
        <v>75</v>
      </c>
      <c r="M605" s="172" t="s">
        <v>76</v>
      </c>
    </row>
    <row r="606" spans="1:13" x14ac:dyDescent="0.2">
      <c r="A606" s="172" t="s">
        <v>72</v>
      </c>
      <c r="B606" s="172" t="s">
        <v>73</v>
      </c>
      <c r="C606" s="172" t="s">
        <v>21</v>
      </c>
      <c r="D606" s="172" t="s">
        <v>15</v>
      </c>
      <c r="E606" s="173">
        <v>43053</v>
      </c>
      <c r="F606" s="174">
        <v>2.5649999999999999</v>
      </c>
      <c r="G606" s="175" t="s">
        <v>16</v>
      </c>
      <c r="H606" s="172" t="s">
        <v>17</v>
      </c>
      <c r="I606" s="175">
        <v>1</v>
      </c>
      <c r="J606" s="175" t="s">
        <v>18</v>
      </c>
      <c r="K606" s="175" t="s">
        <v>74</v>
      </c>
      <c r="L606" s="172" t="s">
        <v>75</v>
      </c>
      <c r="M606" s="172" t="s">
        <v>17</v>
      </c>
    </row>
    <row r="607" spans="1:13" x14ac:dyDescent="0.2">
      <c r="A607" s="172" t="s">
        <v>72</v>
      </c>
      <c r="B607" s="172" t="s">
        <v>73</v>
      </c>
      <c r="C607" s="172" t="s">
        <v>21</v>
      </c>
      <c r="D607" s="172" t="s">
        <v>15</v>
      </c>
      <c r="E607" s="173">
        <v>43053</v>
      </c>
      <c r="F607" s="174">
        <v>11.123892</v>
      </c>
      <c r="G607" s="175" t="s">
        <v>19</v>
      </c>
      <c r="H607" s="172" t="s">
        <v>17</v>
      </c>
      <c r="I607" s="175">
        <v>1</v>
      </c>
      <c r="J607" s="175" t="s">
        <v>18</v>
      </c>
      <c r="K607" s="175" t="s">
        <v>74</v>
      </c>
      <c r="L607" s="172" t="s">
        <v>75</v>
      </c>
      <c r="M607" s="172" t="s">
        <v>17</v>
      </c>
    </row>
    <row r="608" spans="1:13" x14ac:dyDescent="0.2">
      <c r="A608" s="172" t="s">
        <v>72</v>
      </c>
      <c r="B608" s="172" t="s">
        <v>73</v>
      </c>
      <c r="C608" s="172" t="s">
        <v>21</v>
      </c>
      <c r="D608" s="172" t="s">
        <v>15</v>
      </c>
      <c r="E608" s="173">
        <v>43053</v>
      </c>
      <c r="F608" s="174">
        <v>2.5350000000000001</v>
      </c>
      <c r="G608" s="175" t="s">
        <v>16</v>
      </c>
      <c r="H608" s="172" t="s">
        <v>20</v>
      </c>
      <c r="I608" s="175">
        <v>1</v>
      </c>
      <c r="J608" s="175" t="s">
        <v>18</v>
      </c>
      <c r="K608" s="175" t="s">
        <v>74</v>
      </c>
      <c r="L608" s="172" t="s">
        <v>75</v>
      </c>
      <c r="M608" s="172" t="s">
        <v>76</v>
      </c>
    </row>
    <row r="609" spans="1:13" x14ac:dyDescent="0.2">
      <c r="A609" s="172" t="s">
        <v>72</v>
      </c>
      <c r="B609" s="172" t="s">
        <v>73</v>
      </c>
      <c r="C609" s="172" t="s">
        <v>21</v>
      </c>
      <c r="D609" s="172" t="s">
        <v>15</v>
      </c>
      <c r="E609" s="173">
        <v>43053</v>
      </c>
      <c r="F609" s="174">
        <v>13.4039646</v>
      </c>
      <c r="G609" s="175" t="s">
        <v>19</v>
      </c>
      <c r="H609" s="172" t="s">
        <v>20</v>
      </c>
      <c r="I609" s="175">
        <v>1</v>
      </c>
      <c r="J609" s="175" t="s">
        <v>18</v>
      </c>
      <c r="K609" s="175" t="s">
        <v>74</v>
      </c>
      <c r="L609" s="172" t="s">
        <v>75</v>
      </c>
      <c r="M609" s="172" t="s">
        <v>76</v>
      </c>
    </row>
    <row r="610" spans="1:13" x14ac:dyDescent="0.2">
      <c r="A610" s="172" t="s">
        <v>72</v>
      </c>
      <c r="B610" s="172" t="s">
        <v>73</v>
      </c>
      <c r="C610" s="172" t="s">
        <v>21</v>
      </c>
      <c r="D610" s="172" t="s">
        <v>15</v>
      </c>
      <c r="E610" s="173">
        <v>43046</v>
      </c>
      <c r="F610" s="174">
        <v>4.2850000000000001</v>
      </c>
      <c r="G610" s="175" t="s">
        <v>16</v>
      </c>
      <c r="H610" s="172" t="s">
        <v>17</v>
      </c>
      <c r="I610" s="175">
        <v>1</v>
      </c>
      <c r="J610" s="175" t="s">
        <v>18</v>
      </c>
      <c r="K610" s="175" t="s">
        <v>74</v>
      </c>
      <c r="L610" s="172" t="s">
        <v>75</v>
      </c>
      <c r="M610" s="172" t="s">
        <v>17</v>
      </c>
    </row>
    <row r="611" spans="1:13" x14ac:dyDescent="0.2">
      <c r="A611" s="172" t="s">
        <v>72</v>
      </c>
      <c r="B611" s="172" t="s">
        <v>73</v>
      </c>
      <c r="C611" s="172" t="s">
        <v>21</v>
      </c>
      <c r="D611" s="172" t="s">
        <v>15</v>
      </c>
      <c r="E611" s="173">
        <v>43046</v>
      </c>
      <c r="F611" s="174">
        <v>19.012030800000002</v>
      </c>
      <c r="G611" s="175" t="s">
        <v>19</v>
      </c>
      <c r="H611" s="172" t="s">
        <v>17</v>
      </c>
      <c r="I611" s="175">
        <v>1</v>
      </c>
      <c r="J611" s="175" t="s">
        <v>18</v>
      </c>
      <c r="K611" s="175" t="s">
        <v>74</v>
      </c>
      <c r="L611" s="172" t="s">
        <v>75</v>
      </c>
      <c r="M611" s="172" t="s">
        <v>17</v>
      </c>
    </row>
    <row r="612" spans="1:13" x14ac:dyDescent="0.2">
      <c r="A612" s="172" t="s">
        <v>72</v>
      </c>
      <c r="B612" s="172" t="s">
        <v>73</v>
      </c>
      <c r="C612" s="172" t="s">
        <v>21</v>
      </c>
      <c r="D612" s="172" t="s">
        <v>15</v>
      </c>
      <c r="E612" s="173">
        <v>43046</v>
      </c>
      <c r="F612" s="174">
        <v>0.83499999999999996</v>
      </c>
      <c r="G612" s="175" t="s">
        <v>16</v>
      </c>
      <c r="H612" s="172" t="s">
        <v>20</v>
      </c>
      <c r="I612" s="175">
        <v>1</v>
      </c>
      <c r="J612" s="175" t="s">
        <v>18</v>
      </c>
      <c r="K612" s="175" t="s">
        <v>74</v>
      </c>
      <c r="L612" s="172" t="s">
        <v>75</v>
      </c>
      <c r="M612" s="172" t="s">
        <v>76</v>
      </c>
    </row>
    <row r="613" spans="1:13" x14ac:dyDescent="0.2">
      <c r="A613" s="172" t="s">
        <v>72</v>
      </c>
      <c r="B613" s="172" t="s">
        <v>73</v>
      </c>
      <c r="C613" s="172" t="s">
        <v>21</v>
      </c>
      <c r="D613" s="172" t="s">
        <v>15</v>
      </c>
      <c r="E613" s="173">
        <v>43046</v>
      </c>
      <c r="F613" s="174">
        <v>4.2688706999999999</v>
      </c>
      <c r="G613" s="175" t="s">
        <v>19</v>
      </c>
      <c r="H613" s="172" t="s">
        <v>20</v>
      </c>
      <c r="I613" s="175">
        <v>1</v>
      </c>
      <c r="J613" s="175" t="s">
        <v>18</v>
      </c>
      <c r="K613" s="175" t="s">
        <v>74</v>
      </c>
      <c r="L613" s="172" t="s">
        <v>75</v>
      </c>
      <c r="M613" s="172" t="s">
        <v>76</v>
      </c>
    </row>
    <row r="614" spans="1:13" x14ac:dyDescent="0.2">
      <c r="A614" s="172" t="s">
        <v>72</v>
      </c>
      <c r="B614" s="172" t="s">
        <v>73</v>
      </c>
      <c r="C614" s="172" t="s">
        <v>21</v>
      </c>
      <c r="D614" s="172" t="s">
        <v>15</v>
      </c>
      <c r="E614" s="173">
        <v>43039</v>
      </c>
      <c r="F614" s="174">
        <v>2.2349999999999999</v>
      </c>
      <c r="G614" s="175" t="s">
        <v>16</v>
      </c>
      <c r="H614" s="172" t="s">
        <v>17</v>
      </c>
      <c r="I614" s="175">
        <v>1</v>
      </c>
      <c r="J614" s="175" t="s">
        <v>18</v>
      </c>
      <c r="K614" s="175" t="s">
        <v>74</v>
      </c>
      <c r="L614" s="172" t="s">
        <v>75</v>
      </c>
      <c r="M614" s="172" t="s">
        <v>17</v>
      </c>
    </row>
    <row r="615" spans="1:13" x14ac:dyDescent="0.2">
      <c r="A615" s="172" t="s">
        <v>72</v>
      </c>
      <c r="B615" s="172" t="s">
        <v>73</v>
      </c>
      <c r="C615" s="172" t="s">
        <v>21</v>
      </c>
      <c r="D615" s="172" t="s">
        <v>15</v>
      </c>
      <c r="E615" s="173">
        <v>43039</v>
      </c>
      <c r="F615" s="174">
        <v>10.7925021</v>
      </c>
      <c r="G615" s="175" t="s">
        <v>19</v>
      </c>
      <c r="H615" s="172" t="s">
        <v>17</v>
      </c>
      <c r="I615" s="175">
        <v>1</v>
      </c>
      <c r="J615" s="175" t="s">
        <v>18</v>
      </c>
      <c r="K615" s="175" t="s">
        <v>74</v>
      </c>
      <c r="L615" s="172" t="s">
        <v>75</v>
      </c>
      <c r="M615" s="172" t="s">
        <v>17</v>
      </c>
    </row>
    <row r="616" spans="1:13" x14ac:dyDescent="0.2">
      <c r="A616" s="172" t="s">
        <v>72</v>
      </c>
      <c r="B616" s="172" t="s">
        <v>73</v>
      </c>
      <c r="C616" s="172" t="s">
        <v>21</v>
      </c>
      <c r="D616" s="172" t="s">
        <v>15</v>
      </c>
      <c r="E616" s="173">
        <v>43039</v>
      </c>
      <c r="F616" s="174">
        <v>2.02</v>
      </c>
      <c r="G616" s="175" t="s">
        <v>16</v>
      </c>
      <c r="H616" s="172" t="s">
        <v>20</v>
      </c>
      <c r="I616" s="175">
        <v>1</v>
      </c>
      <c r="J616" s="175" t="s">
        <v>18</v>
      </c>
      <c r="K616" s="175" t="s">
        <v>74</v>
      </c>
      <c r="L616" s="172" t="s">
        <v>75</v>
      </c>
      <c r="M616" s="172" t="s">
        <v>76</v>
      </c>
    </row>
    <row r="617" spans="1:13" x14ac:dyDescent="0.2">
      <c r="A617" s="172" t="s">
        <v>72</v>
      </c>
      <c r="B617" s="172" t="s">
        <v>73</v>
      </c>
      <c r="C617" s="172" t="s">
        <v>21</v>
      </c>
      <c r="D617" s="172" t="s">
        <v>15</v>
      </c>
      <c r="E617" s="173">
        <v>43039</v>
      </c>
      <c r="F617" s="174">
        <v>11.085194400000001</v>
      </c>
      <c r="G617" s="175" t="s">
        <v>19</v>
      </c>
      <c r="H617" s="172" t="s">
        <v>20</v>
      </c>
      <c r="I617" s="175">
        <v>1</v>
      </c>
      <c r="J617" s="175" t="s">
        <v>18</v>
      </c>
      <c r="K617" s="175" t="s">
        <v>74</v>
      </c>
      <c r="L617" s="172" t="s">
        <v>75</v>
      </c>
      <c r="M617" s="172" t="s">
        <v>76</v>
      </c>
    </row>
    <row r="618" spans="1:13" x14ac:dyDescent="0.2">
      <c r="A618" s="172" t="s">
        <v>72</v>
      </c>
      <c r="B618" s="172" t="s">
        <v>73</v>
      </c>
      <c r="C618" s="172" t="s">
        <v>21</v>
      </c>
      <c r="D618" s="172" t="s">
        <v>15</v>
      </c>
      <c r="E618" s="173">
        <v>43032</v>
      </c>
      <c r="F618" s="174">
        <v>1.7430000000000001</v>
      </c>
      <c r="G618" s="175" t="s">
        <v>16</v>
      </c>
      <c r="H618" s="172" t="s">
        <v>17</v>
      </c>
      <c r="I618" s="175">
        <v>1</v>
      </c>
      <c r="J618" s="175" t="s">
        <v>18</v>
      </c>
      <c r="K618" s="175" t="s">
        <v>74</v>
      </c>
      <c r="L618" s="172" t="s">
        <v>75</v>
      </c>
      <c r="M618" s="172" t="s">
        <v>17</v>
      </c>
    </row>
    <row r="619" spans="1:13" x14ac:dyDescent="0.2">
      <c r="A619" s="172" t="s">
        <v>72</v>
      </c>
      <c r="B619" s="172" t="s">
        <v>73</v>
      </c>
      <c r="C619" s="172" t="s">
        <v>21</v>
      </c>
      <c r="D619" s="172" t="s">
        <v>15</v>
      </c>
      <c r="E619" s="173">
        <v>43032</v>
      </c>
      <c r="F619" s="174">
        <v>8.9254846000000008</v>
      </c>
      <c r="G619" s="175" t="s">
        <v>19</v>
      </c>
      <c r="H619" s="172" t="s">
        <v>17</v>
      </c>
      <c r="I619" s="175">
        <v>1</v>
      </c>
      <c r="J619" s="175" t="s">
        <v>18</v>
      </c>
      <c r="K619" s="175" t="s">
        <v>74</v>
      </c>
      <c r="L619" s="172" t="s">
        <v>75</v>
      </c>
      <c r="M619" s="172" t="s">
        <v>17</v>
      </c>
    </row>
    <row r="620" spans="1:13" x14ac:dyDescent="0.2">
      <c r="A620" s="172" t="s">
        <v>72</v>
      </c>
      <c r="B620" s="172" t="s">
        <v>73</v>
      </c>
      <c r="C620" s="172" t="s">
        <v>21</v>
      </c>
      <c r="D620" s="172" t="s">
        <v>15</v>
      </c>
      <c r="E620" s="173">
        <v>43032</v>
      </c>
      <c r="F620" s="174">
        <v>1.4950000000000001</v>
      </c>
      <c r="G620" s="175" t="s">
        <v>16</v>
      </c>
      <c r="H620" s="172" t="s">
        <v>20</v>
      </c>
      <c r="I620" s="175">
        <v>1</v>
      </c>
      <c r="J620" s="175" t="s">
        <v>18</v>
      </c>
      <c r="K620" s="175" t="s">
        <v>74</v>
      </c>
      <c r="L620" s="172" t="s">
        <v>75</v>
      </c>
      <c r="M620" s="172" t="s">
        <v>76</v>
      </c>
    </row>
    <row r="621" spans="1:13" x14ac:dyDescent="0.2">
      <c r="A621" s="172" t="s">
        <v>72</v>
      </c>
      <c r="B621" s="172" t="s">
        <v>73</v>
      </c>
      <c r="C621" s="172" t="s">
        <v>21</v>
      </c>
      <c r="D621" s="172" t="s">
        <v>15</v>
      </c>
      <c r="E621" s="173">
        <v>43032</v>
      </c>
      <c r="F621" s="174">
        <v>8.7527466</v>
      </c>
      <c r="G621" s="175" t="s">
        <v>19</v>
      </c>
      <c r="H621" s="172" t="s">
        <v>20</v>
      </c>
      <c r="I621" s="175">
        <v>1</v>
      </c>
      <c r="J621" s="175" t="s">
        <v>18</v>
      </c>
      <c r="K621" s="175" t="s">
        <v>74</v>
      </c>
      <c r="L621" s="172" t="s">
        <v>75</v>
      </c>
      <c r="M621" s="172" t="s">
        <v>76</v>
      </c>
    </row>
    <row r="622" spans="1:13" x14ac:dyDescent="0.2">
      <c r="A622" s="172" t="s">
        <v>72</v>
      </c>
      <c r="B622" s="172" t="s">
        <v>73</v>
      </c>
      <c r="C622" s="172" t="s">
        <v>21</v>
      </c>
      <c r="D622" s="172" t="s">
        <v>15</v>
      </c>
      <c r="E622" s="173">
        <v>43025</v>
      </c>
      <c r="F622" s="174">
        <v>1.41</v>
      </c>
      <c r="G622" s="175" t="s">
        <v>16</v>
      </c>
      <c r="H622" s="172" t="s">
        <v>17</v>
      </c>
      <c r="I622" s="175">
        <v>1</v>
      </c>
      <c r="J622" s="175" t="s">
        <v>18</v>
      </c>
      <c r="K622" s="175" t="s">
        <v>74</v>
      </c>
      <c r="L622" s="172" t="s">
        <v>75</v>
      </c>
      <c r="M622" s="172" t="s">
        <v>17</v>
      </c>
    </row>
    <row r="623" spans="1:13" x14ac:dyDescent="0.2">
      <c r="A623" s="172" t="s">
        <v>72</v>
      </c>
      <c r="B623" s="172" t="s">
        <v>73</v>
      </c>
      <c r="C623" s="172" t="s">
        <v>21</v>
      </c>
      <c r="D623" s="172" t="s">
        <v>15</v>
      </c>
      <c r="E623" s="173">
        <v>43025</v>
      </c>
      <c r="F623" s="174">
        <v>7.0203617999999999</v>
      </c>
      <c r="G623" s="175" t="s">
        <v>19</v>
      </c>
      <c r="H623" s="172" t="s">
        <v>17</v>
      </c>
      <c r="I623" s="175">
        <v>1</v>
      </c>
      <c r="J623" s="175" t="s">
        <v>18</v>
      </c>
      <c r="K623" s="175" t="s">
        <v>74</v>
      </c>
      <c r="L623" s="172" t="s">
        <v>75</v>
      </c>
      <c r="M623" s="172" t="s">
        <v>17</v>
      </c>
    </row>
    <row r="624" spans="1:13" x14ac:dyDescent="0.2">
      <c r="A624" s="172" t="s">
        <v>72</v>
      </c>
      <c r="B624" s="172" t="s">
        <v>73</v>
      </c>
      <c r="C624" s="172" t="s">
        <v>21</v>
      </c>
      <c r="D624" s="172" t="s">
        <v>15</v>
      </c>
      <c r="E624" s="173">
        <v>43025</v>
      </c>
      <c r="F624" s="174">
        <v>1.915</v>
      </c>
      <c r="G624" s="175" t="s">
        <v>16</v>
      </c>
      <c r="H624" s="172" t="s">
        <v>20</v>
      </c>
      <c r="I624" s="175">
        <v>1</v>
      </c>
      <c r="J624" s="175" t="s">
        <v>18</v>
      </c>
      <c r="K624" s="175" t="s">
        <v>74</v>
      </c>
      <c r="L624" s="172" t="s">
        <v>75</v>
      </c>
      <c r="M624" s="172" t="s">
        <v>76</v>
      </c>
    </row>
    <row r="625" spans="1:13" x14ac:dyDescent="0.2">
      <c r="A625" s="172" t="s">
        <v>72</v>
      </c>
      <c r="B625" s="172" t="s">
        <v>73</v>
      </c>
      <c r="C625" s="172" t="s">
        <v>21</v>
      </c>
      <c r="D625" s="172" t="s">
        <v>15</v>
      </c>
      <c r="E625" s="173">
        <v>43025</v>
      </c>
      <c r="F625" s="174">
        <v>12.2498337</v>
      </c>
      <c r="G625" s="175" t="s">
        <v>19</v>
      </c>
      <c r="H625" s="172" t="s">
        <v>20</v>
      </c>
      <c r="I625" s="175">
        <v>1</v>
      </c>
      <c r="J625" s="175" t="s">
        <v>18</v>
      </c>
      <c r="K625" s="175" t="s">
        <v>74</v>
      </c>
      <c r="L625" s="172" t="s">
        <v>75</v>
      </c>
      <c r="M625" s="172" t="s">
        <v>76</v>
      </c>
    </row>
    <row r="626" spans="1:13" x14ac:dyDescent="0.2">
      <c r="A626" s="172" t="s">
        <v>72</v>
      </c>
      <c r="B626" s="172" t="s">
        <v>73</v>
      </c>
      <c r="C626" s="172" t="s">
        <v>21</v>
      </c>
      <c r="D626" s="172" t="s">
        <v>15</v>
      </c>
      <c r="E626" s="173">
        <v>43019</v>
      </c>
      <c r="F626" s="174">
        <v>2.1</v>
      </c>
      <c r="G626" s="175" t="s">
        <v>16</v>
      </c>
      <c r="H626" s="172" t="s">
        <v>17</v>
      </c>
      <c r="I626" s="175">
        <v>1</v>
      </c>
      <c r="J626" s="175" t="s">
        <v>18</v>
      </c>
      <c r="K626" s="175" t="s">
        <v>74</v>
      </c>
      <c r="L626" s="172" t="s">
        <v>75</v>
      </c>
      <c r="M626" s="172" t="s">
        <v>17</v>
      </c>
    </row>
    <row r="627" spans="1:13" x14ac:dyDescent="0.2">
      <c r="A627" s="172" t="s">
        <v>72</v>
      </c>
      <c r="B627" s="172" t="s">
        <v>73</v>
      </c>
      <c r="C627" s="172" t="s">
        <v>21</v>
      </c>
      <c r="D627" s="172" t="s">
        <v>15</v>
      </c>
      <c r="E627" s="173">
        <v>43019</v>
      </c>
      <c r="F627" s="174">
        <v>20.211155999999999</v>
      </c>
      <c r="G627" s="175" t="s">
        <v>19</v>
      </c>
      <c r="H627" s="172" t="s">
        <v>17</v>
      </c>
      <c r="I627" s="175">
        <v>1</v>
      </c>
      <c r="J627" s="175" t="s">
        <v>18</v>
      </c>
      <c r="K627" s="175" t="s">
        <v>74</v>
      </c>
      <c r="L627" s="172" t="s">
        <v>75</v>
      </c>
      <c r="M627" s="172" t="s">
        <v>17</v>
      </c>
    </row>
    <row r="628" spans="1:13" x14ac:dyDescent="0.2">
      <c r="A628" s="172" t="s">
        <v>72</v>
      </c>
      <c r="B628" s="172" t="s">
        <v>73</v>
      </c>
      <c r="C628" s="172" t="s">
        <v>21</v>
      </c>
      <c r="D628" s="172" t="s">
        <v>15</v>
      </c>
      <c r="E628" s="173">
        <v>43019</v>
      </c>
      <c r="F628" s="174">
        <v>0.71</v>
      </c>
      <c r="G628" s="175" t="s">
        <v>16</v>
      </c>
      <c r="H628" s="172" t="s">
        <v>20</v>
      </c>
      <c r="I628" s="175">
        <v>1</v>
      </c>
      <c r="J628" s="175" t="s">
        <v>18</v>
      </c>
      <c r="K628" s="175" t="s">
        <v>74</v>
      </c>
      <c r="L628" s="172" t="s">
        <v>75</v>
      </c>
      <c r="M628" s="172" t="s">
        <v>76</v>
      </c>
    </row>
    <row r="629" spans="1:13" x14ac:dyDescent="0.2">
      <c r="A629" s="172" t="s">
        <v>72</v>
      </c>
      <c r="B629" s="172" t="s">
        <v>73</v>
      </c>
      <c r="C629" s="172" t="s">
        <v>21</v>
      </c>
      <c r="D629" s="172" t="s">
        <v>15</v>
      </c>
      <c r="E629" s="173">
        <v>43019</v>
      </c>
      <c r="F629" s="174">
        <v>7.4135928</v>
      </c>
      <c r="G629" s="175" t="s">
        <v>19</v>
      </c>
      <c r="H629" s="172" t="s">
        <v>20</v>
      </c>
      <c r="I629" s="175">
        <v>1</v>
      </c>
      <c r="J629" s="175" t="s">
        <v>18</v>
      </c>
      <c r="K629" s="175" t="s">
        <v>74</v>
      </c>
      <c r="L629" s="172" t="s">
        <v>75</v>
      </c>
      <c r="M629" s="172" t="s">
        <v>76</v>
      </c>
    </row>
    <row r="630" spans="1:13" x14ac:dyDescent="0.2">
      <c r="A630" s="172" t="s">
        <v>72</v>
      </c>
      <c r="B630" s="172" t="s">
        <v>73</v>
      </c>
      <c r="C630" s="172" t="s">
        <v>21</v>
      </c>
      <c r="D630" s="172" t="s">
        <v>15</v>
      </c>
      <c r="E630" s="173">
        <v>43011</v>
      </c>
      <c r="F630" s="174">
        <v>4.2699999999999996</v>
      </c>
      <c r="G630" s="175" t="s">
        <v>16</v>
      </c>
      <c r="H630" s="172" t="s">
        <v>17</v>
      </c>
      <c r="I630" s="175">
        <v>1</v>
      </c>
      <c r="J630" s="175" t="s">
        <v>18</v>
      </c>
      <c r="K630" s="175" t="s">
        <v>74</v>
      </c>
      <c r="L630" s="172" t="s">
        <v>75</v>
      </c>
      <c r="M630" s="172" t="s">
        <v>17</v>
      </c>
    </row>
    <row r="631" spans="1:13" x14ac:dyDescent="0.2">
      <c r="A631" s="172" t="s">
        <v>72</v>
      </c>
      <c r="B631" s="172" t="s">
        <v>73</v>
      </c>
      <c r="C631" s="172" t="s">
        <v>21</v>
      </c>
      <c r="D631" s="172" t="s">
        <v>15</v>
      </c>
      <c r="E631" s="173">
        <v>43011</v>
      </c>
      <c r="F631" s="174">
        <v>17.7702882</v>
      </c>
      <c r="G631" s="175" t="s">
        <v>19</v>
      </c>
      <c r="H631" s="172" t="s">
        <v>17</v>
      </c>
      <c r="I631" s="175">
        <v>1</v>
      </c>
      <c r="J631" s="175" t="s">
        <v>18</v>
      </c>
      <c r="K631" s="175" t="s">
        <v>74</v>
      </c>
      <c r="L631" s="172" t="s">
        <v>75</v>
      </c>
      <c r="M631" s="172" t="s">
        <v>17</v>
      </c>
    </row>
    <row r="632" spans="1:13" x14ac:dyDescent="0.2">
      <c r="A632" s="172" t="s">
        <v>72</v>
      </c>
      <c r="B632" s="172" t="s">
        <v>73</v>
      </c>
      <c r="C632" s="172" t="s">
        <v>21</v>
      </c>
      <c r="D632" s="172" t="s">
        <v>15</v>
      </c>
      <c r="E632" s="173">
        <v>43011</v>
      </c>
      <c r="F632" s="174">
        <v>2.77</v>
      </c>
      <c r="G632" s="175" t="s">
        <v>16</v>
      </c>
      <c r="H632" s="172" t="s">
        <v>20</v>
      </c>
      <c r="I632" s="175">
        <v>1</v>
      </c>
      <c r="J632" s="175" t="s">
        <v>18</v>
      </c>
      <c r="K632" s="175" t="s">
        <v>74</v>
      </c>
      <c r="L632" s="172" t="s">
        <v>75</v>
      </c>
      <c r="M632" s="172" t="s">
        <v>76</v>
      </c>
    </row>
    <row r="633" spans="1:13" x14ac:dyDescent="0.2">
      <c r="A633" s="172" t="s">
        <v>72</v>
      </c>
      <c r="B633" s="172" t="s">
        <v>73</v>
      </c>
      <c r="C633" s="172" t="s">
        <v>21</v>
      </c>
      <c r="D633" s="172" t="s">
        <v>15</v>
      </c>
      <c r="E633" s="173">
        <v>43011</v>
      </c>
      <c r="F633" s="174">
        <v>13.9996908</v>
      </c>
      <c r="G633" s="175" t="s">
        <v>19</v>
      </c>
      <c r="H633" s="172" t="s">
        <v>20</v>
      </c>
      <c r="I633" s="175">
        <v>1</v>
      </c>
      <c r="J633" s="175" t="s">
        <v>18</v>
      </c>
      <c r="K633" s="175" t="s">
        <v>74</v>
      </c>
      <c r="L633" s="172" t="s">
        <v>75</v>
      </c>
      <c r="M633" s="172" t="s">
        <v>76</v>
      </c>
    </row>
    <row r="634" spans="1:13" x14ac:dyDescent="0.2">
      <c r="A634" s="172" t="s">
        <v>72</v>
      </c>
      <c r="B634" s="172" t="s">
        <v>73</v>
      </c>
      <c r="C634" s="172" t="s">
        <v>21</v>
      </c>
      <c r="D634" s="172" t="s">
        <v>15</v>
      </c>
      <c r="E634" s="173">
        <v>43004</v>
      </c>
      <c r="F634" s="174">
        <v>3.8849999999999998</v>
      </c>
      <c r="G634" s="175" t="s">
        <v>16</v>
      </c>
      <c r="H634" s="172" t="s">
        <v>17</v>
      </c>
      <c r="I634" s="175">
        <v>1</v>
      </c>
      <c r="J634" s="175" t="s">
        <v>18</v>
      </c>
      <c r="K634" s="175" t="s">
        <v>74</v>
      </c>
      <c r="L634" s="172" t="s">
        <v>75</v>
      </c>
      <c r="M634" s="172" t="s">
        <v>17</v>
      </c>
    </row>
    <row r="635" spans="1:13" x14ac:dyDescent="0.2">
      <c r="A635" s="172" t="s">
        <v>72</v>
      </c>
      <c r="B635" s="172" t="s">
        <v>73</v>
      </c>
      <c r="C635" s="172" t="s">
        <v>21</v>
      </c>
      <c r="D635" s="172" t="s">
        <v>15</v>
      </c>
      <c r="E635" s="173">
        <v>43004</v>
      </c>
      <c r="F635" s="174">
        <v>15.131220300000001</v>
      </c>
      <c r="G635" s="175" t="s">
        <v>19</v>
      </c>
      <c r="H635" s="172" t="s">
        <v>17</v>
      </c>
      <c r="I635" s="175">
        <v>1</v>
      </c>
      <c r="J635" s="175" t="s">
        <v>18</v>
      </c>
      <c r="K635" s="175" t="s">
        <v>74</v>
      </c>
      <c r="L635" s="172" t="s">
        <v>75</v>
      </c>
      <c r="M635" s="172" t="s">
        <v>17</v>
      </c>
    </row>
    <row r="636" spans="1:13" x14ac:dyDescent="0.2">
      <c r="A636" s="172" t="s">
        <v>72</v>
      </c>
      <c r="B636" s="172" t="s">
        <v>73</v>
      </c>
      <c r="C636" s="172" t="s">
        <v>21</v>
      </c>
      <c r="D636" s="172" t="s">
        <v>15</v>
      </c>
      <c r="E636" s="173">
        <v>43004</v>
      </c>
      <c r="F636" s="174">
        <v>2.61</v>
      </c>
      <c r="G636" s="175" t="s">
        <v>16</v>
      </c>
      <c r="H636" s="172" t="s">
        <v>20</v>
      </c>
      <c r="I636" s="175">
        <v>1</v>
      </c>
      <c r="J636" s="175" t="s">
        <v>18</v>
      </c>
      <c r="K636" s="175" t="s">
        <v>74</v>
      </c>
      <c r="L636" s="172" t="s">
        <v>75</v>
      </c>
      <c r="M636" s="172" t="s">
        <v>76</v>
      </c>
    </row>
    <row r="637" spans="1:13" x14ac:dyDescent="0.2">
      <c r="A637" s="172" t="s">
        <v>72</v>
      </c>
      <c r="B637" s="172" t="s">
        <v>73</v>
      </c>
      <c r="C637" s="172" t="s">
        <v>21</v>
      </c>
      <c r="D637" s="172" t="s">
        <v>15</v>
      </c>
      <c r="E637" s="173">
        <v>43004</v>
      </c>
      <c r="F637" s="174">
        <v>11.7108612</v>
      </c>
      <c r="G637" s="175" t="s">
        <v>19</v>
      </c>
      <c r="H637" s="172" t="s">
        <v>20</v>
      </c>
      <c r="I637" s="175">
        <v>1</v>
      </c>
      <c r="J637" s="175" t="s">
        <v>18</v>
      </c>
      <c r="K637" s="175" t="s">
        <v>74</v>
      </c>
      <c r="L637" s="172" t="s">
        <v>75</v>
      </c>
      <c r="M637" s="172" t="s">
        <v>76</v>
      </c>
    </row>
    <row r="638" spans="1:13" x14ac:dyDescent="0.2">
      <c r="A638" s="172" t="s">
        <v>72</v>
      </c>
      <c r="B638" s="172" t="s">
        <v>73</v>
      </c>
      <c r="C638" s="172" t="s">
        <v>21</v>
      </c>
      <c r="D638" s="172" t="s">
        <v>15</v>
      </c>
      <c r="E638" s="173">
        <v>42997</v>
      </c>
      <c r="F638" s="174">
        <v>3.7250000000000001</v>
      </c>
      <c r="G638" s="175" t="s">
        <v>16</v>
      </c>
      <c r="H638" s="172" t="s">
        <v>17</v>
      </c>
      <c r="I638" s="175">
        <v>1</v>
      </c>
      <c r="J638" s="175" t="s">
        <v>18</v>
      </c>
      <c r="K638" s="175" t="s">
        <v>74</v>
      </c>
      <c r="L638" s="172" t="s">
        <v>75</v>
      </c>
      <c r="M638" s="172" t="s">
        <v>17</v>
      </c>
    </row>
    <row r="639" spans="1:13" x14ac:dyDescent="0.2">
      <c r="A639" s="172" t="s">
        <v>72</v>
      </c>
      <c r="B639" s="172" t="s">
        <v>73</v>
      </c>
      <c r="C639" s="172" t="s">
        <v>21</v>
      </c>
      <c r="D639" s="172" t="s">
        <v>15</v>
      </c>
      <c r="E639" s="173">
        <v>42997</v>
      </c>
      <c r="F639" s="174">
        <v>18.702033</v>
      </c>
      <c r="G639" s="175" t="s">
        <v>19</v>
      </c>
      <c r="H639" s="172" t="s">
        <v>17</v>
      </c>
      <c r="I639" s="175">
        <v>1</v>
      </c>
      <c r="J639" s="175" t="s">
        <v>18</v>
      </c>
      <c r="K639" s="175" t="s">
        <v>74</v>
      </c>
      <c r="L639" s="172" t="s">
        <v>75</v>
      </c>
      <c r="M639" s="172" t="s">
        <v>17</v>
      </c>
    </row>
    <row r="640" spans="1:13" x14ac:dyDescent="0.2">
      <c r="A640" s="172" t="s">
        <v>72</v>
      </c>
      <c r="B640" s="172" t="s">
        <v>73</v>
      </c>
      <c r="C640" s="172" t="s">
        <v>21</v>
      </c>
      <c r="D640" s="172" t="s">
        <v>15</v>
      </c>
      <c r="E640" s="173">
        <v>42997</v>
      </c>
      <c r="F640" s="174">
        <v>1.3</v>
      </c>
      <c r="G640" s="175" t="s">
        <v>16</v>
      </c>
      <c r="H640" s="172" t="s">
        <v>20</v>
      </c>
      <c r="I640" s="175">
        <v>1</v>
      </c>
      <c r="J640" s="175" t="s">
        <v>18</v>
      </c>
      <c r="K640" s="175" t="s">
        <v>74</v>
      </c>
      <c r="L640" s="172" t="s">
        <v>75</v>
      </c>
      <c r="M640" s="172" t="s">
        <v>76</v>
      </c>
    </row>
    <row r="641" spans="1:13" x14ac:dyDescent="0.2">
      <c r="A641" s="172" t="s">
        <v>72</v>
      </c>
      <c r="B641" s="172" t="s">
        <v>73</v>
      </c>
      <c r="C641" s="172" t="s">
        <v>21</v>
      </c>
      <c r="D641" s="172" t="s">
        <v>15</v>
      </c>
      <c r="E641" s="173">
        <v>42997</v>
      </c>
      <c r="F641" s="174">
        <v>6.6353039999999996</v>
      </c>
      <c r="G641" s="175" t="s">
        <v>19</v>
      </c>
      <c r="H641" s="172" t="s">
        <v>20</v>
      </c>
      <c r="I641" s="175">
        <v>1</v>
      </c>
      <c r="J641" s="175" t="s">
        <v>18</v>
      </c>
      <c r="K641" s="175" t="s">
        <v>74</v>
      </c>
      <c r="L641" s="172" t="s">
        <v>75</v>
      </c>
      <c r="M641" s="172" t="s">
        <v>76</v>
      </c>
    </row>
    <row r="642" spans="1:13" x14ac:dyDescent="0.2">
      <c r="A642" s="172" t="s">
        <v>72</v>
      </c>
      <c r="B642" s="172" t="s">
        <v>73</v>
      </c>
      <c r="C642" s="172" t="s">
        <v>21</v>
      </c>
      <c r="D642" s="172" t="s">
        <v>15</v>
      </c>
      <c r="E642" s="173">
        <v>42990</v>
      </c>
      <c r="F642" s="174">
        <v>5.31</v>
      </c>
      <c r="G642" s="175" t="s">
        <v>16</v>
      </c>
      <c r="H642" s="172" t="s">
        <v>17</v>
      </c>
      <c r="I642" s="175">
        <v>1</v>
      </c>
      <c r="J642" s="175" t="s">
        <v>18</v>
      </c>
      <c r="K642" s="175" t="s">
        <v>74</v>
      </c>
      <c r="L642" s="172" t="s">
        <v>75</v>
      </c>
      <c r="M642" s="172" t="s">
        <v>17</v>
      </c>
    </row>
    <row r="643" spans="1:13" x14ac:dyDescent="0.2">
      <c r="A643" s="172" t="s">
        <v>72</v>
      </c>
      <c r="B643" s="172" t="s">
        <v>73</v>
      </c>
      <c r="C643" s="172" t="s">
        <v>21</v>
      </c>
      <c r="D643" s="172" t="s">
        <v>15</v>
      </c>
      <c r="E643" s="173">
        <v>42990</v>
      </c>
      <c r="F643" s="174">
        <v>18.7327242</v>
      </c>
      <c r="G643" s="175" t="s">
        <v>19</v>
      </c>
      <c r="H643" s="172" t="s">
        <v>17</v>
      </c>
      <c r="I643" s="175">
        <v>1</v>
      </c>
      <c r="J643" s="175" t="s">
        <v>18</v>
      </c>
      <c r="K643" s="175" t="s">
        <v>74</v>
      </c>
      <c r="L643" s="172" t="s">
        <v>75</v>
      </c>
      <c r="M643" s="172" t="s">
        <v>17</v>
      </c>
    </row>
    <row r="644" spans="1:13" x14ac:dyDescent="0.2">
      <c r="A644" s="172" t="s">
        <v>72</v>
      </c>
      <c r="B644" s="172" t="s">
        <v>73</v>
      </c>
      <c r="C644" s="172" t="s">
        <v>21</v>
      </c>
      <c r="D644" s="172" t="s">
        <v>15</v>
      </c>
      <c r="E644" s="173">
        <v>42990</v>
      </c>
      <c r="F644" s="174">
        <v>3.4449999999999998</v>
      </c>
      <c r="G644" s="175" t="s">
        <v>16</v>
      </c>
      <c r="H644" s="172" t="s">
        <v>20</v>
      </c>
      <c r="I644" s="175">
        <v>1</v>
      </c>
      <c r="J644" s="175" t="s">
        <v>18</v>
      </c>
      <c r="K644" s="175" t="s">
        <v>74</v>
      </c>
      <c r="L644" s="172" t="s">
        <v>75</v>
      </c>
      <c r="M644" s="172" t="s">
        <v>76</v>
      </c>
    </row>
    <row r="645" spans="1:13" x14ac:dyDescent="0.2">
      <c r="A645" s="172" t="s">
        <v>72</v>
      </c>
      <c r="B645" s="172" t="s">
        <v>73</v>
      </c>
      <c r="C645" s="172" t="s">
        <v>21</v>
      </c>
      <c r="D645" s="172" t="s">
        <v>15</v>
      </c>
      <c r="E645" s="173">
        <v>42990</v>
      </c>
      <c r="F645" s="174">
        <v>14.164530900000001</v>
      </c>
      <c r="G645" s="175" t="s">
        <v>19</v>
      </c>
      <c r="H645" s="172" t="s">
        <v>20</v>
      </c>
      <c r="I645" s="175">
        <v>1</v>
      </c>
      <c r="J645" s="175" t="s">
        <v>18</v>
      </c>
      <c r="K645" s="175" t="s">
        <v>74</v>
      </c>
      <c r="L645" s="172" t="s">
        <v>75</v>
      </c>
      <c r="M645" s="172" t="s">
        <v>76</v>
      </c>
    </row>
    <row r="646" spans="1:13" x14ac:dyDescent="0.2">
      <c r="A646" s="172" t="s">
        <v>72</v>
      </c>
      <c r="B646" s="172" t="s">
        <v>73</v>
      </c>
      <c r="C646" s="172" t="s">
        <v>21</v>
      </c>
      <c r="D646" s="172" t="s">
        <v>15</v>
      </c>
      <c r="E646" s="173">
        <v>42983</v>
      </c>
      <c r="F646" s="174">
        <v>3.98</v>
      </c>
      <c r="G646" s="175" t="s">
        <v>16</v>
      </c>
      <c r="H646" s="172" t="s">
        <v>17</v>
      </c>
      <c r="I646" s="175">
        <v>1</v>
      </c>
      <c r="J646" s="175" t="s">
        <v>18</v>
      </c>
      <c r="K646" s="175" t="s">
        <v>74</v>
      </c>
      <c r="L646" s="172" t="s">
        <v>75</v>
      </c>
      <c r="M646" s="172" t="s">
        <v>17</v>
      </c>
    </row>
    <row r="647" spans="1:13" x14ac:dyDescent="0.2">
      <c r="A647" s="172" t="s">
        <v>72</v>
      </c>
      <c r="B647" s="172" t="s">
        <v>73</v>
      </c>
      <c r="C647" s="172" t="s">
        <v>21</v>
      </c>
      <c r="D647" s="172" t="s">
        <v>15</v>
      </c>
      <c r="E647" s="173">
        <v>42983</v>
      </c>
      <c r="F647" s="174">
        <v>14.1403032</v>
      </c>
      <c r="G647" s="175" t="s">
        <v>19</v>
      </c>
      <c r="H647" s="172" t="s">
        <v>17</v>
      </c>
      <c r="I647" s="175">
        <v>1</v>
      </c>
      <c r="J647" s="175" t="s">
        <v>18</v>
      </c>
      <c r="K647" s="175" t="s">
        <v>74</v>
      </c>
      <c r="L647" s="172" t="s">
        <v>75</v>
      </c>
      <c r="M647" s="172" t="s">
        <v>17</v>
      </c>
    </row>
    <row r="648" spans="1:13" x14ac:dyDescent="0.2">
      <c r="A648" s="172" t="s">
        <v>72</v>
      </c>
      <c r="B648" s="172" t="s">
        <v>73</v>
      </c>
      <c r="C648" s="172" t="s">
        <v>21</v>
      </c>
      <c r="D648" s="172" t="s">
        <v>15</v>
      </c>
      <c r="E648" s="173">
        <v>42983</v>
      </c>
      <c r="F648" s="174">
        <v>2.7549999999999999</v>
      </c>
      <c r="G648" s="175" t="s">
        <v>16</v>
      </c>
      <c r="H648" s="172" t="s">
        <v>20</v>
      </c>
      <c r="I648" s="175">
        <v>1</v>
      </c>
      <c r="J648" s="175" t="s">
        <v>18</v>
      </c>
      <c r="K648" s="175" t="s">
        <v>74</v>
      </c>
      <c r="L648" s="172" t="s">
        <v>75</v>
      </c>
      <c r="M648" s="172" t="s">
        <v>76</v>
      </c>
    </row>
    <row r="649" spans="1:13" x14ac:dyDescent="0.2">
      <c r="A649" s="172" t="s">
        <v>72</v>
      </c>
      <c r="B649" s="172" t="s">
        <v>73</v>
      </c>
      <c r="C649" s="172" t="s">
        <v>21</v>
      </c>
      <c r="D649" s="172" t="s">
        <v>15</v>
      </c>
      <c r="E649" s="173">
        <v>42983</v>
      </c>
      <c r="F649" s="174">
        <v>11.419419899999999</v>
      </c>
      <c r="G649" s="175" t="s">
        <v>19</v>
      </c>
      <c r="H649" s="172" t="s">
        <v>20</v>
      </c>
      <c r="I649" s="175">
        <v>1</v>
      </c>
      <c r="J649" s="175" t="s">
        <v>18</v>
      </c>
      <c r="K649" s="175" t="s">
        <v>74</v>
      </c>
      <c r="L649" s="172" t="s">
        <v>75</v>
      </c>
      <c r="M649" s="172" t="s">
        <v>76</v>
      </c>
    </row>
    <row r="650" spans="1:13" x14ac:dyDescent="0.2">
      <c r="A650" s="172" t="s">
        <v>72</v>
      </c>
      <c r="B650" s="172" t="s">
        <v>73</v>
      </c>
      <c r="C650" s="172" t="s">
        <v>21</v>
      </c>
      <c r="D650" s="172" t="s">
        <v>15</v>
      </c>
      <c r="E650" s="173">
        <v>42976</v>
      </c>
      <c r="F650" s="174">
        <v>3.75</v>
      </c>
      <c r="G650" s="175" t="s">
        <v>16</v>
      </c>
      <c r="H650" s="172" t="s">
        <v>17</v>
      </c>
      <c r="I650" s="175">
        <v>1</v>
      </c>
      <c r="J650" s="175" t="s">
        <v>18</v>
      </c>
      <c r="K650" s="175" t="s">
        <v>74</v>
      </c>
      <c r="L650" s="172" t="s">
        <v>75</v>
      </c>
      <c r="M650" s="172" t="s">
        <v>17</v>
      </c>
    </row>
    <row r="651" spans="1:13" x14ac:dyDescent="0.2">
      <c r="A651" s="172" t="s">
        <v>72</v>
      </c>
      <c r="B651" s="172" t="s">
        <v>73</v>
      </c>
      <c r="C651" s="172" t="s">
        <v>21</v>
      </c>
      <c r="D651" s="172" t="s">
        <v>15</v>
      </c>
      <c r="E651" s="173">
        <v>42976</v>
      </c>
      <c r="F651" s="174">
        <v>13.823549999999999</v>
      </c>
      <c r="G651" s="175" t="s">
        <v>19</v>
      </c>
      <c r="H651" s="172" t="s">
        <v>17</v>
      </c>
      <c r="I651" s="175">
        <v>1</v>
      </c>
      <c r="J651" s="175" t="s">
        <v>18</v>
      </c>
      <c r="K651" s="175" t="s">
        <v>74</v>
      </c>
      <c r="L651" s="172" t="s">
        <v>75</v>
      </c>
      <c r="M651" s="172" t="s">
        <v>17</v>
      </c>
    </row>
    <row r="652" spans="1:13" x14ac:dyDescent="0.2">
      <c r="A652" s="172" t="s">
        <v>72</v>
      </c>
      <c r="B652" s="172" t="s">
        <v>73</v>
      </c>
      <c r="C652" s="172" t="s">
        <v>21</v>
      </c>
      <c r="D652" s="172" t="s">
        <v>15</v>
      </c>
      <c r="E652" s="173">
        <v>42976</v>
      </c>
      <c r="F652" s="174">
        <v>2.5750000000000002</v>
      </c>
      <c r="G652" s="175" t="s">
        <v>16</v>
      </c>
      <c r="H652" s="172" t="s">
        <v>20</v>
      </c>
      <c r="I652" s="175">
        <v>1</v>
      </c>
      <c r="J652" s="175" t="s">
        <v>18</v>
      </c>
      <c r="K652" s="175" t="s">
        <v>74</v>
      </c>
      <c r="L652" s="172" t="s">
        <v>75</v>
      </c>
      <c r="M652" s="172" t="s">
        <v>76</v>
      </c>
    </row>
    <row r="653" spans="1:13" x14ac:dyDescent="0.2">
      <c r="A653" s="172" t="s">
        <v>72</v>
      </c>
      <c r="B653" s="172" t="s">
        <v>73</v>
      </c>
      <c r="C653" s="172" t="s">
        <v>21</v>
      </c>
      <c r="D653" s="172" t="s">
        <v>15</v>
      </c>
      <c r="E653" s="173">
        <v>42976</v>
      </c>
      <c r="F653" s="174">
        <v>11.704147499999999</v>
      </c>
      <c r="G653" s="175" t="s">
        <v>19</v>
      </c>
      <c r="H653" s="172" t="s">
        <v>20</v>
      </c>
      <c r="I653" s="175">
        <v>1</v>
      </c>
      <c r="J653" s="175" t="s">
        <v>18</v>
      </c>
      <c r="K653" s="175" t="s">
        <v>74</v>
      </c>
      <c r="L653" s="172" t="s">
        <v>75</v>
      </c>
      <c r="M653" s="172" t="s">
        <v>76</v>
      </c>
    </row>
    <row r="654" spans="1:13" x14ac:dyDescent="0.2">
      <c r="A654" s="172" t="s">
        <v>72</v>
      </c>
      <c r="B654" s="172" t="s">
        <v>73</v>
      </c>
      <c r="C654" s="172" t="s">
        <v>21</v>
      </c>
      <c r="D654" s="172" t="s">
        <v>15</v>
      </c>
      <c r="E654" s="173">
        <v>42969</v>
      </c>
      <c r="F654" s="174">
        <v>2.875</v>
      </c>
      <c r="G654" s="175" t="s">
        <v>16</v>
      </c>
      <c r="H654" s="172" t="s">
        <v>17</v>
      </c>
      <c r="I654" s="175">
        <v>1</v>
      </c>
      <c r="J654" s="175" t="s">
        <v>18</v>
      </c>
      <c r="K654" s="175" t="s">
        <v>74</v>
      </c>
      <c r="L654" s="172" t="s">
        <v>75</v>
      </c>
      <c r="M654" s="172" t="s">
        <v>17</v>
      </c>
    </row>
    <row r="655" spans="1:13" x14ac:dyDescent="0.2">
      <c r="A655" s="172" t="s">
        <v>72</v>
      </c>
      <c r="B655" s="172" t="s">
        <v>73</v>
      </c>
      <c r="C655" s="172" t="s">
        <v>21</v>
      </c>
      <c r="D655" s="172" t="s">
        <v>15</v>
      </c>
      <c r="E655" s="173">
        <v>42969</v>
      </c>
      <c r="F655" s="174">
        <v>18.6305175</v>
      </c>
      <c r="G655" s="175" t="s">
        <v>19</v>
      </c>
      <c r="H655" s="172" t="s">
        <v>17</v>
      </c>
      <c r="I655" s="175">
        <v>1</v>
      </c>
      <c r="J655" s="175" t="s">
        <v>18</v>
      </c>
      <c r="K655" s="175" t="s">
        <v>74</v>
      </c>
      <c r="L655" s="172" t="s">
        <v>75</v>
      </c>
      <c r="M655" s="172" t="s">
        <v>17</v>
      </c>
    </row>
    <row r="656" spans="1:13" x14ac:dyDescent="0.2">
      <c r="A656" s="172" t="s">
        <v>72</v>
      </c>
      <c r="B656" s="172" t="s">
        <v>73</v>
      </c>
      <c r="C656" s="172" t="s">
        <v>21</v>
      </c>
      <c r="D656" s="172" t="s">
        <v>15</v>
      </c>
      <c r="E656" s="173">
        <v>42969</v>
      </c>
      <c r="F656" s="174">
        <v>1.925</v>
      </c>
      <c r="G656" s="175" t="s">
        <v>16</v>
      </c>
      <c r="H656" s="172" t="s">
        <v>20</v>
      </c>
      <c r="I656" s="175">
        <v>1</v>
      </c>
      <c r="J656" s="175" t="s">
        <v>18</v>
      </c>
      <c r="K656" s="175" t="s">
        <v>74</v>
      </c>
      <c r="L656" s="172" t="s">
        <v>75</v>
      </c>
      <c r="M656" s="172" t="s">
        <v>76</v>
      </c>
    </row>
    <row r="657" spans="1:13" x14ac:dyDescent="0.2">
      <c r="A657" s="172" t="s">
        <v>72</v>
      </c>
      <c r="B657" s="172" t="s">
        <v>73</v>
      </c>
      <c r="C657" s="172" t="s">
        <v>21</v>
      </c>
      <c r="D657" s="172" t="s">
        <v>15</v>
      </c>
      <c r="E657" s="173">
        <v>42969</v>
      </c>
      <c r="F657" s="174">
        <v>12.6670005</v>
      </c>
      <c r="G657" s="175" t="s">
        <v>19</v>
      </c>
      <c r="H657" s="172" t="s">
        <v>20</v>
      </c>
      <c r="I657" s="175">
        <v>1</v>
      </c>
      <c r="J657" s="175" t="s">
        <v>18</v>
      </c>
      <c r="K657" s="175" t="s">
        <v>74</v>
      </c>
      <c r="L657" s="172" t="s">
        <v>75</v>
      </c>
      <c r="M657" s="172" t="s">
        <v>76</v>
      </c>
    </row>
    <row r="658" spans="1:13" x14ac:dyDescent="0.2">
      <c r="A658" s="172" t="s">
        <v>72</v>
      </c>
      <c r="B658" s="172" t="s">
        <v>73</v>
      </c>
      <c r="C658" s="172" t="s">
        <v>21</v>
      </c>
      <c r="D658" s="172" t="s">
        <v>15</v>
      </c>
      <c r="E658" s="173">
        <v>42962</v>
      </c>
      <c r="F658" s="174">
        <v>3.51</v>
      </c>
      <c r="G658" s="175" t="s">
        <v>16</v>
      </c>
      <c r="H658" s="172" t="s">
        <v>17</v>
      </c>
      <c r="I658" s="175">
        <v>1</v>
      </c>
      <c r="J658" s="175" t="s">
        <v>18</v>
      </c>
      <c r="K658" s="175" t="s">
        <v>74</v>
      </c>
      <c r="L658" s="172" t="s">
        <v>75</v>
      </c>
      <c r="M658" s="172" t="s">
        <v>17</v>
      </c>
    </row>
    <row r="659" spans="1:13" x14ac:dyDescent="0.2">
      <c r="A659" s="172" t="s">
        <v>72</v>
      </c>
      <c r="B659" s="172" t="s">
        <v>73</v>
      </c>
      <c r="C659" s="172" t="s">
        <v>21</v>
      </c>
      <c r="D659" s="172" t="s">
        <v>15</v>
      </c>
      <c r="E659" s="173">
        <v>42962</v>
      </c>
      <c r="F659" s="174">
        <v>14.490333</v>
      </c>
      <c r="G659" s="175" t="s">
        <v>19</v>
      </c>
      <c r="H659" s="172" t="s">
        <v>17</v>
      </c>
      <c r="I659" s="175">
        <v>1</v>
      </c>
      <c r="J659" s="175" t="s">
        <v>18</v>
      </c>
      <c r="K659" s="175" t="s">
        <v>74</v>
      </c>
      <c r="L659" s="172" t="s">
        <v>75</v>
      </c>
      <c r="M659" s="172" t="s">
        <v>17</v>
      </c>
    </row>
    <row r="660" spans="1:13" x14ac:dyDescent="0.2">
      <c r="A660" s="172" t="s">
        <v>72</v>
      </c>
      <c r="B660" s="172" t="s">
        <v>73</v>
      </c>
      <c r="C660" s="172" t="s">
        <v>21</v>
      </c>
      <c r="D660" s="172" t="s">
        <v>15</v>
      </c>
      <c r="E660" s="173">
        <v>42962</v>
      </c>
      <c r="F660" s="174">
        <v>2.585</v>
      </c>
      <c r="G660" s="175" t="s">
        <v>16</v>
      </c>
      <c r="H660" s="172" t="s">
        <v>20</v>
      </c>
      <c r="I660" s="175">
        <v>1</v>
      </c>
      <c r="J660" s="175" t="s">
        <v>18</v>
      </c>
      <c r="K660" s="175" t="s">
        <v>74</v>
      </c>
      <c r="L660" s="172" t="s">
        <v>75</v>
      </c>
      <c r="M660" s="172" t="s">
        <v>76</v>
      </c>
    </row>
    <row r="661" spans="1:13" x14ac:dyDescent="0.2">
      <c r="A661" s="172" t="s">
        <v>72</v>
      </c>
      <c r="B661" s="172" t="s">
        <v>73</v>
      </c>
      <c r="C661" s="172" t="s">
        <v>21</v>
      </c>
      <c r="D661" s="172" t="s">
        <v>15</v>
      </c>
      <c r="E661" s="173">
        <v>42962</v>
      </c>
      <c r="F661" s="174">
        <v>11.9005128</v>
      </c>
      <c r="G661" s="175" t="s">
        <v>19</v>
      </c>
      <c r="H661" s="172" t="s">
        <v>20</v>
      </c>
      <c r="I661" s="175">
        <v>1</v>
      </c>
      <c r="J661" s="175" t="s">
        <v>18</v>
      </c>
      <c r="K661" s="175" t="s">
        <v>74</v>
      </c>
      <c r="L661" s="172" t="s">
        <v>75</v>
      </c>
      <c r="M661" s="172" t="s">
        <v>76</v>
      </c>
    </row>
    <row r="662" spans="1:13" x14ac:dyDescent="0.2">
      <c r="A662" s="172" t="s">
        <v>72</v>
      </c>
      <c r="B662" s="172" t="s">
        <v>73</v>
      </c>
      <c r="C662" s="172" t="s">
        <v>21</v>
      </c>
      <c r="D662" s="172" t="s">
        <v>15</v>
      </c>
      <c r="E662" s="173">
        <v>42955</v>
      </c>
      <c r="F662" s="174">
        <v>3.7250000000000001</v>
      </c>
      <c r="G662" s="175" t="s">
        <v>16</v>
      </c>
      <c r="H662" s="172" t="s">
        <v>17</v>
      </c>
      <c r="I662" s="175">
        <v>1</v>
      </c>
      <c r="J662" s="175" t="s">
        <v>18</v>
      </c>
      <c r="K662" s="175" t="s">
        <v>74</v>
      </c>
      <c r="L662" s="172" t="s">
        <v>75</v>
      </c>
      <c r="M662" s="172" t="s">
        <v>17</v>
      </c>
    </row>
    <row r="663" spans="1:13" x14ac:dyDescent="0.2">
      <c r="A663" s="172" t="s">
        <v>72</v>
      </c>
      <c r="B663" s="172" t="s">
        <v>73</v>
      </c>
      <c r="C663" s="172" t="s">
        <v>21</v>
      </c>
      <c r="D663" s="172" t="s">
        <v>15</v>
      </c>
      <c r="E663" s="173">
        <v>42955</v>
      </c>
      <c r="F663" s="174">
        <v>13.66926</v>
      </c>
      <c r="G663" s="175" t="s">
        <v>19</v>
      </c>
      <c r="H663" s="172" t="s">
        <v>17</v>
      </c>
      <c r="I663" s="175">
        <v>1</v>
      </c>
      <c r="J663" s="175" t="s">
        <v>18</v>
      </c>
      <c r="K663" s="175" t="s">
        <v>74</v>
      </c>
      <c r="L663" s="172" t="s">
        <v>75</v>
      </c>
      <c r="M663" s="172" t="s">
        <v>17</v>
      </c>
    </row>
    <row r="664" spans="1:13" x14ac:dyDescent="0.2">
      <c r="A664" s="172" t="s">
        <v>72</v>
      </c>
      <c r="B664" s="172" t="s">
        <v>73</v>
      </c>
      <c r="C664" s="172" t="s">
        <v>21</v>
      </c>
      <c r="D664" s="172" t="s">
        <v>15</v>
      </c>
      <c r="E664" s="173">
        <v>42955</v>
      </c>
      <c r="F664" s="174">
        <v>2.9049999999999998</v>
      </c>
      <c r="G664" s="175" t="s">
        <v>16</v>
      </c>
      <c r="H664" s="172" t="s">
        <v>20</v>
      </c>
      <c r="I664" s="175">
        <v>1</v>
      </c>
      <c r="J664" s="175" t="s">
        <v>18</v>
      </c>
      <c r="K664" s="175" t="s">
        <v>74</v>
      </c>
      <c r="L664" s="172" t="s">
        <v>75</v>
      </c>
      <c r="M664" s="172" t="s">
        <v>76</v>
      </c>
    </row>
    <row r="665" spans="1:13" x14ac:dyDescent="0.2">
      <c r="A665" s="172" t="s">
        <v>72</v>
      </c>
      <c r="B665" s="172" t="s">
        <v>73</v>
      </c>
      <c r="C665" s="172" t="s">
        <v>21</v>
      </c>
      <c r="D665" s="172" t="s">
        <v>15</v>
      </c>
      <c r="E665" s="173">
        <v>42955</v>
      </c>
      <c r="F665" s="174">
        <v>12.5257209</v>
      </c>
      <c r="G665" s="175" t="s">
        <v>19</v>
      </c>
      <c r="H665" s="172" t="s">
        <v>20</v>
      </c>
      <c r="I665" s="175">
        <v>1</v>
      </c>
      <c r="J665" s="175" t="s">
        <v>18</v>
      </c>
      <c r="K665" s="175" t="s">
        <v>74</v>
      </c>
      <c r="L665" s="172" t="s">
        <v>75</v>
      </c>
      <c r="M665" s="172" t="s">
        <v>76</v>
      </c>
    </row>
    <row r="666" spans="1:13" x14ac:dyDescent="0.2">
      <c r="A666" s="172" t="s">
        <v>72</v>
      </c>
      <c r="B666" s="172" t="s">
        <v>73</v>
      </c>
      <c r="C666" s="172" t="s">
        <v>21</v>
      </c>
      <c r="D666" s="172" t="s">
        <v>15</v>
      </c>
      <c r="E666" s="173">
        <v>42949</v>
      </c>
      <c r="F666" s="174">
        <v>3.4550000000000001</v>
      </c>
      <c r="G666" s="175" t="s">
        <v>16</v>
      </c>
      <c r="H666" s="172" t="s">
        <v>17</v>
      </c>
      <c r="I666" s="175">
        <v>1</v>
      </c>
      <c r="J666" s="175" t="s">
        <v>18</v>
      </c>
      <c r="K666" s="175" t="s">
        <v>74</v>
      </c>
      <c r="L666" s="172" t="s">
        <v>75</v>
      </c>
      <c r="M666" s="172" t="s">
        <v>17</v>
      </c>
    </row>
    <row r="667" spans="1:13" x14ac:dyDescent="0.2">
      <c r="A667" s="172" t="s">
        <v>72</v>
      </c>
      <c r="B667" s="172" t="s">
        <v>73</v>
      </c>
      <c r="C667" s="172" t="s">
        <v>21</v>
      </c>
      <c r="D667" s="172" t="s">
        <v>15</v>
      </c>
      <c r="E667" s="173">
        <v>42949</v>
      </c>
      <c r="F667" s="174">
        <v>13.542909</v>
      </c>
      <c r="G667" s="175" t="s">
        <v>19</v>
      </c>
      <c r="H667" s="172" t="s">
        <v>17</v>
      </c>
      <c r="I667" s="175">
        <v>1</v>
      </c>
      <c r="J667" s="175" t="s">
        <v>18</v>
      </c>
      <c r="K667" s="175" t="s">
        <v>74</v>
      </c>
      <c r="L667" s="172" t="s">
        <v>75</v>
      </c>
      <c r="M667" s="172" t="s">
        <v>17</v>
      </c>
    </row>
    <row r="668" spans="1:13" x14ac:dyDescent="0.2">
      <c r="A668" s="172" t="s">
        <v>72</v>
      </c>
      <c r="B668" s="172" t="s">
        <v>73</v>
      </c>
      <c r="C668" s="172" t="s">
        <v>21</v>
      </c>
      <c r="D668" s="172" t="s">
        <v>15</v>
      </c>
      <c r="E668" s="173">
        <v>42949</v>
      </c>
      <c r="F668" s="174">
        <v>2.7349999999999999</v>
      </c>
      <c r="G668" s="175" t="s">
        <v>16</v>
      </c>
      <c r="H668" s="172" t="s">
        <v>20</v>
      </c>
      <c r="I668" s="175">
        <v>1</v>
      </c>
      <c r="J668" s="175" t="s">
        <v>18</v>
      </c>
      <c r="K668" s="175" t="s">
        <v>74</v>
      </c>
      <c r="L668" s="172" t="s">
        <v>75</v>
      </c>
      <c r="M668" s="172" t="s">
        <v>76</v>
      </c>
    </row>
    <row r="669" spans="1:13" x14ac:dyDescent="0.2">
      <c r="A669" s="172" t="s">
        <v>72</v>
      </c>
      <c r="B669" s="172" t="s">
        <v>73</v>
      </c>
      <c r="C669" s="172" t="s">
        <v>21</v>
      </c>
      <c r="D669" s="172" t="s">
        <v>15</v>
      </c>
      <c r="E669" s="173">
        <v>42949</v>
      </c>
      <c r="F669" s="174">
        <v>12.6138747</v>
      </c>
      <c r="G669" s="175" t="s">
        <v>19</v>
      </c>
      <c r="H669" s="172" t="s">
        <v>20</v>
      </c>
      <c r="I669" s="175">
        <v>1</v>
      </c>
      <c r="J669" s="175" t="s">
        <v>18</v>
      </c>
      <c r="K669" s="175" t="s">
        <v>74</v>
      </c>
      <c r="L669" s="172" t="s">
        <v>75</v>
      </c>
      <c r="M669" s="172" t="s">
        <v>76</v>
      </c>
    </row>
    <row r="670" spans="1:13" x14ac:dyDescent="0.2">
      <c r="A670" s="172" t="s">
        <v>72</v>
      </c>
      <c r="B670" s="172" t="s">
        <v>73</v>
      </c>
      <c r="C670" s="172" t="s">
        <v>21</v>
      </c>
      <c r="D670" s="172" t="s">
        <v>15</v>
      </c>
      <c r="E670" s="173">
        <v>42941</v>
      </c>
      <c r="F670" s="174">
        <v>0.66</v>
      </c>
      <c r="G670" s="175" t="s">
        <v>16</v>
      </c>
      <c r="H670" s="172" t="s">
        <v>17</v>
      </c>
      <c r="I670" s="175">
        <v>1</v>
      </c>
      <c r="J670" s="175" t="s">
        <v>18</v>
      </c>
      <c r="K670" s="175" t="s">
        <v>74</v>
      </c>
      <c r="L670" s="172" t="s">
        <v>75</v>
      </c>
      <c r="M670" s="172" t="s">
        <v>17</v>
      </c>
    </row>
    <row r="671" spans="1:13" x14ac:dyDescent="0.2">
      <c r="A671" s="172" t="s">
        <v>72</v>
      </c>
      <c r="B671" s="172" t="s">
        <v>73</v>
      </c>
      <c r="C671" s="172" t="s">
        <v>21</v>
      </c>
      <c r="D671" s="172" t="s">
        <v>15</v>
      </c>
      <c r="E671" s="173">
        <v>42941</v>
      </c>
      <c r="F671" s="174">
        <v>2.6861472000000002</v>
      </c>
      <c r="G671" s="175" t="s">
        <v>19</v>
      </c>
      <c r="H671" s="172" t="s">
        <v>17</v>
      </c>
      <c r="I671" s="175">
        <v>1</v>
      </c>
      <c r="J671" s="175" t="s">
        <v>18</v>
      </c>
      <c r="K671" s="175" t="s">
        <v>74</v>
      </c>
      <c r="L671" s="172" t="s">
        <v>75</v>
      </c>
      <c r="M671" s="172" t="s">
        <v>17</v>
      </c>
    </row>
    <row r="672" spans="1:13" x14ac:dyDescent="0.2">
      <c r="A672" s="172" t="s">
        <v>72</v>
      </c>
      <c r="B672" s="172" t="s">
        <v>73</v>
      </c>
      <c r="C672" s="172" t="s">
        <v>21</v>
      </c>
      <c r="D672" s="172" t="s">
        <v>15</v>
      </c>
      <c r="E672" s="173">
        <v>42941</v>
      </c>
      <c r="F672" s="174">
        <v>2.71</v>
      </c>
      <c r="G672" s="175" t="s">
        <v>16</v>
      </c>
      <c r="H672" s="172" t="s">
        <v>20</v>
      </c>
      <c r="I672" s="175">
        <v>1</v>
      </c>
      <c r="J672" s="175" t="s">
        <v>18</v>
      </c>
      <c r="K672" s="175" t="s">
        <v>74</v>
      </c>
      <c r="L672" s="172" t="s">
        <v>75</v>
      </c>
      <c r="M672" s="172" t="s">
        <v>76</v>
      </c>
    </row>
    <row r="673" spans="1:13" x14ac:dyDescent="0.2">
      <c r="A673" s="172" t="s">
        <v>72</v>
      </c>
      <c r="B673" s="172" t="s">
        <v>73</v>
      </c>
      <c r="C673" s="172" t="s">
        <v>21</v>
      </c>
      <c r="D673" s="172" t="s">
        <v>15</v>
      </c>
      <c r="E673" s="173">
        <v>42941</v>
      </c>
      <c r="F673" s="174">
        <v>12.1821546</v>
      </c>
      <c r="G673" s="175" t="s">
        <v>19</v>
      </c>
      <c r="H673" s="172" t="s">
        <v>20</v>
      </c>
      <c r="I673" s="175">
        <v>1</v>
      </c>
      <c r="J673" s="175" t="s">
        <v>18</v>
      </c>
      <c r="K673" s="175" t="s">
        <v>74</v>
      </c>
      <c r="L673" s="172" t="s">
        <v>75</v>
      </c>
      <c r="M673" s="172" t="s">
        <v>76</v>
      </c>
    </row>
    <row r="674" spans="1:13" x14ac:dyDescent="0.2">
      <c r="A674" s="172" t="s">
        <v>72</v>
      </c>
      <c r="B674" s="172" t="s">
        <v>73</v>
      </c>
      <c r="C674" s="172" t="s">
        <v>21</v>
      </c>
      <c r="D674" s="172" t="s">
        <v>15</v>
      </c>
      <c r="E674" s="173">
        <v>42934</v>
      </c>
      <c r="F674" s="174">
        <v>3.56</v>
      </c>
      <c r="G674" s="175" t="s">
        <v>16</v>
      </c>
      <c r="H674" s="172" t="s">
        <v>17</v>
      </c>
      <c r="I674" s="175">
        <v>1</v>
      </c>
      <c r="J674" s="175" t="s">
        <v>18</v>
      </c>
      <c r="K674" s="175" t="s">
        <v>74</v>
      </c>
      <c r="L674" s="172" t="s">
        <v>75</v>
      </c>
      <c r="M674" s="172" t="s">
        <v>17</v>
      </c>
    </row>
    <row r="675" spans="1:13" x14ac:dyDescent="0.2">
      <c r="A675" s="172" t="s">
        <v>72</v>
      </c>
      <c r="B675" s="172" t="s">
        <v>73</v>
      </c>
      <c r="C675" s="172" t="s">
        <v>21</v>
      </c>
      <c r="D675" s="172" t="s">
        <v>15</v>
      </c>
      <c r="E675" s="173">
        <v>42934</v>
      </c>
      <c r="F675" s="174">
        <v>15.0530328</v>
      </c>
      <c r="G675" s="175" t="s">
        <v>19</v>
      </c>
      <c r="H675" s="172" t="s">
        <v>17</v>
      </c>
      <c r="I675" s="175">
        <v>1</v>
      </c>
      <c r="J675" s="175" t="s">
        <v>18</v>
      </c>
      <c r="K675" s="175" t="s">
        <v>74</v>
      </c>
      <c r="L675" s="172" t="s">
        <v>75</v>
      </c>
      <c r="M675" s="172" t="s">
        <v>17</v>
      </c>
    </row>
    <row r="676" spans="1:13" x14ac:dyDescent="0.2">
      <c r="A676" s="172" t="s">
        <v>72</v>
      </c>
      <c r="B676" s="172" t="s">
        <v>73</v>
      </c>
      <c r="C676" s="172" t="s">
        <v>21</v>
      </c>
      <c r="D676" s="172" t="s">
        <v>15</v>
      </c>
      <c r="E676" s="173">
        <v>42934</v>
      </c>
      <c r="F676" s="174">
        <v>2.7050000000000001</v>
      </c>
      <c r="G676" s="175" t="s">
        <v>16</v>
      </c>
      <c r="H676" s="172" t="s">
        <v>20</v>
      </c>
      <c r="I676" s="175">
        <v>1</v>
      </c>
      <c r="J676" s="175" t="s">
        <v>18</v>
      </c>
      <c r="K676" s="175" t="s">
        <v>74</v>
      </c>
      <c r="L676" s="172" t="s">
        <v>75</v>
      </c>
      <c r="M676" s="172" t="s">
        <v>76</v>
      </c>
    </row>
    <row r="677" spans="1:13" x14ac:dyDescent="0.2">
      <c r="A677" s="172" t="s">
        <v>72</v>
      </c>
      <c r="B677" s="172" t="s">
        <v>73</v>
      </c>
      <c r="C677" s="172" t="s">
        <v>21</v>
      </c>
      <c r="D677" s="172" t="s">
        <v>15</v>
      </c>
      <c r="E677" s="173">
        <v>42934</v>
      </c>
      <c r="F677" s="174">
        <v>12.926708100000001</v>
      </c>
      <c r="G677" s="175" t="s">
        <v>19</v>
      </c>
      <c r="H677" s="172" t="s">
        <v>20</v>
      </c>
      <c r="I677" s="175">
        <v>1</v>
      </c>
      <c r="J677" s="175" t="s">
        <v>18</v>
      </c>
      <c r="K677" s="175" t="s">
        <v>74</v>
      </c>
      <c r="L677" s="172" t="s">
        <v>75</v>
      </c>
      <c r="M677" s="172" t="s">
        <v>76</v>
      </c>
    </row>
    <row r="678" spans="1:13" x14ac:dyDescent="0.2">
      <c r="A678" s="172" t="s">
        <v>72</v>
      </c>
      <c r="B678" s="172" t="s">
        <v>73</v>
      </c>
      <c r="C678" s="172" t="s">
        <v>21</v>
      </c>
      <c r="D678" s="172" t="s">
        <v>15</v>
      </c>
      <c r="E678" s="173">
        <v>42927</v>
      </c>
      <c r="F678" s="174">
        <v>3.64</v>
      </c>
      <c r="G678" s="175" t="s">
        <v>16</v>
      </c>
      <c r="H678" s="172" t="s">
        <v>17</v>
      </c>
      <c r="I678" s="175">
        <v>1</v>
      </c>
      <c r="J678" s="175" t="s">
        <v>18</v>
      </c>
      <c r="K678" s="175" t="s">
        <v>74</v>
      </c>
      <c r="L678" s="172" t="s">
        <v>75</v>
      </c>
      <c r="M678" s="172" t="s">
        <v>17</v>
      </c>
    </row>
    <row r="679" spans="1:13" x14ac:dyDescent="0.2">
      <c r="A679" s="172" t="s">
        <v>72</v>
      </c>
      <c r="B679" s="172" t="s">
        <v>73</v>
      </c>
      <c r="C679" s="172" t="s">
        <v>21</v>
      </c>
      <c r="D679" s="172" t="s">
        <v>15</v>
      </c>
      <c r="E679" s="173">
        <v>42927</v>
      </c>
      <c r="F679" s="174">
        <v>15.6038064</v>
      </c>
      <c r="G679" s="175" t="s">
        <v>19</v>
      </c>
      <c r="H679" s="172" t="s">
        <v>17</v>
      </c>
      <c r="I679" s="175">
        <v>1</v>
      </c>
      <c r="J679" s="175" t="s">
        <v>18</v>
      </c>
      <c r="K679" s="175" t="s">
        <v>74</v>
      </c>
      <c r="L679" s="172" t="s">
        <v>75</v>
      </c>
      <c r="M679" s="172" t="s">
        <v>17</v>
      </c>
    </row>
    <row r="680" spans="1:13" x14ac:dyDescent="0.2">
      <c r="A680" s="172" t="s">
        <v>72</v>
      </c>
      <c r="B680" s="172" t="s">
        <v>73</v>
      </c>
      <c r="C680" s="172" t="s">
        <v>21</v>
      </c>
      <c r="D680" s="172" t="s">
        <v>15</v>
      </c>
      <c r="E680" s="173">
        <v>42927</v>
      </c>
      <c r="F680" s="174">
        <v>2.9849999999999999</v>
      </c>
      <c r="G680" s="175" t="s">
        <v>16</v>
      </c>
      <c r="H680" s="172" t="s">
        <v>20</v>
      </c>
      <c r="I680" s="175">
        <v>1</v>
      </c>
      <c r="J680" s="175" t="s">
        <v>18</v>
      </c>
      <c r="K680" s="175" t="s">
        <v>74</v>
      </c>
      <c r="L680" s="172" t="s">
        <v>75</v>
      </c>
      <c r="M680" s="172" t="s">
        <v>76</v>
      </c>
    </row>
    <row r="681" spans="1:13" x14ac:dyDescent="0.2">
      <c r="A681" s="172" t="s">
        <v>72</v>
      </c>
      <c r="B681" s="172" t="s">
        <v>73</v>
      </c>
      <c r="C681" s="172" t="s">
        <v>21</v>
      </c>
      <c r="D681" s="172" t="s">
        <v>15</v>
      </c>
      <c r="E681" s="173">
        <v>42927</v>
      </c>
      <c r="F681" s="174">
        <v>14.737780799999999</v>
      </c>
      <c r="G681" s="175" t="s">
        <v>19</v>
      </c>
      <c r="H681" s="172" t="s">
        <v>20</v>
      </c>
      <c r="I681" s="175">
        <v>1</v>
      </c>
      <c r="J681" s="175" t="s">
        <v>18</v>
      </c>
      <c r="K681" s="175" t="s">
        <v>74</v>
      </c>
      <c r="L681" s="172" t="s">
        <v>75</v>
      </c>
      <c r="M681" s="172" t="s">
        <v>76</v>
      </c>
    </row>
    <row r="682" spans="1:13" x14ac:dyDescent="0.2">
      <c r="A682" s="172" t="s">
        <v>72</v>
      </c>
      <c r="B682" s="172" t="s">
        <v>73</v>
      </c>
      <c r="C682" s="172" t="s">
        <v>21</v>
      </c>
      <c r="D682" s="172" t="s">
        <v>15</v>
      </c>
      <c r="E682" s="173">
        <v>42921</v>
      </c>
      <c r="F682" s="174">
        <v>3.27</v>
      </c>
      <c r="G682" s="175" t="s">
        <v>16</v>
      </c>
      <c r="H682" s="172" t="s">
        <v>17</v>
      </c>
      <c r="I682" s="175">
        <v>1</v>
      </c>
      <c r="J682" s="175" t="s">
        <v>18</v>
      </c>
      <c r="K682" s="175" t="s">
        <v>74</v>
      </c>
      <c r="L682" s="172" t="s">
        <v>75</v>
      </c>
      <c r="M682" s="172" t="s">
        <v>17</v>
      </c>
    </row>
    <row r="683" spans="1:13" x14ac:dyDescent="0.2">
      <c r="A683" s="172" t="s">
        <v>72</v>
      </c>
      <c r="B683" s="172" t="s">
        <v>73</v>
      </c>
      <c r="C683" s="172" t="s">
        <v>21</v>
      </c>
      <c r="D683" s="172" t="s">
        <v>15</v>
      </c>
      <c r="E683" s="173">
        <v>42921</v>
      </c>
      <c r="F683" s="174">
        <v>15.544926</v>
      </c>
      <c r="G683" s="175" t="s">
        <v>19</v>
      </c>
      <c r="H683" s="172" t="s">
        <v>17</v>
      </c>
      <c r="I683" s="175">
        <v>1</v>
      </c>
      <c r="J683" s="175" t="s">
        <v>18</v>
      </c>
      <c r="K683" s="175" t="s">
        <v>74</v>
      </c>
      <c r="L683" s="172" t="s">
        <v>75</v>
      </c>
      <c r="M683" s="172" t="s">
        <v>17</v>
      </c>
    </row>
    <row r="684" spans="1:13" x14ac:dyDescent="0.2">
      <c r="A684" s="172" t="s">
        <v>72</v>
      </c>
      <c r="B684" s="172" t="s">
        <v>73</v>
      </c>
      <c r="C684" s="172" t="s">
        <v>21</v>
      </c>
      <c r="D684" s="172" t="s">
        <v>15</v>
      </c>
      <c r="E684" s="173">
        <v>42921</v>
      </c>
      <c r="F684" s="174">
        <v>2.57</v>
      </c>
      <c r="G684" s="175" t="s">
        <v>16</v>
      </c>
      <c r="H684" s="172" t="s">
        <v>20</v>
      </c>
      <c r="I684" s="175">
        <v>1</v>
      </c>
      <c r="J684" s="175" t="s">
        <v>18</v>
      </c>
      <c r="K684" s="175" t="s">
        <v>74</v>
      </c>
      <c r="L684" s="172" t="s">
        <v>75</v>
      </c>
      <c r="M684" s="172" t="s">
        <v>76</v>
      </c>
    </row>
    <row r="685" spans="1:13" x14ac:dyDescent="0.2">
      <c r="A685" s="172" t="s">
        <v>72</v>
      </c>
      <c r="B685" s="172" t="s">
        <v>73</v>
      </c>
      <c r="C685" s="172" t="s">
        <v>21</v>
      </c>
      <c r="D685" s="172" t="s">
        <v>15</v>
      </c>
      <c r="E685" s="173">
        <v>42921</v>
      </c>
      <c r="F685" s="174">
        <v>12.9031476</v>
      </c>
      <c r="G685" s="175" t="s">
        <v>19</v>
      </c>
      <c r="H685" s="172" t="s">
        <v>20</v>
      </c>
      <c r="I685" s="175">
        <v>1</v>
      </c>
      <c r="J685" s="175" t="s">
        <v>18</v>
      </c>
      <c r="K685" s="175" t="s">
        <v>74</v>
      </c>
      <c r="L685" s="172" t="s">
        <v>75</v>
      </c>
      <c r="M685" s="172" t="s">
        <v>76</v>
      </c>
    </row>
    <row r="686" spans="1:13" x14ac:dyDescent="0.2">
      <c r="A686" s="172" t="s">
        <v>72</v>
      </c>
      <c r="B686" s="172" t="s">
        <v>73</v>
      </c>
      <c r="C686" s="172" t="s">
        <v>21</v>
      </c>
      <c r="D686" s="172" t="s">
        <v>15</v>
      </c>
      <c r="E686" s="173">
        <v>42913</v>
      </c>
      <c r="F686" s="174">
        <v>3.21</v>
      </c>
      <c r="G686" s="175" t="s">
        <v>16</v>
      </c>
      <c r="H686" s="172" t="s">
        <v>17</v>
      </c>
      <c r="I686" s="175">
        <v>1</v>
      </c>
      <c r="J686" s="175" t="s">
        <v>18</v>
      </c>
      <c r="K686" s="175" t="s">
        <v>74</v>
      </c>
      <c r="L686" s="172" t="s">
        <v>75</v>
      </c>
      <c r="M686" s="172" t="s">
        <v>17</v>
      </c>
    </row>
    <row r="687" spans="1:13" x14ac:dyDescent="0.2">
      <c r="A687" s="172" t="s">
        <v>72</v>
      </c>
      <c r="B687" s="172" t="s">
        <v>73</v>
      </c>
      <c r="C687" s="172" t="s">
        <v>21</v>
      </c>
      <c r="D687" s="172" t="s">
        <v>15</v>
      </c>
      <c r="E687" s="173">
        <v>42913</v>
      </c>
      <c r="F687" s="174">
        <v>16.678582200000001</v>
      </c>
      <c r="G687" s="175" t="s">
        <v>19</v>
      </c>
      <c r="H687" s="172" t="s">
        <v>17</v>
      </c>
      <c r="I687" s="175">
        <v>1</v>
      </c>
      <c r="J687" s="175" t="s">
        <v>18</v>
      </c>
      <c r="K687" s="175" t="s">
        <v>74</v>
      </c>
      <c r="L687" s="172" t="s">
        <v>75</v>
      </c>
      <c r="M687" s="172" t="s">
        <v>17</v>
      </c>
    </row>
    <row r="688" spans="1:13" x14ac:dyDescent="0.2">
      <c r="A688" s="172" t="s">
        <v>72</v>
      </c>
      <c r="B688" s="172" t="s">
        <v>73</v>
      </c>
      <c r="C688" s="172" t="s">
        <v>21</v>
      </c>
      <c r="D688" s="172" t="s">
        <v>15</v>
      </c>
      <c r="E688" s="173">
        <v>42913</v>
      </c>
      <c r="F688" s="174">
        <v>2.2349999999999999</v>
      </c>
      <c r="G688" s="175" t="s">
        <v>16</v>
      </c>
      <c r="H688" s="172" t="s">
        <v>20</v>
      </c>
      <c r="I688" s="175">
        <v>1</v>
      </c>
      <c r="J688" s="175" t="s">
        <v>18</v>
      </c>
      <c r="K688" s="175" t="s">
        <v>74</v>
      </c>
      <c r="L688" s="172" t="s">
        <v>75</v>
      </c>
      <c r="M688" s="172" t="s">
        <v>76</v>
      </c>
    </row>
    <row r="689" spans="1:13" x14ac:dyDescent="0.2">
      <c r="A689" s="172" t="s">
        <v>72</v>
      </c>
      <c r="B689" s="172" t="s">
        <v>73</v>
      </c>
      <c r="C689" s="172" t="s">
        <v>21</v>
      </c>
      <c r="D689" s="172" t="s">
        <v>15</v>
      </c>
      <c r="E689" s="173">
        <v>42913</v>
      </c>
      <c r="F689" s="174">
        <v>12.0413754</v>
      </c>
      <c r="G689" s="175" t="s">
        <v>19</v>
      </c>
      <c r="H689" s="172" t="s">
        <v>20</v>
      </c>
      <c r="I689" s="175">
        <v>1</v>
      </c>
      <c r="J689" s="175" t="s">
        <v>18</v>
      </c>
      <c r="K689" s="175" t="s">
        <v>74</v>
      </c>
      <c r="L689" s="172" t="s">
        <v>75</v>
      </c>
      <c r="M689" s="172" t="s">
        <v>76</v>
      </c>
    </row>
    <row r="690" spans="1:13" x14ac:dyDescent="0.2">
      <c r="A690" s="172" t="s">
        <v>72</v>
      </c>
      <c r="B690" s="172" t="s">
        <v>73</v>
      </c>
      <c r="C690" s="172" t="s">
        <v>21</v>
      </c>
      <c r="D690" s="172" t="s">
        <v>15</v>
      </c>
      <c r="E690" s="173">
        <v>42906</v>
      </c>
      <c r="F690" s="174">
        <v>2.3050000000000002</v>
      </c>
      <c r="G690" s="175" t="s">
        <v>16</v>
      </c>
      <c r="H690" s="172" t="s">
        <v>17</v>
      </c>
      <c r="I690" s="175">
        <v>1</v>
      </c>
      <c r="J690" s="175" t="s">
        <v>18</v>
      </c>
      <c r="K690" s="175" t="s">
        <v>74</v>
      </c>
      <c r="L690" s="172" t="s">
        <v>75</v>
      </c>
      <c r="M690" s="172" t="s">
        <v>17</v>
      </c>
    </row>
    <row r="691" spans="1:13" x14ac:dyDescent="0.2">
      <c r="A691" s="172" t="s">
        <v>72</v>
      </c>
      <c r="B691" s="172" t="s">
        <v>73</v>
      </c>
      <c r="C691" s="172" t="s">
        <v>21</v>
      </c>
      <c r="D691" s="172" t="s">
        <v>15</v>
      </c>
      <c r="E691" s="173">
        <v>42906</v>
      </c>
      <c r="F691" s="174">
        <v>12.8414316</v>
      </c>
      <c r="G691" s="175" t="s">
        <v>19</v>
      </c>
      <c r="H691" s="172" t="s">
        <v>17</v>
      </c>
      <c r="I691" s="175">
        <v>1</v>
      </c>
      <c r="J691" s="175" t="s">
        <v>18</v>
      </c>
      <c r="K691" s="175" t="s">
        <v>74</v>
      </c>
      <c r="L691" s="172" t="s">
        <v>75</v>
      </c>
      <c r="M691" s="172" t="s">
        <v>17</v>
      </c>
    </row>
    <row r="692" spans="1:13" x14ac:dyDescent="0.2">
      <c r="A692" s="172" t="s">
        <v>72</v>
      </c>
      <c r="B692" s="172" t="s">
        <v>73</v>
      </c>
      <c r="C692" s="172" t="s">
        <v>21</v>
      </c>
      <c r="D692" s="172" t="s">
        <v>15</v>
      </c>
      <c r="E692" s="173">
        <v>42906</v>
      </c>
      <c r="F692" s="174">
        <v>2.02</v>
      </c>
      <c r="G692" s="175" t="s">
        <v>16</v>
      </c>
      <c r="H692" s="172" t="s">
        <v>20</v>
      </c>
      <c r="I692" s="175">
        <v>1</v>
      </c>
      <c r="J692" s="175" t="s">
        <v>18</v>
      </c>
      <c r="K692" s="175" t="s">
        <v>74</v>
      </c>
      <c r="L692" s="172" t="s">
        <v>75</v>
      </c>
      <c r="M692" s="172" t="s">
        <v>76</v>
      </c>
    </row>
    <row r="693" spans="1:13" x14ac:dyDescent="0.2">
      <c r="A693" s="172" t="s">
        <v>72</v>
      </c>
      <c r="B693" s="172" t="s">
        <v>73</v>
      </c>
      <c r="C693" s="172" t="s">
        <v>21</v>
      </c>
      <c r="D693" s="172" t="s">
        <v>15</v>
      </c>
      <c r="E693" s="173">
        <v>42906</v>
      </c>
      <c r="F693" s="174">
        <v>12.668793600000001</v>
      </c>
      <c r="G693" s="175" t="s">
        <v>19</v>
      </c>
      <c r="H693" s="172" t="s">
        <v>20</v>
      </c>
      <c r="I693" s="175">
        <v>1</v>
      </c>
      <c r="J693" s="175" t="s">
        <v>18</v>
      </c>
      <c r="K693" s="175" t="s">
        <v>74</v>
      </c>
      <c r="L693" s="172" t="s">
        <v>75</v>
      </c>
      <c r="M693" s="172" t="s">
        <v>76</v>
      </c>
    </row>
    <row r="694" spans="1:13" x14ac:dyDescent="0.2">
      <c r="A694" s="172" t="s">
        <v>72</v>
      </c>
      <c r="B694" s="172" t="s">
        <v>73</v>
      </c>
      <c r="C694" s="172" t="s">
        <v>21</v>
      </c>
      <c r="D694" s="172" t="s">
        <v>15</v>
      </c>
      <c r="E694" s="173">
        <v>42899</v>
      </c>
      <c r="F694" s="174">
        <v>2.7160000000000002</v>
      </c>
      <c r="G694" s="175" t="s">
        <v>16</v>
      </c>
      <c r="H694" s="172" t="s">
        <v>17</v>
      </c>
      <c r="I694" s="175">
        <v>1</v>
      </c>
      <c r="J694" s="175" t="s">
        <v>18</v>
      </c>
      <c r="K694" s="175" t="s">
        <v>74</v>
      </c>
      <c r="L694" s="172" t="s">
        <v>75</v>
      </c>
      <c r="M694" s="172" t="s">
        <v>17</v>
      </c>
    </row>
    <row r="695" spans="1:13" x14ac:dyDescent="0.2">
      <c r="A695" s="172" t="s">
        <v>72</v>
      </c>
      <c r="B695" s="172" t="s">
        <v>73</v>
      </c>
      <c r="C695" s="172" t="s">
        <v>21</v>
      </c>
      <c r="D695" s="172" t="s">
        <v>15</v>
      </c>
      <c r="E695" s="173">
        <v>42899</v>
      </c>
      <c r="F695" s="174">
        <v>15.085858999999999</v>
      </c>
      <c r="G695" s="175" t="s">
        <v>19</v>
      </c>
      <c r="H695" s="172" t="s">
        <v>17</v>
      </c>
      <c r="I695" s="175">
        <v>1</v>
      </c>
      <c r="J695" s="175" t="s">
        <v>18</v>
      </c>
      <c r="K695" s="175" t="s">
        <v>74</v>
      </c>
      <c r="L695" s="172" t="s">
        <v>75</v>
      </c>
      <c r="M695" s="172" t="s">
        <v>17</v>
      </c>
    </row>
    <row r="696" spans="1:13" x14ac:dyDescent="0.2">
      <c r="A696" s="172" t="s">
        <v>72</v>
      </c>
      <c r="B696" s="172" t="s">
        <v>73</v>
      </c>
      <c r="C696" s="172" t="s">
        <v>21</v>
      </c>
      <c r="D696" s="172" t="s">
        <v>15</v>
      </c>
      <c r="E696" s="173">
        <v>42899</v>
      </c>
      <c r="F696" s="174">
        <v>1.9790000000000001</v>
      </c>
      <c r="G696" s="175" t="s">
        <v>16</v>
      </c>
      <c r="H696" s="172" t="s">
        <v>20</v>
      </c>
      <c r="I696" s="175">
        <v>1</v>
      </c>
      <c r="J696" s="175" t="s">
        <v>18</v>
      </c>
      <c r="K696" s="175" t="s">
        <v>74</v>
      </c>
      <c r="L696" s="172" t="s">
        <v>75</v>
      </c>
      <c r="M696" s="172" t="s">
        <v>76</v>
      </c>
    </row>
    <row r="697" spans="1:13" x14ac:dyDescent="0.2">
      <c r="A697" s="172" t="s">
        <v>72</v>
      </c>
      <c r="B697" s="172" t="s">
        <v>73</v>
      </c>
      <c r="C697" s="172" t="s">
        <v>21</v>
      </c>
      <c r="D697" s="172" t="s">
        <v>15</v>
      </c>
      <c r="E697" s="173">
        <v>42899</v>
      </c>
      <c r="F697" s="174">
        <v>12.444664400000001</v>
      </c>
      <c r="G697" s="175" t="s">
        <v>19</v>
      </c>
      <c r="H697" s="172" t="s">
        <v>20</v>
      </c>
      <c r="I697" s="175">
        <v>1</v>
      </c>
      <c r="J697" s="175" t="s">
        <v>18</v>
      </c>
      <c r="K697" s="175" t="s">
        <v>74</v>
      </c>
      <c r="L697" s="172" t="s">
        <v>75</v>
      </c>
      <c r="M697" s="172" t="s">
        <v>76</v>
      </c>
    </row>
    <row r="698" spans="1:13" x14ac:dyDescent="0.2">
      <c r="A698" s="172" t="s">
        <v>72</v>
      </c>
      <c r="B698" s="172" t="s">
        <v>73</v>
      </c>
      <c r="C698" s="172" t="s">
        <v>21</v>
      </c>
      <c r="D698" s="172" t="s">
        <v>15</v>
      </c>
      <c r="E698" s="173">
        <v>42892</v>
      </c>
      <c r="F698" s="174">
        <v>1.895</v>
      </c>
      <c r="G698" s="175" t="s">
        <v>16</v>
      </c>
      <c r="H698" s="172" t="s">
        <v>17</v>
      </c>
      <c r="I698" s="175">
        <v>1</v>
      </c>
      <c r="J698" s="175" t="s">
        <v>18</v>
      </c>
      <c r="K698" s="175" t="s">
        <v>74</v>
      </c>
      <c r="L698" s="172" t="s">
        <v>75</v>
      </c>
      <c r="M698" s="172" t="s">
        <v>17</v>
      </c>
    </row>
    <row r="699" spans="1:13" x14ac:dyDescent="0.2">
      <c r="A699" s="172" t="s">
        <v>72</v>
      </c>
      <c r="B699" s="172" t="s">
        <v>73</v>
      </c>
      <c r="C699" s="172" t="s">
        <v>21</v>
      </c>
      <c r="D699" s="172" t="s">
        <v>15</v>
      </c>
      <c r="E699" s="173">
        <v>42892</v>
      </c>
      <c r="F699" s="174">
        <v>12.485397000000001</v>
      </c>
      <c r="G699" s="175" t="s">
        <v>19</v>
      </c>
      <c r="H699" s="172" t="s">
        <v>17</v>
      </c>
      <c r="I699" s="175">
        <v>1</v>
      </c>
      <c r="J699" s="175" t="s">
        <v>18</v>
      </c>
      <c r="K699" s="175" t="s">
        <v>74</v>
      </c>
      <c r="L699" s="172" t="s">
        <v>75</v>
      </c>
      <c r="M699" s="172" t="s">
        <v>17</v>
      </c>
    </row>
    <row r="700" spans="1:13" x14ac:dyDescent="0.2">
      <c r="A700" s="172" t="s">
        <v>72</v>
      </c>
      <c r="B700" s="172" t="s">
        <v>73</v>
      </c>
      <c r="C700" s="172" t="s">
        <v>21</v>
      </c>
      <c r="D700" s="172" t="s">
        <v>15</v>
      </c>
      <c r="E700" s="173">
        <v>42892</v>
      </c>
      <c r="F700" s="174">
        <v>1.69</v>
      </c>
      <c r="G700" s="175" t="s">
        <v>16</v>
      </c>
      <c r="H700" s="172" t="s">
        <v>20</v>
      </c>
      <c r="I700" s="175">
        <v>1</v>
      </c>
      <c r="J700" s="175" t="s">
        <v>18</v>
      </c>
      <c r="K700" s="175" t="s">
        <v>74</v>
      </c>
      <c r="L700" s="172" t="s">
        <v>75</v>
      </c>
      <c r="M700" s="172" t="s">
        <v>76</v>
      </c>
    </row>
    <row r="701" spans="1:13" x14ac:dyDescent="0.2">
      <c r="A701" s="172" t="s">
        <v>72</v>
      </c>
      <c r="B701" s="172" t="s">
        <v>73</v>
      </c>
      <c r="C701" s="172" t="s">
        <v>21</v>
      </c>
      <c r="D701" s="172" t="s">
        <v>15</v>
      </c>
      <c r="E701" s="173">
        <v>42892</v>
      </c>
      <c r="F701" s="174">
        <v>12.3468696</v>
      </c>
      <c r="G701" s="175" t="s">
        <v>19</v>
      </c>
      <c r="H701" s="172" t="s">
        <v>20</v>
      </c>
      <c r="I701" s="175">
        <v>1</v>
      </c>
      <c r="J701" s="175" t="s">
        <v>18</v>
      </c>
      <c r="K701" s="175" t="s">
        <v>74</v>
      </c>
      <c r="L701" s="172" t="s">
        <v>75</v>
      </c>
      <c r="M701" s="172" t="s">
        <v>76</v>
      </c>
    </row>
    <row r="702" spans="1:13" x14ac:dyDescent="0.2">
      <c r="A702" s="172" t="s">
        <v>72</v>
      </c>
      <c r="B702" s="172" t="s">
        <v>73</v>
      </c>
      <c r="C702" s="172" t="s">
        <v>21</v>
      </c>
      <c r="D702" s="172" t="s">
        <v>15</v>
      </c>
      <c r="E702" s="173">
        <v>42885</v>
      </c>
      <c r="F702" s="174">
        <v>2.1</v>
      </c>
      <c r="G702" s="175" t="s">
        <v>16</v>
      </c>
      <c r="H702" s="172" t="s">
        <v>17</v>
      </c>
      <c r="I702" s="175">
        <v>1</v>
      </c>
      <c r="J702" s="175" t="s">
        <v>18</v>
      </c>
      <c r="K702" s="175" t="s">
        <v>74</v>
      </c>
      <c r="L702" s="172" t="s">
        <v>75</v>
      </c>
      <c r="M702" s="172" t="s">
        <v>17</v>
      </c>
    </row>
    <row r="703" spans="1:13" x14ac:dyDescent="0.2">
      <c r="A703" s="172" t="s">
        <v>72</v>
      </c>
      <c r="B703" s="172" t="s">
        <v>73</v>
      </c>
      <c r="C703" s="172" t="s">
        <v>21</v>
      </c>
      <c r="D703" s="172" t="s">
        <v>15</v>
      </c>
      <c r="E703" s="173">
        <v>42885</v>
      </c>
      <c r="F703" s="174">
        <v>19.002690000000001</v>
      </c>
      <c r="G703" s="175" t="s">
        <v>19</v>
      </c>
      <c r="H703" s="172" t="s">
        <v>17</v>
      </c>
      <c r="I703" s="175">
        <v>1</v>
      </c>
      <c r="J703" s="175" t="s">
        <v>18</v>
      </c>
      <c r="K703" s="175" t="s">
        <v>74</v>
      </c>
      <c r="L703" s="172" t="s">
        <v>75</v>
      </c>
      <c r="M703" s="172" t="s">
        <v>17</v>
      </c>
    </row>
    <row r="704" spans="1:13" x14ac:dyDescent="0.2">
      <c r="A704" s="172" t="s">
        <v>72</v>
      </c>
      <c r="B704" s="172" t="s">
        <v>73</v>
      </c>
      <c r="C704" s="172" t="s">
        <v>21</v>
      </c>
      <c r="D704" s="172" t="s">
        <v>15</v>
      </c>
      <c r="E704" s="173">
        <v>42885</v>
      </c>
      <c r="F704" s="174">
        <v>1.26</v>
      </c>
      <c r="G704" s="175" t="s">
        <v>16</v>
      </c>
      <c r="H704" s="172" t="s">
        <v>20</v>
      </c>
      <c r="I704" s="175">
        <v>1</v>
      </c>
      <c r="J704" s="175" t="s">
        <v>18</v>
      </c>
      <c r="K704" s="175" t="s">
        <v>74</v>
      </c>
      <c r="L704" s="172" t="s">
        <v>75</v>
      </c>
      <c r="M704" s="172" t="s">
        <v>76</v>
      </c>
    </row>
    <row r="705" spans="1:13" x14ac:dyDescent="0.2">
      <c r="A705" s="172" t="s">
        <v>72</v>
      </c>
      <c r="B705" s="172" t="s">
        <v>73</v>
      </c>
      <c r="C705" s="172" t="s">
        <v>21</v>
      </c>
      <c r="D705" s="172" t="s">
        <v>15</v>
      </c>
      <c r="E705" s="173">
        <v>42885</v>
      </c>
      <c r="F705" s="174">
        <v>12.61008</v>
      </c>
      <c r="G705" s="175" t="s">
        <v>19</v>
      </c>
      <c r="H705" s="172" t="s">
        <v>20</v>
      </c>
      <c r="I705" s="175">
        <v>1</v>
      </c>
      <c r="J705" s="175" t="s">
        <v>18</v>
      </c>
      <c r="K705" s="175" t="s">
        <v>74</v>
      </c>
      <c r="L705" s="172" t="s">
        <v>75</v>
      </c>
      <c r="M705" s="172" t="s">
        <v>76</v>
      </c>
    </row>
    <row r="706" spans="1:13" x14ac:dyDescent="0.2">
      <c r="A706" s="172" t="s">
        <v>72</v>
      </c>
      <c r="B706" s="172" t="s">
        <v>73</v>
      </c>
      <c r="C706" s="172" t="s">
        <v>21</v>
      </c>
      <c r="D706" s="172" t="s">
        <v>15</v>
      </c>
      <c r="E706" s="173">
        <v>42879</v>
      </c>
      <c r="F706" s="174">
        <v>1.32</v>
      </c>
      <c r="G706" s="175" t="s">
        <v>16</v>
      </c>
      <c r="H706" s="172" t="s">
        <v>17</v>
      </c>
      <c r="I706" s="175">
        <v>1</v>
      </c>
      <c r="J706" s="175" t="s">
        <v>18</v>
      </c>
      <c r="K706" s="175" t="s">
        <v>74</v>
      </c>
      <c r="L706" s="172" t="s">
        <v>75</v>
      </c>
      <c r="M706" s="172" t="s">
        <v>17</v>
      </c>
    </row>
    <row r="707" spans="1:13" x14ac:dyDescent="0.2">
      <c r="A707" s="172" t="s">
        <v>72</v>
      </c>
      <c r="B707" s="172" t="s">
        <v>73</v>
      </c>
      <c r="C707" s="172" t="s">
        <v>21</v>
      </c>
      <c r="D707" s="172" t="s">
        <v>15</v>
      </c>
      <c r="E707" s="173">
        <v>42879</v>
      </c>
      <c r="F707" s="174">
        <v>15.390302399999999</v>
      </c>
      <c r="G707" s="175" t="s">
        <v>19</v>
      </c>
      <c r="H707" s="172" t="s">
        <v>17</v>
      </c>
      <c r="I707" s="175">
        <v>1</v>
      </c>
      <c r="J707" s="175" t="s">
        <v>18</v>
      </c>
      <c r="K707" s="175" t="s">
        <v>74</v>
      </c>
      <c r="L707" s="172" t="s">
        <v>75</v>
      </c>
      <c r="M707" s="172" t="s">
        <v>17</v>
      </c>
    </row>
    <row r="708" spans="1:13" x14ac:dyDescent="0.2">
      <c r="A708" s="172" t="s">
        <v>72</v>
      </c>
      <c r="B708" s="172" t="s">
        <v>73</v>
      </c>
      <c r="C708" s="172" t="s">
        <v>21</v>
      </c>
      <c r="D708" s="172" t="s">
        <v>15</v>
      </c>
      <c r="E708" s="173">
        <v>42879</v>
      </c>
      <c r="F708" s="174">
        <v>1.1100000000000001</v>
      </c>
      <c r="G708" s="175" t="s">
        <v>16</v>
      </c>
      <c r="H708" s="172" t="s">
        <v>20</v>
      </c>
      <c r="I708" s="175">
        <v>1</v>
      </c>
      <c r="J708" s="175" t="s">
        <v>18</v>
      </c>
      <c r="K708" s="175" t="s">
        <v>74</v>
      </c>
      <c r="L708" s="172" t="s">
        <v>75</v>
      </c>
      <c r="M708" s="172" t="s">
        <v>76</v>
      </c>
    </row>
    <row r="709" spans="1:13" x14ac:dyDescent="0.2">
      <c r="A709" s="172" t="s">
        <v>72</v>
      </c>
      <c r="B709" s="172" t="s">
        <v>73</v>
      </c>
      <c r="C709" s="172" t="s">
        <v>21</v>
      </c>
      <c r="D709" s="172" t="s">
        <v>15</v>
      </c>
      <c r="E709" s="173">
        <v>42879</v>
      </c>
      <c r="F709" s="174">
        <v>15.506145</v>
      </c>
      <c r="G709" s="175" t="s">
        <v>19</v>
      </c>
      <c r="H709" s="172" t="s">
        <v>20</v>
      </c>
      <c r="I709" s="175">
        <v>1</v>
      </c>
      <c r="J709" s="175" t="s">
        <v>18</v>
      </c>
      <c r="K709" s="175" t="s">
        <v>74</v>
      </c>
      <c r="L709" s="172" t="s">
        <v>75</v>
      </c>
      <c r="M709" s="172" t="s">
        <v>76</v>
      </c>
    </row>
    <row r="710" spans="1:13" x14ac:dyDescent="0.2">
      <c r="A710" s="172" t="s">
        <v>72</v>
      </c>
      <c r="B710" s="172" t="s">
        <v>73</v>
      </c>
      <c r="C710" s="172" t="s">
        <v>21</v>
      </c>
      <c r="D710" s="172" t="s">
        <v>15</v>
      </c>
      <c r="E710" s="173">
        <v>42872</v>
      </c>
      <c r="F710" s="174">
        <v>1.76</v>
      </c>
      <c r="G710" s="175" t="s">
        <v>16</v>
      </c>
      <c r="H710" s="172" t="s">
        <v>17</v>
      </c>
      <c r="I710" s="175">
        <v>1</v>
      </c>
      <c r="J710" s="175" t="s">
        <v>18</v>
      </c>
      <c r="K710" s="175" t="s">
        <v>74</v>
      </c>
      <c r="L710" s="172" t="s">
        <v>75</v>
      </c>
      <c r="M710" s="172" t="s">
        <v>17</v>
      </c>
    </row>
    <row r="711" spans="1:13" x14ac:dyDescent="0.2">
      <c r="A711" s="172" t="s">
        <v>72</v>
      </c>
      <c r="B711" s="172" t="s">
        <v>73</v>
      </c>
      <c r="C711" s="172" t="s">
        <v>21</v>
      </c>
      <c r="D711" s="172" t="s">
        <v>15</v>
      </c>
      <c r="E711" s="173">
        <v>42872</v>
      </c>
      <c r="F711" s="174">
        <v>17.056300799999999</v>
      </c>
      <c r="G711" s="175" t="s">
        <v>19</v>
      </c>
      <c r="H711" s="172" t="s">
        <v>17</v>
      </c>
      <c r="I711" s="175">
        <v>1</v>
      </c>
      <c r="J711" s="175" t="s">
        <v>18</v>
      </c>
      <c r="K711" s="175" t="s">
        <v>74</v>
      </c>
      <c r="L711" s="172" t="s">
        <v>75</v>
      </c>
      <c r="M711" s="172" t="s">
        <v>17</v>
      </c>
    </row>
    <row r="712" spans="1:13" x14ac:dyDescent="0.2">
      <c r="A712" s="172" t="s">
        <v>72</v>
      </c>
      <c r="B712" s="172" t="s">
        <v>73</v>
      </c>
      <c r="C712" s="172" t="s">
        <v>21</v>
      </c>
      <c r="D712" s="172" t="s">
        <v>15</v>
      </c>
      <c r="E712" s="173">
        <v>42872</v>
      </c>
      <c r="F712" s="174">
        <v>0.97</v>
      </c>
      <c r="G712" s="175" t="s">
        <v>16</v>
      </c>
      <c r="H712" s="172" t="s">
        <v>20</v>
      </c>
      <c r="I712" s="175">
        <v>1</v>
      </c>
      <c r="J712" s="175" t="s">
        <v>18</v>
      </c>
      <c r="K712" s="175" t="s">
        <v>74</v>
      </c>
      <c r="L712" s="172" t="s">
        <v>75</v>
      </c>
      <c r="M712" s="172" t="s">
        <v>76</v>
      </c>
    </row>
    <row r="713" spans="1:13" x14ac:dyDescent="0.2">
      <c r="A713" s="172" t="s">
        <v>72</v>
      </c>
      <c r="B713" s="172" t="s">
        <v>73</v>
      </c>
      <c r="C713" s="172" t="s">
        <v>21</v>
      </c>
      <c r="D713" s="172" t="s">
        <v>15</v>
      </c>
      <c r="E713" s="173">
        <v>42872</v>
      </c>
      <c r="F713" s="174">
        <v>11.1153852</v>
      </c>
      <c r="G713" s="175" t="s">
        <v>19</v>
      </c>
      <c r="H713" s="172" t="s">
        <v>20</v>
      </c>
      <c r="I713" s="175">
        <v>1</v>
      </c>
      <c r="J713" s="175" t="s">
        <v>18</v>
      </c>
      <c r="K713" s="175" t="s">
        <v>74</v>
      </c>
      <c r="L713" s="172" t="s">
        <v>75</v>
      </c>
      <c r="M713" s="172" t="s">
        <v>76</v>
      </c>
    </row>
    <row r="714" spans="1:13" x14ac:dyDescent="0.2">
      <c r="A714" s="172" t="s">
        <v>72</v>
      </c>
      <c r="B714" s="172" t="s">
        <v>73</v>
      </c>
      <c r="C714" s="172" t="s">
        <v>21</v>
      </c>
      <c r="D714" s="172" t="s">
        <v>15</v>
      </c>
      <c r="E714" s="173">
        <v>42864</v>
      </c>
      <c r="F714" s="174">
        <v>1.77</v>
      </c>
      <c r="G714" s="175" t="s">
        <v>16</v>
      </c>
      <c r="H714" s="172" t="s">
        <v>17</v>
      </c>
      <c r="I714" s="175">
        <v>1</v>
      </c>
      <c r="J714" s="175" t="s">
        <v>18</v>
      </c>
      <c r="K714" s="175" t="s">
        <v>74</v>
      </c>
      <c r="L714" s="172" t="s">
        <v>75</v>
      </c>
      <c r="M714" s="172" t="s">
        <v>17</v>
      </c>
    </row>
    <row r="715" spans="1:13" x14ac:dyDescent="0.2">
      <c r="A715" s="172" t="s">
        <v>72</v>
      </c>
      <c r="B715" s="172" t="s">
        <v>73</v>
      </c>
      <c r="C715" s="172" t="s">
        <v>21</v>
      </c>
      <c r="D715" s="172" t="s">
        <v>15</v>
      </c>
      <c r="E715" s="173">
        <v>42864</v>
      </c>
      <c r="F715" s="174">
        <v>13.698950399999999</v>
      </c>
      <c r="G715" s="175" t="s">
        <v>19</v>
      </c>
      <c r="H715" s="172" t="s">
        <v>17</v>
      </c>
      <c r="I715" s="175">
        <v>1</v>
      </c>
      <c r="J715" s="175" t="s">
        <v>18</v>
      </c>
      <c r="K715" s="175" t="s">
        <v>74</v>
      </c>
      <c r="L715" s="172" t="s">
        <v>75</v>
      </c>
      <c r="M715" s="172" t="s">
        <v>17</v>
      </c>
    </row>
    <row r="716" spans="1:13" x14ac:dyDescent="0.2">
      <c r="A716" s="172" t="s">
        <v>72</v>
      </c>
      <c r="B716" s="172" t="s">
        <v>73</v>
      </c>
      <c r="C716" s="172" t="s">
        <v>21</v>
      </c>
      <c r="D716" s="172" t="s">
        <v>15</v>
      </c>
      <c r="E716" s="173">
        <v>42864</v>
      </c>
      <c r="F716" s="174">
        <v>1.18</v>
      </c>
      <c r="G716" s="175" t="s">
        <v>16</v>
      </c>
      <c r="H716" s="172" t="s">
        <v>20</v>
      </c>
      <c r="I716" s="175">
        <v>1</v>
      </c>
      <c r="J716" s="175" t="s">
        <v>18</v>
      </c>
      <c r="K716" s="175" t="s">
        <v>74</v>
      </c>
      <c r="L716" s="172" t="s">
        <v>75</v>
      </c>
      <c r="M716" s="172" t="s">
        <v>76</v>
      </c>
    </row>
    <row r="717" spans="1:13" x14ac:dyDescent="0.2">
      <c r="A717" s="172" t="s">
        <v>72</v>
      </c>
      <c r="B717" s="172" t="s">
        <v>73</v>
      </c>
      <c r="C717" s="172" t="s">
        <v>21</v>
      </c>
      <c r="D717" s="172" t="s">
        <v>15</v>
      </c>
      <c r="E717" s="173">
        <v>42864</v>
      </c>
      <c r="F717" s="174">
        <v>19.2198636</v>
      </c>
      <c r="G717" s="175" t="s">
        <v>19</v>
      </c>
      <c r="H717" s="172" t="s">
        <v>20</v>
      </c>
      <c r="I717" s="175">
        <v>1</v>
      </c>
      <c r="J717" s="175" t="s">
        <v>18</v>
      </c>
      <c r="K717" s="175" t="s">
        <v>74</v>
      </c>
      <c r="L717" s="172" t="s">
        <v>75</v>
      </c>
      <c r="M717" s="172" t="s">
        <v>76</v>
      </c>
    </row>
    <row r="718" spans="1:13" x14ac:dyDescent="0.2">
      <c r="A718" s="172" t="s">
        <v>72</v>
      </c>
      <c r="B718" s="172" t="s">
        <v>73</v>
      </c>
      <c r="C718" s="172" t="s">
        <v>21</v>
      </c>
      <c r="D718" s="172" t="s">
        <v>15</v>
      </c>
      <c r="E718" s="173">
        <v>42857</v>
      </c>
      <c r="F718" s="174">
        <v>0.80500000000000005</v>
      </c>
      <c r="G718" s="175" t="s">
        <v>16</v>
      </c>
      <c r="H718" s="172" t="s">
        <v>17</v>
      </c>
      <c r="I718" s="175">
        <v>1</v>
      </c>
      <c r="J718" s="175" t="s">
        <v>18</v>
      </c>
      <c r="K718" s="175" t="s">
        <v>74</v>
      </c>
      <c r="L718" s="172" t="s">
        <v>75</v>
      </c>
      <c r="M718" s="172" t="s">
        <v>17</v>
      </c>
    </row>
    <row r="719" spans="1:13" x14ac:dyDescent="0.2">
      <c r="A719" s="172" t="s">
        <v>72</v>
      </c>
      <c r="B719" s="172" t="s">
        <v>73</v>
      </c>
      <c r="C719" s="172" t="s">
        <v>21</v>
      </c>
      <c r="D719" s="172" t="s">
        <v>15</v>
      </c>
      <c r="E719" s="173">
        <v>42857</v>
      </c>
      <c r="F719" s="174">
        <v>17.6973132</v>
      </c>
      <c r="G719" s="175" t="s">
        <v>19</v>
      </c>
      <c r="H719" s="172" t="s">
        <v>17</v>
      </c>
      <c r="I719" s="175">
        <v>1</v>
      </c>
      <c r="J719" s="175" t="s">
        <v>18</v>
      </c>
      <c r="K719" s="175" t="s">
        <v>74</v>
      </c>
      <c r="L719" s="172" t="s">
        <v>75</v>
      </c>
      <c r="M719" s="172" t="s">
        <v>17</v>
      </c>
    </row>
    <row r="720" spans="1:13" x14ac:dyDescent="0.2">
      <c r="A720" s="172" t="s">
        <v>72</v>
      </c>
      <c r="B720" s="172" t="s">
        <v>73</v>
      </c>
      <c r="C720" s="172" t="s">
        <v>21</v>
      </c>
      <c r="D720" s="172" t="s">
        <v>15</v>
      </c>
      <c r="E720" s="173">
        <v>42857</v>
      </c>
      <c r="F720" s="174">
        <v>2.25</v>
      </c>
      <c r="G720" s="175" t="s">
        <v>16</v>
      </c>
      <c r="H720" s="172" t="s">
        <v>20</v>
      </c>
      <c r="I720" s="175">
        <v>1</v>
      </c>
      <c r="J720" s="175" t="s">
        <v>18</v>
      </c>
      <c r="K720" s="175" t="s">
        <v>74</v>
      </c>
      <c r="L720" s="172" t="s">
        <v>75</v>
      </c>
      <c r="M720" s="172" t="s">
        <v>76</v>
      </c>
    </row>
    <row r="721" spans="1:13" x14ac:dyDescent="0.2">
      <c r="A721" s="172" t="s">
        <v>72</v>
      </c>
      <c r="B721" s="172" t="s">
        <v>73</v>
      </c>
      <c r="C721" s="172" t="s">
        <v>21</v>
      </c>
      <c r="D721" s="172" t="s">
        <v>15</v>
      </c>
      <c r="E721" s="173">
        <v>42857</v>
      </c>
      <c r="F721" s="174">
        <v>39.556620000000002</v>
      </c>
      <c r="G721" s="175" t="s">
        <v>19</v>
      </c>
      <c r="H721" s="172" t="s">
        <v>20</v>
      </c>
      <c r="I721" s="175">
        <v>1</v>
      </c>
      <c r="J721" s="175" t="s">
        <v>18</v>
      </c>
      <c r="K721" s="175" t="s">
        <v>74</v>
      </c>
      <c r="L721" s="172" t="s">
        <v>75</v>
      </c>
      <c r="M721" s="172" t="s">
        <v>76</v>
      </c>
    </row>
    <row r="722" spans="1:13" x14ac:dyDescent="0.2">
      <c r="A722" s="172" t="s">
        <v>72</v>
      </c>
      <c r="B722" s="172" t="s">
        <v>73</v>
      </c>
      <c r="C722" s="172" t="s">
        <v>21</v>
      </c>
      <c r="D722" s="172" t="s">
        <v>15</v>
      </c>
      <c r="E722" s="173">
        <v>42850</v>
      </c>
      <c r="F722" s="174">
        <v>1.48</v>
      </c>
      <c r="G722" s="175" t="s">
        <v>16</v>
      </c>
      <c r="H722" s="172" t="s">
        <v>17</v>
      </c>
      <c r="I722" s="175"/>
      <c r="J722" s="175" t="s">
        <v>18</v>
      </c>
      <c r="K722" s="175" t="s">
        <v>74</v>
      </c>
      <c r="L722" s="172" t="s">
        <v>75</v>
      </c>
    </row>
    <row r="723" spans="1:13" x14ac:dyDescent="0.2">
      <c r="A723" s="172" t="s">
        <v>72</v>
      </c>
      <c r="B723" s="172" t="s">
        <v>73</v>
      </c>
      <c r="C723" s="172" t="s">
        <v>21</v>
      </c>
      <c r="D723" s="172" t="s">
        <v>15</v>
      </c>
      <c r="E723" s="173">
        <v>42850</v>
      </c>
      <c r="F723" s="174">
        <v>14.23</v>
      </c>
      <c r="G723" s="175" t="s">
        <v>19</v>
      </c>
      <c r="H723" s="172" t="s">
        <v>17</v>
      </c>
      <c r="I723" s="175">
        <v>1</v>
      </c>
      <c r="J723" s="175" t="s">
        <v>18</v>
      </c>
      <c r="K723" s="175" t="s">
        <v>74</v>
      </c>
      <c r="L723" s="172" t="s">
        <v>75</v>
      </c>
    </row>
    <row r="724" spans="1:13" x14ac:dyDescent="0.2">
      <c r="A724" s="172" t="s">
        <v>72</v>
      </c>
      <c r="B724" s="172" t="s">
        <v>73</v>
      </c>
      <c r="C724" s="172" t="s">
        <v>21</v>
      </c>
      <c r="D724" s="172" t="s">
        <v>15</v>
      </c>
      <c r="E724" s="173">
        <v>42850</v>
      </c>
      <c r="F724" s="174">
        <v>1.4</v>
      </c>
      <c r="G724" s="175" t="s">
        <v>16</v>
      </c>
      <c r="H724" s="172" t="s">
        <v>20</v>
      </c>
      <c r="I724" s="175"/>
      <c r="J724" s="175" t="s">
        <v>18</v>
      </c>
      <c r="K724" s="175" t="s">
        <v>74</v>
      </c>
      <c r="L724" s="172" t="s">
        <v>75</v>
      </c>
    </row>
    <row r="725" spans="1:13" x14ac:dyDescent="0.2">
      <c r="A725" s="172" t="s">
        <v>72</v>
      </c>
      <c r="B725" s="172" t="s">
        <v>73</v>
      </c>
      <c r="C725" s="172" t="s">
        <v>21</v>
      </c>
      <c r="D725" s="172" t="s">
        <v>15</v>
      </c>
      <c r="E725" s="173">
        <v>42850</v>
      </c>
      <c r="F725" s="174">
        <v>19.03</v>
      </c>
      <c r="G725" s="175" t="s">
        <v>19</v>
      </c>
      <c r="H725" s="172" t="s">
        <v>20</v>
      </c>
      <c r="I725" s="175">
        <v>1</v>
      </c>
      <c r="J725" s="175" t="s">
        <v>18</v>
      </c>
      <c r="K725" s="175" t="s">
        <v>74</v>
      </c>
      <c r="L725" s="172" t="s">
        <v>75</v>
      </c>
    </row>
    <row r="726" spans="1:13" x14ac:dyDescent="0.2">
      <c r="A726" s="172" t="s">
        <v>72</v>
      </c>
      <c r="B726" s="172" t="s">
        <v>73</v>
      </c>
      <c r="C726" s="172" t="s">
        <v>21</v>
      </c>
      <c r="D726" s="172" t="s">
        <v>15</v>
      </c>
      <c r="E726" s="173">
        <v>42843</v>
      </c>
      <c r="F726" s="174">
        <v>1.585</v>
      </c>
      <c r="G726" s="175" t="s">
        <v>16</v>
      </c>
      <c r="H726" s="172" t="s">
        <v>17</v>
      </c>
      <c r="I726" s="175"/>
      <c r="J726" s="175" t="s">
        <v>18</v>
      </c>
      <c r="K726" s="175" t="s">
        <v>74</v>
      </c>
      <c r="L726" s="172" t="s">
        <v>75</v>
      </c>
    </row>
    <row r="727" spans="1:13" x14ac:dyDescent="0.2">
      <c r="A727" s="172" t="s">
        <v>72</v>
      </c>
      <c r="B727" s="172" t="s">
        <v>73</v>
      </c>
      <c r="C727" s="172" t="s">
        <v>21</v>
      </c>
      <c r="D727" s="172" t="s">
        <v>15</v>
      </c>
      <c r="E727" s="173">
        <v>42843</v>
      </c>
      <c r="F727" s="174">
        <v>14.83</v>
      </c>
      <c r="G727" s="175" t="s">
        <v>19</v>
      </c>
      <c r="H727" s="172" t="s">
        <v>17</v>
      </c>
      <c r="I727" s="175"/>
      <c r="J727" s="175" t="s">
        <v>18</v>
      </c>
      <c r="K727" s="175" t="s">
        <v>74</v>
      </c>
      <c r="L727" s="172" t="s">
        <v>75</v>
      </c>
    </row>
    <row r="728" spans="1:13" x14ac:dyDescent="0.2">
      <c r="A728" s="172" t="s">
        <v>72</v>
      </c>
      <c r="B728" s="172" t="s">
        <v>73</v>
      </c>
      <c r="C728" s="172" t="s">
        <v>21</v>
      </c>
      <c r="D728" s="172" t="s">
        <v>15</v>
      </c>
      <c r="E728" s="173">
        <v>42843</v>
      </c>
      <c r="F728" s="174">
        <v>1.196</v>
      </c>
      <c r="G728" s="175" t="s">
        <v>16</v>
      </c>
      <c r="H728" s="172" t="s">
        <v>20</v>
      </c>
      <c r="I728" s="175"/>
      <c r="J728" s="175" t="s">
        <v>18</v>
      </c>
      <c r="K728" s="175" t="s">
        <v>74</v>
      </c>
      <c r="L728" s="172" t="s">
        <v>75</v>
      </c>
    </row>
    <row r="729" spans="1:13" x14ac:dyDescent="0.2">
      <c r="A729" s="172" t="s">
        <v>72</v>
      </c>
      <c r="B729" s="172" t="s">
        <v>73</v>
      </c>
      <c r="C729" s="172" t="s">
        <v>21</v>
      </c>
      <c r="D729" s="172" t="s">
        <v>15</v>
      </c>
      <c r="E729" s="173">
        <v>42843</v>
      </c>
      <c r="F729" s="174">
        <v>12.81</v>
      </c>
      <c r="G729" s="175" t="s">
        <v>19</v>
      </c>
      <c r="H729" s="172" t="s">
        <v>20</v>
      </c>
      <c r="I729" s="175"/>
      <c r="J729" s="175" t="s">
        <v>18</v>
      </c>
      <c r="K729" s="175" t="s">
        <v>74</v>
      </c>
      <c r="L729" s="172" t="s">
        <v>75</v>
      </c>
    </row>
    <row r="730" spans="1:13" x14ac:dyDescent="0.2">
      <c r="A730" s="172" t="s">
        <v>72</v>
      </c>
      <c r="B730" s="172" t="s">
        <v>73</v>
      </c>
      <c r="C730" s="172" t="s">
        <v>21</v>
      </c>
      <c r="D730" s="172" t="s">
        <v>15</v>
      </c>
      <c r="E730" s="173">
        <v>42836</v>
      </c>
      <c r="F730" s="174">
        <v>1.77</v>
      </c>
      <c r="G730" s="175" t="s">
        <v>16</v>
      </c>
      <c r="H730" s="172" t="s">
        <v>17</v>
      </c>
      <c r="I730" s="175"/>
      <c r="J730" s="175" t="s">
        <v>18</v>
      </c>
      <c r="K730" s="175" t="s">
        <v>74</v>
      </c>
      <c r="L730" s="172" t="s">
        <v>75</v>
      </c>
    </row>
    <row r="731" spans="1:13" x14ac:dyDescent="0.2">
      <c r="A731" s="172" t="s">
        <v>72</v>
      </c>
      <c r="B731" s="172" t="s">
        <v>73</v>
      </c>
      <c r="C731" s="172" t="s">
        <v>21</v>
      </c>
      <c r="D731" s="172" t="s">
        <v>15</v>
      </c>
      <c r="E731" s="173">
        <v>42836</v>
      </c>
      <c r="F731" s="174">
        <v>18.41</v>
      </c>
      <c r="G731" s="175" t="s">
        <v>19</v>
      </c>
      <c r="H731" s="172" t="s">
        <v>17</v>
      </c>
      <c r="I731" s="175"/>
      <c r="J731" s="175" t="s">
        <v>18</v>
      </c>
      <c r="K731" s="175" t="s">
        <v>74</v>
      </c>
      <c r="L731" s="172" t="s">
        <v>75</v>
      </c>
    </row>
    <row r="732" spans="1:13" x14ac:dyDescent="0.2">
      <c r="A732" s="172" t="s">
        <v>72</v>
      </c>
      <c r="B732" s="172" t="s">
        <v>73</v>
      </c>
      <c r="C732" s="172" t="s">
        <v>21</v>
      </c>
      <c r="D732" s="172" t="s">
        <v>15</v>
      </c>
      <c r="E732" s="173">
        <v>42836</v>
      </c>
      <c r="F732" s="174">
        <v>1.1000000000000001</v>
      </c>
      <c r="G732" s="175" t="s">
        <v>16</v>
      </c>
      <c r="H732" s="172" t="s">
        <v>20</v>
      </c>
      <c r="I732" s="175"/>
      <c r="J732" s="175" t="s">
        <v>18</v>
      </c>
      <c r="K732" s="175" t="s">
        <v>74</v>
      </c>
      <c r="L732" s="172" t="s">
        <v>75</v>
      </c>
    </row>
    <row r="733" spans="1:13" x14ac:dyDescent="0.2">
      <c r="A733" s="172" t="s">
        <v>72</v>
      </c>
      <c r="B733" s="172" t="s">
        <v>73</v>
      </c>
      <c r="C733" s="172" t="s">
        <v>21</v>
      </c>
      <c r="D733" s="172" t="s">
        <v>15</v>
      </c>
      <c r="E733" s="173">
        <v>42836</v>
      </c>
      <c r="F733" s="174">
        <v>12.87</v>
      </c>
      <c r="G733" s="175" t="s">
        <v>19</v>
      </c>
      <c r="H733" s="172" t="s">
        <v>20</v>
      </c>
      <c r="I733" s="175"/>
      <c r="J733" s="175" t="s">
        <v>18</v>
      </c>
      <c r="K733" s="175" t="s">
        <v>74</v>
      </c>
      <c r="L733" s="172" t="s">
        <v>75</v>
      </c>
    </row>
    <row r="734" spans="1:13" x14ac:dyDescent="0.2">
      <c r="A734" s="172" t="s">
        <v>72</v>
      </c>
      <c r="B734" s="172" t="s">
        <v>73</v>
      </c>
      <c r="C734" s="172" t="s">
        <v>21</v>
      </c>
      <c r="D734" s="172" t="s">
        <v>15</v>
      </c>
      <c r="E734" s="173">
        <v>42829</v>
      </c>
      <c r="F734" s="174">
        <v>1.22</v>
      </c>
      <c r="G734" s="175" t="s">
        <v>16</v>
      </c>
      <c r="H734" s="172" t="s">
        <v>17</v>
      </c>
      <c r="J734" s="175" t="s">
        <v>18</v>
      </c>
      <c r="K734" s="175" t="s">
        <v>74</v>
      </c>
      <c r="L734" s="172" t="s">
        <v>75</v>
      </c>
    </row>
    <row r="735" spans="1:13" x14ac:dyDescent="0.2">
      <c r="A735" s="172" t="s">
        <v>72</v>
      </c>
      <c r="B735" s="172" t="s">
        <v>73</v>
      </c>
      <c r="C735" s="172" t="s">
        <v>21</v>
      </c>
      <c r="D735" s="172" t="s">
        <v>15</v>
      </c>
      <c r="E735" s="173">
        <v>42829</v>
      </c>
      <c r="F735" s="174">
        <v>17.91</v>
      </c>
      <c r="G735" s="175" t="s">
        <v>19</v>
      </c>
      <c r="H735" s="172" t="s">
        <v>17</v>
      </c>
      <c r="I735" s="175"/>
      <c r="J735" s="175" t="s">
        <v>18</v>
      </c>
      <c r="K735" s="175" t="s">
        <v>74</v>
      </c>
      <c r="L735" s="172" t="s">
        <v>75</v>
      </c>
    </row>
    <row r="736" spans="1:13" x14ac:dyDescent="0.2">
      <c r="A736" s="172" t="s">
        <v>72</v>
      </c>
      <c r="B736" s="172" t="s">
        <v>73</v>
      </c>
      <c r="C736" s="172" t="s">
        <v>21</v>
      </c>
      <c r="D736" s="172" t="s">
        <v>15</v>
      </c>
      <c r="E736" s="173">
        <v>42829</v>
      </c>
      <c r="F736" s="174">
        <v>0.80500000000000005</v>
      </c>
      <c r="G736" s="175" t="s">
        <v>16</v>
      </c>
      <c r="H736" s="172" t="s">
        <v>20</v>
      </c>
      <c r="I736" s="175"/>
      <c r="J736" s="175" t="s">
        <v>18</v>
      </c>
      <c r="K736" s="175" t="s">
        <v>74</v>
      </c>
      <c r="L736" s="172" t="s">
        <v>75</v>
      </c>
    </row>
    <row r="737" spans="1:12" x14ac:dyDescent="0.2">
      <c r="A737" s="172" t="s">
        <v>72</v>
      </c>
      <c r="B737" s="172" t="s">
        <v>73</v>
      </c>
      <c r="C737" s="172" t="s">
        <v>21</v>
      </c>
      <c r="D737" s="172" t="s">
        <v>15</v>
      </c>
      <c r="E737" s="173">
        <v>42829</v>
      </c>
      <c r="F737" s="174">
        <v>12.13</v>
      </c>
      <c r="G737" s="175" t="s">
        <v>19</v>
      </c>
      <c r="H737" s="172" t="s">
        <v>20</v>
      </c>
      <c r="I737" s="175"/>
      <c r="J737" s="175" t="s">
        <v>18</v>
      </c>
      <c r="K737" s="175" t="s">
        <v>74</v>
      </c>
      <c r="L737" s="172" t="s">
        <v>75</v>
      </c>
    </row>
    <row r="738" spans="1:12" x14ac:dyDescent="0.2">
      <c r="A738" s="172" t="s">
        <v>72</v>
      </c>
      <c r="B738" s="172" t="s">
        <v>73</v>
      </c>
      <c r="C738" s="172" t="s">
        <v>21</v>
      </c>
      <c r="D738" s="172" t="s">
        <v>15</v>
      </c>
      <c r="E738" s="173">
        <v>42822</v>
      </c>
      <c r="F738" s="174">
        <v>1.49</v>
      </c>
      <c r="G738" s="175" t="s">
        <v>16</v>
      </c>
      <c r="H738" s="172" t="s">
        <v>17</v>
      </c>
      <c r="I738" s="175">
        <v>1</v>
      </c>
      <c r="J738" s="175" t="s">
        <v>18</v>
      </c>
      <c r="K738" s="175" t="s">
        <v>74</v>
      </c>
      <c r="L738" s="172" t="s">
        <v>75</v>
      </c>
    </row>
    <row r="739" spans="1:12" x14ac:dyDescent="0.2">
      <c r="A739" s="172" t="s">
        <v>72</v>
      </c>
      <c r="B739" s="172" t="s">
        <v>73</v>
      </c>
      <c r="C739" s="172" t="s">
        <v>21</v>
      </c>
      <c r="D739" s="172" t="s">
        <v>15</v>
      </c>
      <c r="E739" s="173">
        <v>42822</v>
      </c>
      <c r="F739" s="174">
        <v>15.520823399999999</v>
      </c>
      <c r="G739" s="175" t="s">
        <v>19</v>
      </c>
      <c r="H739" s="172" t="s">
        <v>17</v>
      </c>
      <c r="I739" s="175">
        <v>1</v>
      </c>
      <c r="J739" s="175" t="s">
        <v>18</v>
      </c>
      <c r="K739" s="175" t="s">
        <v>74</v>
      </c>
      <c r="L739" s="172" t="s">
        <v>75</v>
      </c>
    </row>
    <row r="740" spans="1:12" x14ac:dyDescent="0.2">
      <c r="A740" s="172" t="s">
        <v>72</v>
      </c>
      <c r="B740" s="172" t="s">
        <v>73</v>
      </c>
      <c r="C740" s="172" t="s">
        <v>21</v>
      </c>
      <c r="D740" s="172" t="s">
        <v>15</v>
      </c>
      <c r="E740" s="173">
        <v>42822</v>
      </c>
      <c r="F740" s="174">
        <v>0.94799999999999995</v>
      </c>
      <c r="G740" s="175" t="s">
        <v>16</v>
      </c>
      <c r="H740" s="172" t="s">
        <v>20</v>
      </c>
      <c r="I740" s="175">
        <v>1</v>
      </c>
      <c r="J740" s="175" t="s">
        <v>18</v>
      </c>
      <c r="K740" s="175" t="s">
        <v>74</v>
      </c>
      <c r="L740" s="172" t="s">
        <v>75</v>
      </c>
    </row>
    <row r="741" spans="1:12" x14ac:dyDescent="0.2">
      <c r="A741" s="172" t="s">
        <v>72</v>
      </c>
      <c r="B741" s="172" t="s">
        <v>73</v>
      </c>
      <c r="C741" s="172" t="s">
        <v>21</v>
      </c>
      <c r="D741" s="172" t="s">
        <v>15</v>
      </c>
      <c r="E741" s="173">
        <v>42822</v>
      </c>
      <c r="F741" s="174">
        <v>10.997691100000001</v>
      </c>
      <c r="G741" s="175" t="s">
        <v>19</v>
      </c>
      <c r="H741" s="172" t="s">
        <v>20</v>
      </c>
      <c r="I741" s="175">
        <v>1</v>
      </c>
      <c r="J741" s="175" t="s">
        <v>18</v>
      </c>
      <c r="K741" s="175" t="s">
        <v>74</v>
      </c>
      <c r="L741" s="172" t="s">
        <v>75</v>
      </c>
    </row>
    <row r="742" spans="1:12" x14ac:dyDescent="0.2">
      <c r="A742" s="172" t="s">
        <v>72</v>
      </c>
      <c r="B742" s="172" t="s">
        <v>73</v>
      </c>
      <c r="C742" s="172" t="s">
        <v>21</v>
      </c>
      <c r="D742" s="172" t="s">
        <v>15</v>
      </c>
      <c r="E742" s="173">
        <v>42815</v>
      </c>
      <c r="F742" s="174">
        <v>1.42</v>
      </c>
      <c r="G742" s="175" t="s">
        <v>16</v>
      </c>
      <c r="H742" s="172" t="s">
        <v>17</v>
      </c>
      <c r="I742" s="175">
        <v>1</v>
      </c>
      <c r="J742" s="175" t="s">
        <v>18</v>
      </c>
      <c r="K742" s="175" t="s">
        <v>74</v>
      </c>
      <c r="L742" s="172" t="s">
        <v>75</v>
      </c>
    </row>
    <row r="743" spans="1:12" x14ac:dyDescent="0.2">
      <c r="A743" s="172" t="s">
        <v>72</v>
      </c>
      <c r="B743" s="172" t="s">
        <v>73</v>
      </c>
      <c r="C743" s="172" t="s">
        <v>21</v>
      </c>
      <c r="D743" s="172" t="s">
        <v>15</v>
      </c>
      <c r="E743" s="173">
        <v>42815</v>
      </c>
      <c r="F743" s="174">
        <v>11.9493852</v>
      </c>
      <c r="G743" s="175" t="s">
        <v>19</v>
      </c>
      <c r="H743" s="172" t="s">
        <v>17</v>
      </c>
      <c r="I743" s="175">
        <v>1</v>
      </c>
      <c r="J743" s="175" t="s">
        <v>18</v>
      </c>
      <c r="K743" s="175" t="s">
        <v>74</v>
      </c>
      <c r="L743" s="172" t="s">
        <v>75</v>
      </c>
    </row>
    <row r="744" spans="1:12" x14ac:dyDescent="0.2">
      <c r="A744" s="172" t="s">
        <v>72</v>
      </c>
      <c r="B744" s="172" t="s">
        <v>73</v>
      </c>
      <c r="C744" s="172" t="s">
        <v>21</v>
      </c>
      <c r="D744" s="172" t="s">
        <v>15</v>
      </c>
      <c r="E744" s="173">
        <v>42815</v>
      </c>
      <c r="F744" s="174">
        <v>0.96699999999999997</v>
      </c>
      <c r="G744" s="175" t="s">
        <v>16</v>
      </c>
      <c r="H744" s="172" t="s">
        <v>20</v>
      </c>
      <c r="I744" s="175">
        <v>1</v>
      </c>
      <c r="J744" s="175" t="s">
        <v>18</v>
      </c>
      <c r="K744" s="175" t="s">
        <v>74</v>
      </c>
      <c r="L744" s="172" t="s">
        <v>75</v>
      </c>
    </row>
    <row r="745" spans="1:12" x14ac:dyDescent="0.2">
      <c r="A745" s="172" t="s">
        <v>72</v>
      </c>
      <c r="B745" s="172" t="s">
        <v>73</v>
      </c>
      <c r="C745" s="172" t="s">
        <v>21</v>
      </c>
      <c r="D745" s="172" t="s">
        <v>15</v>
      </c>
      <c r="E745" s="173">
        <v>42815</v>
      </c>
      <c r="F745" s="174">
        <v>11.6778014</v>
      </c>
      <c r="G745" s="175" t="s">
        <v>19</v>
      </c>
      <c r="H745" s="172" t="s">
        <v>20</v>
      </c>
      <c r="I745" s="175">
        <v>1</v>
      </c>
      <c r="J745" s="175" t="s">
        <v>18</v>
      </c>
      <c r="K745" s="175" t="s">
        <v>74</v>
      </c>
      <c r="L745" s="172" t="s">
        <v>75</v>
      </c>
    </row>
    <row r="746" spans="1:12" x14ac:dyDescent="0.2">
      <c r="A746" s="172" t="s">
        <v>72</v>
      </c>
      <c r="B746" s="172" t="s">
        <v>73</v>
      </c>
      <c r="C746" s="172" t="s">
        <v>21</v>
      </c>
      <c r="D746" s="172" t="s">
        <v>15</v>
      </c>
      <c r="E746" s="173">
        <v>42808</v>
      </c>
      <c r="F746" s="174">
        <v>1.347</v>
      </c>
      <c r="G746" s="175" t="s">
        <v>16</v>
      </c>
      <c r="H746" s="172" t="s">
        <v>17</v>
      </c>
      <c r="I746" s="175">
        <v>1</v>
      </c>
      <c r="J746" s="175" t="s">
        <v>18</v>
      </c>
      <c r="K746" s="175" t="s">
        <v>74</v>
      </c>
      <c r="L746" s="172" t="s">
        <v>75</v>
      </c>
    </row>
    <row r="747" spans="1:12" x14ac:dyDescent="0.2">
      <c r="A747" s="172" t="s">
        <v>72</v>
      </c>
      <c r="B747" s="172" t="s">
        <v>73</v>
      </c>
      <c r="C747" s="172" t="s">
        <v>21</v>
      </c>
      <c r="D747" s="172" t="s">
        <v>15</v>
      </c>
      <c r="E747" s="173">
        <v>42808</v>
      </c>
      <c r="F747" s="174">
        <v>11.054236299999999</v>
      </c>
      <c r="G747" s="175" t="s">
        <v>19</v>
      </c>
      <c r="H747" s="172" t="s">
        <v>17</v>
      </c>
      <c r="I747" s="175">
        <v>1</v>
      </c>
      <c r="J747" s="175" t="s">
        <v>18</v>
      </c>
      <c r="K747" s="175" t="s">
        <v>74</v>
      </c>
      <c r="L747" s="172" t="s">
        <v>75</v>
      </c>
    </row>
    <row r="748" spans="1:12" x14ac:dyDescent="0.2">
      <c r="A748" s="172" t="s">
        <v>72</v>
      </c>
      <c r="B748" s="172" t="s">
        <v>73</v>
      </c>
      <c r="C748" s="172" t="s">
        <v>21</v>
      </c>
      <c r="D748" s="172" t="s">
        <v>15</v>
      </c>
      <c r="E748" s="173">
        <v>42808</v>
      </c>
      <c r="F748" s="174">
        <v>0.83099999999999996</v>
      </c>
      <c r="G748" s="175" t="s">
        <v>16</v>
      </c>
      <c r="H748" s="172" t="s">
        <v>20</v>
      </c>
      <c r="I748" s="175">
        <v>1</v>
      </c>
      <c r="J748" s="175" t="s">
        <v>18</v>
      </c>
      <c r="K748" s="175" t="s">
        <v>74</v>
      </c>
      <c r="L748" s="172" t="s">
        <v>75</v>
      </c>
    </row>
    <row r="749" spans="1:12" x14ac:dyDescent="0.2">
      <c r="A749" s="172" t="s">
        <v>72</v>
      </c>
      <c r="B749" s="172" t="s">
        <v>73</v>
      </c>
      <c r="C749" s="172" t="s">
        <v>21</v>
      </c>
      <c r="D749" s="172" t="s">
        <v>15</v>
      </c>
      <c r="E749" s="173">
        <v>42808</v>
      </c>
      <c r="F749" s="174">
        <v>12.0314174</v>
      </c>
      <c r="G749" s="175" t="s">
        <v>19</v>
      </c>
      <c r="H749" s="172" t="s">
        <v>20</v>
      </c>
      <c r="I749" s="175">
        <v>1</v>
      </c>
      <c r="J749" s="175" t="s">
        <v>18</v>
      </c>
      <c r="K749" s="175" t="s">
        <v>74</v>
      </c>
      <c r="L749" s="172" t="s">
        <v>75</v>
      </c>
    </row>
    <row r="750" spans="1:12" x14ac:dyDescent="0.2">
      <c r="A750" s="172" t="s">
        <v>72</v>
      </c>
      <c r="B750" s="172" t="s">
        <v>73</v>
      </c>
      <c r="C750" s="172" t="s">
        <v>21</v>
      </c>
      <c r="D750" s="172" t="s">
        <v>15</v>
      </c>
      <c r="E750" s="173">
        <v>42801</v>
      </c>
      <c r="F750" s="174">
        <v>1.02</v>
      </c>
      <c r="G750" s="175" t="s">
        <v>16</v>
      </c>
      <c r="H750" s="172" t="s">
        <v>17</v>
      </c>
      <c r="I750" s="175">
        <v>1</v>
      </c>
      <c r="J750" s="175" t="s">
        <v>18</v>
      </c>
      <c r="K750" s="175" t="s">
        <v>74</v>
      </c>
      <c r="L750" s="172" t="s">
        <v>75</v>
      </c>
    </row>
    <row r="751" spans="1:12" x14ac:dyDescent="0.2">
      <c r="A751" s="172" t="s">
        <v>72</v>
      </c>
      <c r="B751" s="172" t="s">
        <v>73</v>
      </c>
      <c r="C751" s="172" t="s">
        <v>21</v>
      </c>
      <c r="D751" s="172" t="s">
        <v>15</v>
      </c>
      <c r="E751" s="173">
        <v>42801</v>
      </c>
      <c r="F751" s="174">
        <v>18.783014399999999</v>
      </c>
      <c r="G751" s="175" t="s">
        <v>19</v>
      </c>
      <c r="H751" s="172" t="s">
        <v>17</v>
      </c>
      <c r="I751" s="175">
        <v>1</v>
      </c>
      <c r="J751" s="175" t="s">
        <v>18</v>
      </c>
      <c r="K751" s="175" t="s">
        <v>74</v>
      </c>
      <c r="L751" s="172" t="s">
        <v>75</v>
      </c>
    </row>
    <row r="752" spans="1:12" x14ac:dyDescent="0.2">
      <c r="A752" s="172" t="s">
        <v>72</v>
      </c>
      <c r="B752" s="172" t="s">
        <v>73</v>
      </c>
      <c r="C752" s="172" t="s">
        <v>21</v>
      </c>
      <c r="D752" s="172" t="s">
        <v>15</v>
      </c>
      <c r="E752" s="173">
        <v>42801</v>
      </c>
      <c r="F752" s="174">
        <v>0.80300000000000005</v>
      </c>
      <c r="G752" s="175" t="s">
        <v>16</v>
      </c>
      <c r="H752" s="172" t="s">
        <v>20</v>
      </c>
      <c r="I752" s="175">
        <v>1</v>
      </c>
      <c r="J752" s="175" t="s">
        <v>18</v>
      </c>
      <c r="K752" s="175" t="s">
        <v>74</v>
      </c>
      <c r="L752" s="172" t="s">
        <v>75</v>
      </c>
    </row>
    <row r="753" spans="1:12" x14ac:dyDescent="0.2">
      <c r="A753" s="172" t="s">
        <v>72</v>
      </c>
      <c r="B753" s="172" t="s">
        <v>73</v>
      </c>
      <c r="C753" s="172" t="s">
        <v>21</v>
      </c>
      <c r="D753" s="172" t="s">
        <v>15</v>
      </c>
      <c r="E753" s="173">
        <v>42801</v>
      </c>
      <c r="F753" s="174">
        <v>13.0257039</v>
      </c>
      <c r="G753" s="175" t="s">
        <v>19</v>
      </c>
      <c r="H753" s="172" t="s">
        <v>20</v>
      </c>
      <c r="I753" s="175">
        <v>1</v>
      </c>
      <c r="J753" s="175" t="s">
        <v>18</v>
      </c>
      <c r="K753" s="175" t="s">
        <v>74</v>
      </c>
      <c r="L753" s="172" t="s">
        <v>75</v>
      </c>
    </row>
    <row r="754" spans="1:12" x14ac:dyDescent="0.2">
      <c r="A754" s="172" t="s">
        <v>72</v>
      </c>
      <c r="B754" s="172" t="s">
        <v>73</v>
      </c>
      <c r="C754" s="172" t="s">
        <v>21</v>
      </c>
      <c r="D754" s="172" t="s">
        <v>15</v>
      </c>
      <c r="E754" s="173">
        <v>42794</v>
      </c>
      <c r="F754" s="174">
        <v>1.05</v>
      </c>
      <c r="G754" s="175" t="s">
        <v>16</v>
      </c>
      <c r="H754" s="172" t="s">
        <v>17</v>
      </c>
      <c r="I754" s="175">
        <v>1</v>
      </c>
      <c r="J754" s="175" t="s">
        <v>18</v>
      </c>
      <c r="K754" s="175" t="s">
        <v>74</v>
      </c>
      <c r="L754" s="172" t="s">
        <v>75</v>
      </c>
    </row>
    <row r="755" spans="1:12" x14ac:dyDescent="0.2">
      <c r="A755" s="172" t="s">
        <v>72</v>
      </c>
      <c r="B755" s="172" t="s">
        <v>73</v>
      </c>
      <c r="C755" s="172" t="s">
        <v>21</v>
      </c>
      <c r="D755" s="172" t="s">
        <v>15</v>
      </c>
      <c r="E755" s="173">
        <v>42794</v>
      </c>
      <c r="F755" s="174">
        <v>13.450752</v>
      </c>
      <c r="G755" s="175" t="s">
        <v>19</v>
      </c>
      <c r="H755" s="172" t="s">
        <v>17</v>
      </c>
      <c r="I755" s="175">
        <v>1</v>
      </c>
      <c r="J755" s="175" t="s">
        <v>18</v>
      </c>
      <c r="K755" s="175" t="s">
        <v>74</v>
      </c>
      <c r="L755" s="172" t="s">
        <v>75</v>
      </c>
    </row>
    <row r="756" spans="1:12" x14ac:dyDescent="0.2">
      <c r="A756" s="172" t="s">
        <v>72</v>
      </c>
      <c r="B756" s="172" t="s">
        <v>73</v>
      </c>
      <c r="C756" s="172" t="s">
        <v>21</v>
      </c>
      <c r="D756" s="172" t="s">
        <v>15</v>
      </c>
      <c r="E756" s="173">
        <v>42794</v>
      </c>
      <c r="F756" s="174">
        <v>0.73199999999999998</v>
      </c>
      <c r="G756" s="175" t="s">
        <v>16</v>
      </c>
      <c r="H756" s="172" t="s">
        <v>20</v>
      </c>
      <c r="I756" s="175">
        <v>1</v>
      </c>
      <c r="J756" s="175" t="s">
        <v>18</v>
      </c>
      <c r="K756" s="175" t="s">
        <v>74</v>
      </c>
      <c r="L756" s="172" t="s">
        <v>75</v>
      </c>
    </row>
    <row r="757" spans="1:12" x14ac:dyDescent="0.2">
      <c r="A757" s="172" t="s">
        <v>72</v>
      </c>
      <c r="B757" s="172" t="s">
        <v>73</v>
      </c>
      <c r="C757" s="172" t="s">
        <v>21</v>
      </c>
      <c r="D757" s="172" t="s">
        <v>15</v>
      </c>
      <c r="E757" s="173">
        <v>42794</v>
      </c>
      <c r="F757" s="174">
        <v>11.2573987</v>
      </c>
      <c r="G757" s="175" t="s">
        <v>19</v>
      </c>
      <c r="H757" s="172" t="s">
        <v>20</v>
      </c>
      <c r="I757" s="175">
        <v>1</v>
      </c>
      <c r="J757" s="175" t="s">
        <v>18</v>
      </c>
      <c r="K757" s="175" t="s">
        <v>74</v>
      </c>
      <c r="L757" s="172" t="s">
        <v>75</v>
      </c>
    </row>
    <row r="758" spans="1:12" x14ac:dyDescent="0.2">
      <c r="A758" s="172" t="s">
        <v>72</v>
      </c>
      <c r="B758" s="172" t="s">
        <v>73</v>
      </c>
      <c r="C758" s="172" t="s">
        <v>21</v>
      </c>
      <c r="D758" s="172" t="s">
        <v>15</v>
      </c>
      <c r="E758" s="173">
        <v>42787</v>
      </c>
      <c r="F758" s="174">
        <v>0.59199999999999997</v>
      </c>
      <c r="G758" s="175" t="s">
        <v>16</v>
      </c>
      <c r="H758" s="172" t="s">
        <v>17</v>
      </c>
      <c r="I758" s="175">
        <v>1</v>
      </c>
      <c r="J758" s="175" t="s">
        <v>18</v>
      </c>
      <c r="K758" s="175" t="s">
        <v>74</v>
      </c>
      <c r="L758" s="172" t="s">
        <v>75</v>
      </c>
    </row>
    <row r="759" spans="1:12" x14ac:dyDescent="0.2">
      <c r="A759" s="172" t="s">
        <v>72</v>
      </c>
      <c r="B759" s="172" t="s">
        <v>73</v>
      </c>
      <c r="C759" s="172" t="s">
        <v>21</v>
      </c>
      <c r="D759" s="172" t="s">
        <v>15</v>
      </c>
      <c r="E759" s="173">
        <v>42787</v>
      </c>
      <c r="F759" s="174">
        <v>8.7982329000000004</v>
      </c>
      <c r="G759" s="175" t="s">
        <v>19</v>
      </c>
      <c r="H759" s="172" t="s">
        <v>17</v>
      </c>
      <c r="I759" s="175">
        <v>1</v>
      </c>
      <c r="J759" s="175" t="s">
        <v>18</v>
      </c>
      <c r="K759" s="175" t="s">
        <v>74</v>
      </c>
      <c r="L759" s="172" t="s">
        <v>75</v>
      </c>
    </row>
    <row r="760" spans="1:12" x14ac:dyDescent="0.2">
      <c r="A760" s="172" t="s">
        <v>72</v>
      </c>
      <c r="B760" s="172" t="s">
        <v>73</v>
      </c>
      <c r="C760" s="172" t="s">
        <v>21</v>
      </c>
      <c r="D760" s="172" t="s">
        <v>15</v>
      </c>
      <c r="E760" s="173">
        <v>42787</v>
      </c>
      <c r="F760" s="174">
        <v>0.76600000000000001</v>
      </c>
      <c r="G760" s="175" t="s">
        <v>16</v>
      </c>
      <c r="H760" s="172" t="s">
        <v>20</v>
      </c>
      <c r="I760" s="175">
        <v>1</v>
      </c>
      <c r="J760" s="175" t="s">
        <v>18</v>
      </c>
      <c r="K760" s="175" t="s">
        <v>74</v>
      </c>
      <c r="L760" s="172" t="s">
        <v>75</v>
      </c>
    </row>
    <row r="761" spans="1:12" x14ac:dyDescent="0.2">
      <c r="A761" s="172" t="s">
        <v>72</v>
      </c>
      <c r="B761" s="172" t="s">
        <v>73</v>
      </c>
      <c r="C761" s="172" t="s">
        <v>21</v>
      </c>
      <c r="D761" s="172" t="s">
        <v>15</v>
      </c>
      <c r="E761" s="173">
        <v>42787</v>
      </c>
      <c r="F761" s="174">
        <v>10.0234623</v>
      </c>
      <c r="G761" s="175" t="s">
        <v>19</v>
      </c>
      <c r="H761" s="172" t="s">
        <v>20</v>
      </c>
      <c r="I761" s="175">
        <v>1</v>
      </c>
      <c r="J761" s="175" t="s">
        <v>18</v>
      </c>
      <c r="K761" s="175" t="s">
        <v>74</v>
      </c>
      <c r="L761" s="172" t="s">
        <v>75</v>
      </c>
    </row>
    <row r="762" spans="1:12" x14ac:dyDescent="0.2">
      <c r="A762" s="172" t="s">
        <v>72</v>
      </c>
      <c r="B762" s="172" t="s">
        <v>73</v>
      </c>
      <c r="C762" s="172" t="s">
        <v>21</v>
      </c>
      <c r="D762" s="172" t="s">
        <v>15</v>
      </c>
      <c r="E762" s="173">
        <v>42780</v>
      </c>
      <c r="F762" s="174">
        <v>2.2400000000000002</v>
      </c>
      <c r="G762" s="175" t="s">
        <v>16</v>
      </c>
      <c r="H762" s="172" t="s">
        <v>17</v>
      </c>
      <c r="I762" s="175">
        <v>1</v>
      </c>
      <c r="J762" s="175" t="s">
        <v>18</v>
      </c>
      <c r="K762" s="175" t="s">
        <v>74</v>
      </c>
      <c r="L762" s="172" t="s">
        <v>75</v>
      </c>
    </row>
    <row r="763" spans="1:12" x14ac:dyDescent="0.2">
      <c r="A763" s="172" t="s">
        <v>72</v>
      </c>
      <c r="B763" s="172" t="s">
        <v>73</v>
      </c>
      <c r="C763" s="172" t="s">
        <v>21</v>
      </c>
      <c r="D763" s="172" t="s">
        <v>15</v>
      </c>
      <c r="E763" s="173">
        <v>42780</v>
      </c>
      <c r="F763" s="174">
        <v>17.728838400000001</v>
      </c>
      <c r="G763" s="175" t="s">
        <v>19</v>
      </c>
      <c r="H763" s="172" t="s">
        <v>17</v>
      </c>
      <c r="I763" s="175">
        <v>1</v>
      </c>
      <c r="J763" s="175" t="s">
        <v>18</v>
      </c>
      <c r="K763" s="175" t="s">
        <v>74</v>
      </c>
      <c r="L763" s="172" t="s">
        <v>75</v>
      </c>
    </row>
    <row r="764" spans="1:12" x14ac:dyDescent="0.2">
      <c r="A764" s="172" t="s">
        <v>72</v>
      </c>
      <c r="B764" s="172" t="s">
        <v>73</v>
      </c>
      <c r="C764" s="172" t="s">
        <v>21</v>
      </c>
      <c r="D764" s="172" t="s">
        <v>15</v>
      </c>
      <c r="E764" s="173">
        <v>42780</v>
      </c>
      <c r="F764" s="174">
        <v>1.34</v>
      </c>
      <c r="G764" s="175" t="s">
        <v>16</v>
      </c>
      <c r="H764" s="172" t="s">
        <v>20</v>
      </c>
      <c r="I764" s="175">
        <v>1</v>
      </c>
      <c r="J764" s="175" t="s">
        <v>18</v>
      </c>
      <c r="K764" s="175" t="s">
        <v>74</v>
      </c>
      <c r="L764" s="172" t="s">
        <v>75</v>
      </c>
    </row>
    <row r="765" spans="1:12" x14ac:dyDescent="0.2">
      <c r="A765" s="172" t="s">
        <v>72</v>
      </c>
      <c r="B765" s="172" t="s">
        <v>73</v>
      </c>
      <c r="C765" s="172" t="s">
        <v>21</v>
      </c>
      <c r="D765" s="172" t="s">
        <v>15</v>
      </c>
      <c r="E765" s="173">
        <v>42780</v>
      </c>
      <c r="F765" s="174">
        <v>11.4661656</v>
      </c>
      <c r="G765" s="175" t="s">
        <v>19</v>
      </c>
      <c r="H765" s="172" t="s">
        <v>20</v>
      </c>
      <c r="I765" s="175">
        <v>1</v>
      </c>
      <c r="J765" s="175" t="s">
        <v>18</v>
      </c>
      <c r="K765" s="175" t="s">
        <v>74</v>
      </c>
      <c r="L765" s="172" t="s">
        <v>75</v>
      </c>
    </row>
    <row r="766" spans="1:12" x14ac:dyDescent="0.2">
      <c r="A766" s="172" t="s">
        <v>72</v>
      </c>
      <c r="B766" s="172" t="s">
        <v>73</v>
      </c>
      <c r="C766" s="172" t="s">
        <v>21</v>
      </c>
      <c r="D766" s="172" t="s">
        <v>15</v>
      </c>
      <c r="E766" s="173">
        <v>42773</v>
      </c>
      <c r="F766" s="174">
        <v>1.28</v>
      </c>
      <c r="G766" s="175" t="s">
        <v>16</v>
      </c>
      <c r="H766" s="172" t="s">
        <v>17</v>
      </c>
      <c r="I766" s="175">
        <v>1</v>
      </c>
      <c r="J766" s="175" t="s">
        <v>18</v>
      </c>
      <c r="K766" s="175" t="s">
        <v>74</v>
      </c>
      <c r="L766" s="172" t="s">
        <v>75</v>
      </c>
    </row>
    <row r="767" spans="1:12" x14ac:dyDescent="0.2">
      <c r="A767" s="172" t="s">
        <v>72</v>
      </c>
      <c r="B767" s="172" t="s">
        <v>73</v>
      </c>
      <c r="C767" s="172" t="s">
        <v>21</v>
      </c>
      <c r="D767" s="172" t="s">
        <v>15</v>
      </c>
      <c r="E767" s="173">
        <v>42773</v>
      </c>
      <c r="F767" s="174">
        <v>8.8497407999999993</v>
      </c>
      <c r="G767" s="175" t="s">
        <v>19</v>
      </c>
      <c r="H767" s="172" t="s">
        <v>17</v>
      </c>
      <c r="I767" s="175">
        <v>1</v>
      </c>
      <c r="J767" s="175" t="s">
        <v>18</v>
      </c>
      <c r="K767" s="175" t="s">
        <v>74</v>
      </c>
      <c r="L767" s="172" t="s">
        <v>75</v>
      </c>
    </row>
    <row r="768" spans="1:12" x14ac:dyDescent="0.2">
      <c r="A768" s="172" t="s">
        <v>72</v>
      </c>
      <c r="B768" s="172" t="s">
        <v>73</v>
      </c>
      <c r="C768" s="172" t="s">
        <v>21</v>
      </c>
      <c r="D768" s="172" t="s">
        <v>15</v>
      </c>
      <c r="E768" s="173">
        <v>42773</v>
      </c>
      <c r="F768" s="174">
        <v>1.23</v>
      </c>
      <c r="G768" s="175" t="s">
        <v>16</v>
      </c>
      <c r="H768" s="172" t="s">
        <v>20</v>
      </c>
      <c r="I768" s="175">
        <v>1</v>
      </c>
      <c r="J768" s="175" t="s">
        <v>18</v>
      </c>
      <c r="K768" s="175" t="s">
        <v>74</v>
      </c>
      <c r="L768" s="172" t="s">
        <v>75</v>
      </c>
    </row>
    <row r="769" spans="1:12" x14ac:dyDescent="0.2">
      <c r="A769" s="172" t="s">
        <v>72</v>
      </c>
      <c r="B769" s="172" t="s">
        <v>73</v>
      </c>
      <c r="C769" s="172" t="s">
        <v>21</v>
      </c>
      <c r="D769" s="172" t="s">
        <v>15</v>
      </c>
      <c r="E769" s="173">
        <v>42773</v>
      </c>
      <c r="F769" s="174">
        <v>9.4478021999999999</v>
      </c>
      <c r="G769" s="175" t="s">
        <v>19</v>
      </c>
      <c r="H769" s="172" t="s">
        <v>20</v>
      </c>
      <c r="I769" s="175">
        <v>1</v>
      </c>
      <c r="J769" s="175" t="s">
        <v>18</v>
      </c>
      <c r="K769" s="175" t="s">
        <v>74</v>
      </c>
      <c r="L769" s="172" t="s">
        <v>75</v>
      </c>
    </row>
    <row r="770" spans="1:12" x14ac:dyDescent="0.2">
      <c r="A770" s="172" t="s">
        <v>72</v>
      </c>
      <c r="B770" s="172" t="s">
        <v>73</v>
      </c>
      <c r="C770" s="172" t="s">
        <v>21</v>
      </c>
      <c r="D770" s="172" t="s">
        <v>15</v>
      </c>
      <c r="E770" s="173">
        <v>42766</v>
      </c>
      <c r="F770" s="174">
        <v>2.17</v>
      </c>
      <c r="G770" s="175" t="s">
        <v>16</v>
      </c>
      <c r="H770" s="172" t="s">
        <v>17</v>
      </c>
      <c r="I770" s="175">
        <v>1</v>
      </c>
      <c r="J770" s="175" t="s">
        <v>18</v>
      </c>
      <c r="K770" s="175" t="s">
        <v>74</v>
      </c>
      <c r="L770" s="172" t="s">
        <v>75</v>
      </c>
    </row>
    <row r="771" spans="1:12" x14ac:dyDescent="0.2">
      <c r="A771" s="172" t="s">
        <v>72</v>
      </c>
      <c r="B771" s="172" t="s">
        <v>73</v>
      </c>
      <c r="C771" s="172" t="s">
        <v>21</v>
      </c>
      <c r="D771" s="172" t="s">
        <v>15</v>
      </c>
      <c r="E771" s="173">
        <v>42766</v>
      </c>
      <c r="F771" s="174">
        <v>15.021174</v>
      </c>
      <c r="G771" s="175" t="s">
        <v>19</v>
      </c>
      <c r="H771" s="172" t="s">
        <v>17</v>
      </c>
      <c r="I771" s="175">
        <v>1</v>
      </c>
      <c r="J771" s="175" t="s">
        <v>18</v>
      </c>
      <c r="K771" s="175" t="s">
        <v>74</v>
      </c>
      <c r="L771" s="172" t="s">
        <v>75</v>
      </c>
    </row>
    <row r="772" spans="1:12" x14ac:dyDescent="0.2">
      <c r="A772" s="172" t="s">
        <v>72</v>
      </c>
      <c r="B772" s="172" t="s">
        <v>73</v>
      </c>
      <c r="C772" s="172" t="s">
        <v>21</v>
      </c>
      <c r="D772" s="172" t="s">
        <v>15</v>
      </c>
      <c r="E772" s="173">
        <v>42766</v>
      </c>
      <c r="F772" s="174">
        <v>1.39</v>
      </c>
      <c r="G772" s="175" t="s">
        <v>16</v>
      </c>
      <c r="H772" s="172" t="s">
        <v>20</v>
      </c>
      <c r="I772" s="175">
        <v>1</v>
      </c>
      <c r="J772" s="175" t="s">
        <v>18</v>
      </c>
      <c r="K772" s="175" t="s">
        <v>74</v>
      </c>
      <c r="L772" s="172" t="s">
        <v>75</v>
      </c>
    </row>
    <row r="773" spans="1:12" x14ac:dyDescent="0.2">
      <c r="A773" s="172" t="s">
        <v>72</v>
      </c>
      <c r="B773" s="172" t="s">
        <v>73</v>
      </c>
      <c r="C773" s="172" t="s">
        <v>21</v>
      </c>
      <c r="D773" s="172" t="s">
        <v>15</v>
      </c>
      <c r="E773" s="173">
        <v>42766</v>
      </c>
      <c r="F773" s="174">
        <v>10.8274884</v>
      </c>
      <c r="G773" s="175" t="s">
        <v>19</v>
      </c>
      <c r="H773" s="172" t="s">
        <v>20</v>
      </c>
      <c r="I773" s="175">
        <v>1</v>
      </c>
      <c r="J773" s="175" t="s">
        <v>18</v>
      </c>
      <c r="K773" s="175" t="s">
        <v>74</v>
      </c>
      <c r="L773" s="172" t="s">
        <v>75</v>
      </c>
    </row>
    <row r="774" spans="1:12" x14ac:dyDescent="0.2">
      <c r="A774" s="172" t="s">
        <v>72</v>
      </c>
      <c r="B774" s="172" t="s">
        <v>73</v>
      </c>
      <c r="C774" s="172" t="s">
        <v>21</v>
      </c>
      <c r="D774" s="172" t="s">
        <v>15</v>
      </c>
      <c r="E774" s="173">
        <v>42759</v>
      </c>
      <c r="F774" s="174">
        <v>2.14</v>
      </c>
      <c r="G774" s="175" t="s">
        <v>16</v>
      </c>
      <c r="H774" s="172" t="s">
        <v>17</v>
      </c>
      <c r="I774" s="175">
        <v>1</v>
      </c>
      <c r="J774" s="175" t="s">
        <v>18</v>
      </c>
      <c r="K774" s="175" t="s">
        <v>74</v>
      </c>
      <c r="L774" s="172" t="s">
        <v>75</v>
      </c>
    </row>
    <row r="775" spans="1:12" x14ac:dyDescent="0.2">
      <c r="A775" s="172" t="s">
        <v>72</v>
      </c>
      <c r="B775" s="172" t="s">
        <v>73</v>
      </c>
      <c r="C775" s="172" t="s">
        <v>21</v>
      </c>
      <c r="D775" s="172" t="s">
        <v>15</v>
      </c>
      <c r="E775" s="173">
        <v>42759</v>
      </c>
      <c r="F775" s="174">
        <v>16.4554872</v>
      </c>
      <c r="G775" s="175" t="s">
        <v>19</v>
      </c>
      <c r="H775" s="172" t="s">
        <v>17</v>
      </c>
      <c r="I775" s="175">
        <v>1</v>
      </c>
      <c r="J775" s="175" t="s">
        <v>18</v>
      </c>
      <c r="K775" s="175" t="s">
        <v>74</v>
      </c>
      <c r="L775" s="172" t="s">
        <v>75</v>
      </c>
    </row>
    <row r="776" spans="1:12" x14ac:dyDescent="0.2">
      <c r="A776" s="172" t="s">
        <v>72</v>
      </c>
      <c r="B776" s="172" t="s">
        <v>73</v>
      </c>
      <c r="C776" s="172" t="s">
        <v>21</v>
      </c>
      <c r="D776" s="172" t="s">
        <v>15</v>
      </c>
      <c r="E776" s="173">
        <v>42759</v>
      </c>
      <c r="F776" s="174">
        <v>1.22</v>
      </c>
      <c r="G776" s="175" t="s">
        <v>16</v>
      </c>
      <c r="H776" s="172" t="s">
        <v>20</v>
      </c>
      <c r="I776" s="175">
        <v>1</v>
      </c>
      <c r="J776" s="175" t="s">
        <v>18</v>
      </c>
      <c r="K776" s="175" t="s">
        <v>74</v>
      </c>
      <c r="L776" s="172" t="s">
        <v>75</v>
      </c>
    </row>
    <row r="777" spans="1:12" x14ac:dyDescent="0.2">
      <c r="A777" s="172" t="s">
        <v>72</v>
      </c>
      <c r="B777" s="172" t="s">
        <v>73</v>
      </c>
      <c r="C777" s="172" t="s">
        <v>21</v>
      </c>
      <c r="D777" s="172" t="s">
        <v>15</v>
      </c>
      <c r="E777" s="173">
        <v>42759</v>
      </c>
      <c r="F777" s="174">
        <v>10.5105684</v>
      </c>
      <c r="G777" s="175" t="s">
        <v>19</v>
      </c>
      <c r="H777" s="172" t="s">
        <v>20</v>
      </c>
      <c r="I777" s="175">
        <v>1</v>
      </c>
      <c r="J777" s="175" t="s">
        <v>18</v>
      </c>
      <c r="K777" s="175" t="s">
        <v>74</v>
      </c>
      <c r="L777" s="172" t="s">
        <v>75</v>
      </c>
    </row>
    <row r="778" spans="1:12" x14ac:dyDescent="0.2">
      <c r="A778" s="172" t="s">
        <v>72</v>
      </c>
      <c r="B778" s="172" t="s">
        <v>73</v>
      </c>
      <c r="C778" s="172" t="s">
        <v>21</v>
      </c>
      <c r="D778" s="172" t="s">
        <v>15</v>
      </c>
      <c r="E778" s="173">
        <v>42752</v>
      </c>
      <c r="F778" s="174">
        <v>1.81</v>
      </c>
      <c r="G778" s="175" t="s">
        <v>16</v>
      </c>
      <c r="H778" s="172" t="s">
        <v>17</v>
      </c>
      <c r="I778" s="175">
        <v>1</v>
      </c>
      <c r="J778" s="175" t="s">
        <v>18</v>
      </c>
      <c r="K778" s="175" t="s">
        <v>74</v>
      </c>
      <c r="L778" s="172" t="s">
        <v>75</v>
      </c>
    </row>
    <row r="779" spans="1:12" x14ac:dyDescent="0.2">
      <c r="A779" s="172" t="s">
        <v>72</v>
      </c>
      <c r="B779" s="172" t="s">
        <v>73</v>
      </c>
      <c r="C779" s="172" t="s">
        <v>21</v>
      </c>
      <c r="D779" s="172" t="s">
        <v>15</v>
      </c>
      <c r="E779" s="173">
        <v>42752</v>
      </c>
      <c r="F779" s="174">
        <v>13.208475</v>
      </c>
      <c r="G779" s="175" t="s">
        <v>19</v>
      </c>
      <c r="H779" s="172" t="s">
        <v>17</v>
      </c>
      <c r="I779" s="175">
        <v>1</v>
      </c>
      <c r="J779" s="175" t="s">
        <v>18</v>
      </c>
      <c r="K779" s="175" t="s">
        <v>74</v>
      </c>
      <c r="L779" s="172" t="s">
        <v>75</v>
      </c>
    </row>
    <row r="780" spans="1:12" x14ac:dyDescent="0.2">
      <c r="A780" s="172" t="s">
        <v>72</v>
      </c>
      <c r="B780" s="172" t="s">
        <v>73</v>
      </c>
      <c r="C780" s="172" t="s">
        <v>21</v>
      </c>
      <c r="D780" s="172" t="s">
        <v>15</v>
      </c>
      <c r="E780" s="173">
        <v>42752</v>
      </c>
      <c r="F780" s="174">
        <v>1.1499999999999999</v>
      </c>
      <c r="G780" s="175" t="s">
        <v>16</v>
      </c>
      <c r="H780" s="172" t="s">
        <v>20</v>
      </c>
      <c r="I780" s="175">
        <v>1</v>
      </c>
      <c r="J780" s="175" t="s">
        <v>18</v>
      </c>
      <c r="K780" s="175" t="s">
        <v>74</v>
      </c>
      <c r="L780" s="172" t="s">
        <v>75</v>
      </c>
    </row>
    <row r="781" spans="1:12" x14ac:dyDescent="0.2">
      <c r="A781" s="172" t="s">
        <v>72</v>
      </c>
      <c r="B781" s="172" t="s">
        <v>73</v>
      </c>
      <c r="C781" s="172" t="s">
        <v>21</v>
      </c>
      <c r="D781" s="172" t="s">
        <v>15</v>
      </c>
      <c r="E781" s="173">
        <v>42752</v>
      </c>
      <c r="F781" s="174">
        <v>9.121041</v>
      </c>
      <c r="G781" s="175" t="s">
        <v>19</v>
      </c>
      <c r="H781" s="172" t="s">
        <v>20</v>
      </c>
      <c r="I781" s="175">
        <v>1</v>
      </c>
      <c r="J781" s="175" t="s">
        <v>18</v>
      </c>
      <c r="K781" s="175" t="s">
        <v>74</v>
      </c>
      <c r="L781" s="172" t="s">
        <v>75</v>
      </c>
    </row>
    <row r="782" spans="1:12" x14ac:dyDescent="0.2">
      <c r="A782" s="172" t="s">
        <v>72</v>
      </c>
      <c r="B782" s="172" t="s">
        <v>73</v>
      </c>
      <c r="C782" s="172" t="s">
        <v>21</v>
      </c>
      <c r="D782" s="172" t="s">
        <v>15</v>
      </c>
      <c r="E782" s="173">
        <v>42745</v>
      </c>
      <c r="F782" s="174">
        <v>1.58</v>
      </c>
      <c r="G782" s="175" t="s">
        <v>16</v>
      </c>
      <c r="H782" s="172" t="s">
        <v>17</v>
      </c>
      <c r="I782" s="175">
        <v>1</v>
      </c>
      <c r="J782" s="175" t="s">
        <v>18</v>
      </c>
      <c r="K782" s="175" t="s">
        <v>74</v>
      </c>
      <c r="L782" s="172" t="s">
        <v>75</v>
      </c>
    </row>
    <row r="783" spans="1:12" x14ac:dyDescent="0.2">
      <c r="A783" s="172" t="s">
        <v>72</v>
      </c>
      <c r="B783" s="172" t="s">
        <v>73</v>
      </c>
      <c r="C783" s="172" t="s">
        <v>21</v>
      </c>
      <c r="D783" s="172" t="s">
        <v>15</v>
      </c>
      <c r="E783" s="173">
        <v>42745</v>
      </c>
      <c r="F783" s="174">
        <v>9.1449768000000002</v>
      </c>
      <c r="G783" s="175" t="s">
        <v>19</v>
      </c>
      <c r="H783" s="172" t="s">
        <v>17</v>
      </c>
      <c r="I783" s="175">
        <v>1</v>
      </c>
      <c r="J783" s="175" t="s">
        <v>18</v>
      </c>
      <c r="K783" s="175" t="s">
        <v>74</v>
      </c>
      <c r="L783" s="172" t="s">
        <v>75</v>
      </c>
    </row>
    <row r="784" spans="1:12" x14ac:dyDescent="0.2">
      <c r="A784" s="172" t="s">
        <v>72</v>
      </c>
      <c r="B784" s="172" t="s">
        <v>73</v>
      </c>
      <c r="C784" s="172" t="s">
        <v>21</v>
      </c>
      <c r="D784" s="172" t="s">
        <v>15</v>
      </c>
      <c r="E784" s="173">
        <v>42745</v>
      </c>
      <c r="F784" s="174">
        <v>1.3</v>
      </c>
      <c r="G784" s="175" t="s">
        <v>16</v>
      </c>
      <c r="H784" s="172" t="s">
        <v>20</v>
      </c>
      <c r="I784" s="175">
        <v>1</v>
      </c>
      <c r="J784" s="175" t="s">
        <v>18</v>
      </c>
      <c r="K784" s="175" t="s">
        <v>74</v>
      </c>
      <c r="L784" s="172" t="s">
        <v>75</v>
      </c>
    </row>
    <row r="785" spans="1:12" x14ac:dyDescent="0.2">
      <c r="A785" s="172" t="s">
        <v>72</v>
      </c>
      <c r="B785" s="172" t="s">
        <v>73</v>
      </c>
      <c r="C785" s="172" t="s">
        <v>21</v>
      </c>
      <c r="D785" s="172" t="s">
        <v>15</v>
      </c>
      <c r="E785" s="173">
        <v>42745</v>
      </c>
      <c r="F785" s="174">
        <v>8.6302319999999995</v>
      </c>
      <c r="G785" s="175" t="s">
        <v>19</v>
      </c>
      <c r="H785" s="172" t="s">
        <v>20</v>
      </c>
      <c r="I785" s="175">
        <v>1</v>
      </c>
      <c r="J785" s="175" t="s">
        <v>18</v>
      </c>
      <c r="K785" s="175" t="s">
        <v>74</v>
      </c>
      <c r="L785" s="172" t="s">
        <v>75</v>
      </c>
    </row>
    <row r="786" spans="1:12" x14ac:dyDescent="0.2">
      <c r="A786" s="172" t="s">
        <v>72</v>
      </c>
      <c r="B786" s="172" t="s">
        <v>73</v>
      </c>
      <c r="C786" s="172" t="s">
        <v>21</v>
      </c>
      <c r="D786" s="172" t="s">
        <v>15</v>
      </c>
      <c r="E786" s="173">
        <v>42738</v>
      </c>
      <c r="F786" s="174">
        <v>2.41</v>
      </c>
      <c r="G786" s="175" t="s">
        <v>16</v>
      </c>
      <c r="H786" s="172" t="s">
        <v>17</v>
      </c>
      <c r="I786" s="175">
        <v>1</v>
      </c>
      <c r="J786" s="175" t="s">
        <v>18</v>
      </c>
      <c r="K786" s="175" t="s">
        <v>74</v>
      </c>
      <c r="L786" s="172" t="s">
        <v>75</v>
      </c>
    </row>
    <row r="787" spans="1:12" x14ac:dyDescent="0.2">
      <c r="A787" s="172" t="s">
        <v>72</v>
      </c>
      <c r="B787" s="172" t="s">
        <v>73</v>
      </c>
      <c r="C787" s="172" t="s">
        <v>21</v>
      </c>
      <c r="D787" s="172" t="s">
        <v>15</v>
      </c>
      <c r="E787" s="173">
        <v>42738</v>
      </c>
      <c r="F787" s="174">
        <v>16.4212098</v>
      </c>
      <c r="G787" s="175" t="s">
        <v>19</v>
      </c>
      <c r="H787" s="172" t="s">
        <v>17</v>
      </c>
      <c r="I787" s="175">
        <v>1</v>
      </c>
      <c r="J787" s="175" t="s">
        <v>18</v>
      </c>
      <c r="K787" s="175" t="s">
        <v>74</v>
      </c>
      <c r="L787" s="172" t="s">
        <v>75</v>
      </c>
    </row>
    <row r="788" spans="1:12" x14ac:dyDescent="0.2">
      <c r="A788" s="172" t="s">
        <v>72</v>
      </c>
      <c r="B788" s="172" t="s">
        <v>73</v>
      </c>
      <c r="C788" s="172" t="s">
        <v>21</v>
      </c>
      <c r="D788" s="172" t="s">
        <v>15</v>
      </c>
      <c r="E788" s="173">
        <v>42738</v>
      </c>
      <c r="F788" s="174">
        <v>1.41</v>
      </c>
      <c r="G788" s="175" t="s">
        <v>16</v>
      </c>
      <c r="H788" s="172" t="s">
        <v>20</v>
      </c>
      <c r="I788" s="175">
        <v>1</v>
      </c>
      <c r="J788" s="175" t="s">
        <v>18</v>
      </c>
      <c r="K788" s="175" t="s">
        <v>74</v>
      </c>
      <c r="L788" s="172" t="s">
        <v>75</v>
      </c>
    </row>
    <row r="789" spans="1:12" x14ac:dyDescent="0.2">
      <c r="A789" s="172" t="s">
        <v>72</v>
      </c>
      <c r="B789" s="172" t="s">
        <v>73</v>
      </c>
      <c r="C789" s="172" t="s">
        <v>21</v>
      </c>
      <c r="D789" s="172" t="s">
        <v>15</v>
      </c>
      <c r="E789" s="173">
        <v>42738</v>
      </c>
      <c r="F789" s="174">
        <v>10.7951292</v>
      </c>
      <c r="G789" s="175" t="s">
        <v>19</v>
      </c>
      <c r="H789" s="172" t="s">
        <v>20</v>
      </c>
      <c r="I789" s="175">
        <v>1</v>
      </c>
      <c r="J789" s="175" t="s">
        <v>18</v>
      </c>
      <c r="K789" s="175" t="s">
        <v>74</v>
      </c>
      <c r="L789" s="172" t="s">
        <v>75</v>
      </c>
    </row>
    <row r="790" spans="1:12" x14ac:dyDescent="0.2">
      <c r="A790" s="172" t="s">
        <v>72</v>
      </c>
      <c r="B790" s="172" t="s">
        <v>73</v>
      </c>
      <c r="C790" s="172" t="s">
        <v>21</v>
      </c>
      <c r="D790" s="172" t="s">
        <v>15</v>
      </c>
      <c r="E790" s="173">
        <v>42731</v>
      </c>
      <c r="F790" s="174">
        <v>1.71</v>
      </c>
      <c r="G790" s="175" t="s">
        <v>16</v>
      </c>
      <c r="H790" s="172" t="s">
        <v>17</v>
      </c>
      <c r="I790" s="175">
        <v>1</v>
      </c>
      <c r="J790" s="175" t="s">
        <v>18</v>
      </c>
      <c r="K790" s="175" t="s">
        <v>74</v>
      </c>
      <c r="L790" s="172" t="s">
        <v>75</v>
      </c>
    </row>
    <row r="791" spans="1:12" x14ac:dyDescent="0.2">
      <c r="A791" s="172" t="s">
        <v>72</v>
      </c>
      <c r="B791" s="172" t="s">
        <v>73</v>
      </c>
      <c r="C791" s="172" t="s">
        <v>21</v>
      </c>
      <c r="D791" s="172" t="s">
        <v>15</v>
      </c>
      <c r="E791" s="173">
        <v>42731</v>
      </c>
      <c r="F791" s="174">
        <v>14.988731400000001</v>
      </c>
      <c r="G791" s="175" t="s">
        <v>19</v>
      </c>
      <c r="H791" s="172" t="s">
        <v>17</v>
      </c>
      <c r="I791" s="175">
        <v>1</v>
      </c>
      <c r="J791" s="175" t="s">
        <v>18</v>
      </c>
      <c r="K791" s="175" t="s">
        <v>74</v>
      </c>
      <c r="L791" s="172" t="s">
        <v>75</v>
      </c>
    </row>
    <row r="792" spans="1:12" x14ac:dyDescent="0.2">
      <c r="A792" s="172" t="s">
        <v>72</v>
      </c>
      <c r="B792" s="172" t="s">
        <v>73</v>
      </c>
      <c r="C792" s="172" t="s">
        <v>21</v>
      </c>
      <c r="D792" s="172" t="s">
        <v>15</v>
      </c>
      <c r="E792" s="173">
        <v>42731</v>
      </c>
      <c r="F792" s="174">
        <v>1.08</v>
      </c>
      <c r="G792" s="175" t="s">
        <v>16</v>
      </c>
      <c r="H792" s="172" t="s">
        <v>20</v>
      </c>
      <c r="I792" s="175">
        <v>1</v>
      </c>
      <c r="J792" s="175" t="s">
        <v>18</v>
      </c>
      <c r="K792" s="175" t="s">
        <v>74</v>
      </c>
      <c r="L792" s="172" t="s">
        <v>75</v>
      </c>
    </row>
    <row r="793" spans="1:12" x14ac:dyDescent="0.2">
      <c r="A793" s="172" t="s">
        <v>72</v>
      </c>
      <c r="B793" s="172" t="s">
        <v>73</v>
      </c>
      <c r="C793" s="172" t="s">
        <v>21</v>
      </c>
      <c r="D793" s="172" t="s">
        <v>15</v>
      </c>
      <c r="E793" s="173">
        <v>42731</v>
      </c>
      <c r="F793" s="174">
        <v>10.250193599999999</v>
      </c>
      <c r="G793" s="175" t="s">
        <v>19</v>
      </c>
      <c r="H793" s="172" t="s">
        <v>20</v>
      </c>
      <c r="I793" s="175">
        <v>1</v>
      </c>
      <c r="J793" s="175" t="s">
        <v>18</v>
      </c>
      <c r="K793" s="175" t="s">
        <v>74</v>
      </c>
      <c r="L793" s="172" t="s">
        <v>75</v>
      </c>
    </row>
    <row r="794" spans="1:12" x14ac:dyDescent="0.2">
      <c r="A794" s="172" t="s">
        <v>72</v>
      </c>
      <c r="B794" s="172" t="s">
        <v>73</v>
      </c>
      <c r="C794" s="172" t="s">
        <v>21</v>
      </c>
      <c r="D794" s="172" t="s">
        <v>15</v>
      </c>
      <c r="E794" s="173">
        <v>42724</v>
      </c>
      <c r="F794" s="174">
        <v>2.89</v>
      </c>
      <c r="G794" s="175" t="s">
        <v>16</v>
      </c>
      <c r="H794" s="172" t="s">
        <v>17</v>
      </c>
      <c r="I794" s="175">
        <v>1</v>
      </c>
      <c r="J794" s="175" t="s">
        <v>18</v>
      </c>
      <c r="K794" s="175" t="s">
        <v>74</v>
      </c>
      <c r="L794" s="172" t="s">
        <v>75</v>
      </c>
    </row>
    <row r="795" spans="1:12" x14ac:dyDescent="0.2">
      <c r="A795" s="172" t="s">
        <v>72</v>
      </c>
      <c r="B795" s="172" t="s">
        <v>73</v>
      </c>
      <c r="C795" s="172" t="s">
        <v>21</v>
      </c>
      <c r="D795" s="172" t="s">
        <v>15</v>
      </c>
      <c r="E795" s="173">
        <v>42724</v>
      </c>
      <c r="F795" s="174">
        <v>15.4979718</v>
      </c>
      <c r="G795" s="175" t="s">
        <v>19</v>
      </c>
      <c r="H795" s="172" t="s">
        <v>17</v>
      </c>
      <c r="I795" s="175">
        <v>1</v>
      </c>
      <c r="J795" s="175" t="s">
        <v>18</v>
      </c>
      <c r="K795" s="175" t="s">
        <v>74</v>
      </c>
      <c r="L795" s="172" t="s">
        <v>75</v>
      </c>
    </row>
    <row r="796" spans="1:12" x14ac:dyDescent="0.2">
      <c r="A796" s="172" t="s">
        <v>72</v>
      </c>
      <c r="B796" s="172" t="s">
        <v>73</v>
      </c>
      <c r="C796" s="172" t="s">
        <v>21</v>
      </c>
      <c r="D796" s="172" t="s">
        <v>15</v>
      </c>
      <c r="E796" s="173">
        <v>42724</v>
      </c>
      <c r="F796" s="174">
        <v>1.46</v>
      </c>
      <c r="G796" s="175" t="s">
        <v>16</v>
      </c>
      <c r="H796" s="172" t="s">
        <v>20</v>
      </c>
      <c r="I796" s="175">
        <v>1</v>
      </c>
      <c r="J796" s="175" t="s">
        <v>18</v>
      </c>
      <c r="K796" s="175" t="s">
        <v>74</v>
      </c>
      <c r="L796" s="172" t="s">
        <v>75</v>
      </c>
    </row>
    <row r="797" spans="1:12" x14ac:dyDescent="0.2">
      <c r="A797" s="172" t="s">
        <v>72</v>
      </c>
      <c r="B797" s="172" t="s">
        <v>73</v>
      </c>
      <c r="C797" s="172" t="s">
        <v>21</v>
      </c>
      <c r="D797" s="172" t="s">
        <v>15</v>
      </c>
      <c r="E797" s="173">
        <v>42724</v>
      </c>
      <c r="F797" s="174">
        <v>8.8644192000000004</v>
      </c>
      <c r="G797" s="175" t="s">
        <v>19</v>
      </c>
      <c r="H797" s="172" t="s">
        <v>20</v>
      </c>
      <c r="I797" s="175">
        <v>1</v>
      </c>
      <c r="J797" s="175" t="s">
        <v>18</v>
      </c>
      <c r="K797" s="175" t="s">
        <v>74</v>
      </c>
      <c r="L797" s="172" t="s">
        <v>75</v>
      </c>
    </row>
    <row r="798" spans="1:12" x14ac:dyDescent="0.2">
      <c r="A798" s="172" t="s">
        <v>72</v>
      </c>
      <c r="B798" s="172" t="s">
        <v>73</v>
      </c>
      <c r="C798" s="172" t="s">
        <v>21</v>
      </c>
      <c r="D798" s="172" t="s">
        <v>15</v>
      </c>
      <c r="E798" s="173">
        <v>42717</v>
      </c>
      <c r="F798" s="174">
        <v>2.4</v>
      </c>
      <c r="G798" s="175" t="s">
        <v>16</v>
      </c>
      <c r="H798" s="172" t="s">
        <v>17</v>
      </c>
      <c r="I798" s="175">
        <v>1</v>
      </c>
      <c r="J798" s="175" t="s">
        <v>18</v>
      </c>
      <c r="K798" s="175" t="s">
        <v>74</v>
      </c>
      <c r="L798" s="172" t="s">
        <v>75</v>
      </c>
    </row>
    <row r="799" spans="1:12" x14ac:dyDescent="0.2">
      <c r="A799" s="172" t="s">
        <v>72</v>
      </c>
      <c r="B799" s="172" t="s">
        <v>73</v>
      </c>
      <c r="C799" s="172" t="s">
        <v>21</v>
      </c>
      <c r="D799" s="172" t="s">
        <v>15</v>
      </c>
      <c r="E799" s="173">
        <v>42717</v>
      </c>
      <c r="F799" s="174">
        <v>14.251391999999999</v>
      </c>
      <c r="G799" s="175" t="s">
        <v>19</v>
      </c>
      <c r="H799" s="172" t="s">
        <v>17</v>
      </c>
      <c r="I799" s="175">
        <v>1</v>
      </c>
      <c r="J799" s="175" t="s">
        <v>18</v>
      </c>
      <c r="K799" s="175" t="s">
        <v>74</v>
      </c>
      <c r="L799" s="172" t="s">
        <v>75</v>
      </c>
    </row>
    <row r="800" spans="1:12" x14ac:dyDescent="0.2">
      <c r="A800" s="172" t="s">
        <v>72</v>
      </c>
      <c r="B800" s="172" t="s">
        <v>73</v>
      </c>
      <c r="C800" s="172" t="s">
        <v>21</v>
      </c>
      <c r="D800" s="172" t="s">
        <v>15</v>
      </c>
      <c r="E800" s="173">
        <v>42717</v>
      </c>
      <c r="F800" s="174">
        <v>1.3</v>
      </c>
      <c r="G800" s="175" t="s">
        <v>16</v>
      </c>
      <c r="H800" s="172" t="s">
        <v>20</v>
      </c>
      <c r="I800" s="175">
        <v>1</v>
      </c>
      <c r="J800" s="175" t="s">
        <v>18</v>
      </c>
      <c r="K800" s="175" t="s">
        <v>74</v>
      </c>
      <c r="L800" s="172" t="s">
        <v>75</v>
      </c>
    </row>
    <row r="801" spans="1:12" x14ac:dyDescent="0.2">
      <c r="A801" s="172" t="s">
        <v>72</v>
      </c>
      <c r="B801" s="172" t="s">
        <v>73</v>
      </c>
      <c r="C801" s="172" t="s">
        <v>21</v>
      </c>
      <c r="D801" s="172" t="s">
        <v>15</v>
      </c>
      <c r="E801" s="173">
        <v>42717</v>
      </c>
      <c r="F801" s="174">
        <v>8.3266559999999998</v>
      </c>
      <c r="G801" s="175" t="s">
        <v>19</v>
      </c>
      <c r="H801" s="172" t="s">
        <v>20</v>
      </c>
      <c r="I801" s="175">
        <v>1</v>
      </c>
      <c r="J801" s="175" t="s">
        <v>18</v>
      </c>
      <c r="K801" s="175" t="s">
        <v>74</v>
      </c>
      <c r="L801" s="172" t="s">
        <v>75</v>
      </c>
    </row>
    <row r="802" spans="1:12" x14ac:dyDescent="0.2">
      <c r="A802" s="172" t="s">
        <v>72</v>
      </c>
      <c r="B802" s="172" t="s">
        <v>73</v>
      </c>
      <c r="C802" s="172" t="s">
        <v>21</v>
      </c>
      <c r="D802" s="172" t="s">
        <v>15</v>
      </c>
      <c r="E802" s="173">
        <v>42710</v>
      </c>
      <c r="F802" s="174">
        <v>2.02</v>
      </c>
      <c r="G802" s="175" t="s">
        <v>16</v>
      </c>
      <c r="H802" s="172" t="s">
        <v>17</v>
      </c>
      <c r="I802" s="175">
        <v>1</v>
      </c>
      <c r="J802" s="175" t="s">
        <v>18</v>
      </c>
      <c r="K802" s="175" t="s">
        <v>74</v>
      </c>
      <c r="L802" s="172" t="s">
        <v>75</v>
      </c>
    </row>
    <row r="803" spans="1:12" x14ac:dyDescent="0.2">
      <c r="A803" s="172" t="s">
        <v>72</v>
      </c>
      <c r="B803" s="172" t="s">
        <v>73</v>
      </c>
      <c r="C803" s="172" t="s">
        <v>21</v>
      </c>
      <c r="D803" s="172" t="s">
        <v>15</v>
      </c>
      <c r="E803" s="173">
        <v>42710</v>
      </c>
      <c r="F803" s="174">
        <v>13.0225764</v>
      </c>
      <c r="G803" s="175" t="s">
        <v>19</v>
      </c>
      <c r="H803" s="172" t="s">
        <v>17</v>
      </c>
      <c r="I803" s="175">
        <v>1</v>
      </c>
      <c r="J803" s="175" t="s">
        <v>18</v>
      </c>
      <c r="K803" s="175" t="s">
        <v>74</v>
      </c>
      <c r="L803" s="172" t="s">
        <v>75</v>
      </c>
    </row>
    <row r="804" spans="1:12" x14ac:dyDescent="0.2">
      <c r="A804" s="172" t="s">
        <v>72</v>
      </c>
      <c r="B804" s="172" t="s">
        <v>73</v>
      </c>
      <c r="C804" s="172" t="s">
        <v>21</v>
      </c>
      <c r="D804" s="172" t="s">
        <v>15</v>
      </c>
      <c r="E804" s="173">
        <v>42710</v>
      </c>
      <c r="F804" s="174">
        <v>1.34</v>
      </c>
      <c r="G804" s="175" t="s">
        <v>16</v>
      </c>
      <c r="H804" s="172" t="s">
        <v>20</v>
      </c>
      <c r="I804" s="175">
        <v>1</v>
      </c>
      <c r="J804" s="175" t="s">
        <v>18</v>
      </c>
      <c r="K804" s="175" t="s">
        <v>74</v>
      </c>
      <c r="L804" s="172" t="s">
        <v>75</v>
      </c>
    </row>
    <row r="805" spans="1:12" x14ac:dyDescent="0.2">
      <c r="A805" s="172" t="s">
        <v>72</v>
      </c>
      <c r="B805" s="172" t="s">
        <v>73</v>
      </c>
      <c r="C805" s="172" t="s">
        <v>21</v>
      </c>
      <c r="D805" s="172" t="s">
        <v>15</v>
      </c>
      <c r="E805" s="173">
        <v>42710</v>
      </c>
      <c r="F805" s="174">
        <v>10.169796</v>
      </c>
      <c r="G805" s="175" t="s">
        <v>19</v>
      </c>
      <c r="H805" s="172" t="s">
        <v>20</v>
      </c>
      <c r="I805" s="175">
        <v>1</v>
      </c>
      <c r="J805" s="175" t="s">
        <v>18</v>
      </c>
      <c r="K805" s="175" t="s">
        <v>74</v>
      </c>
      <c r="L805" s="172" t="s">
        <v>75</v>
      </c>
    </row>
    <row r="806" spans="1:12" x14ac:dyDescent="0.2">
      <c r="A806" s="172" t="s">
        <v>72</v>
      </c>
      <c r="B806" s="172" t="s">
        <v>73</v>
      </c>
      <c r="C806" s="172" t="s">
        <v>21</v>
      </c>
      <c r="D806" s="172" t="s">
        <v>15</v>
      </c>
      <c r="E806" s="173">
        <v>42703</v>
      </c>
      <c r="F806" s="174">
        <v>2.85</v>
      </c>
      <c r="G806" s="175" t="s">
        <v>16</v>
      </c>
      <c r="H806" s="172" t="s">
        <v>17</v>
      </c>
      <c r="I806" s="175">
        <v>1</v>
      </c>
      <c r="J806" s="175" t="s">
        <v>18</v>
      </c>
      <c r="K806" s="175" t="s">
        <v>74</v>
      </c>
      <c r="L806" s="172" t="s">
        <v>75</v>
      </c>
    </row>
    <row r="807" spans="1:12" x14ac:dyDescent="0.2">
      <c r="A807" s="172" t="s">
        <v>72</v>
      </c>
      <c r="B807" s="172" t="s">
        <v>73</v>
      </c>
      <c r="C807" s="172" t="s">
        <v>21</v>
      </c>
      <c r="D807" s="172" t="s">
        <v>15</v>
      </c>
      <c r="E807" s="173">
        <v>42703</v>
      </c>
      <c r="F807" s="174">
        <v>16.757145000000001</v>
      </c>
      <c r="G807" s="175" t="s">
        <v>19</v>
      </c>
      <c r="H807" s="172" t="s">
        <v>17</v>
      </c>
      <c r="I807" s="175">
        <v>1</v>
      </c>
      <c r="J807" s="175" t="s">
        <v>18</v>
      </c>
      <c r="K807" s="175" t="s">
        <v>74</v>
      </c>
      <c r="L807" s="172" t="s">
        <v>75</v>
      </c>
    </row>
    <row r="808" spans="1:12" x14ac:dyDescent="0.2">
      <c r="A808" s="172" t="s">
        <v>72</v>
      </c>
      <c r="B808" s="172" t="s">
        <v>73</v>
      </c>
      <c r="C808" s="172" t="s">
        <v>21</v>
      </c>
      <c r="D808" s="172" t="s">
        <v>15</v>
      </c>
      <c r="E808" s="173">
        <v>42703</v>
      </c>
      <c r="F808" s="174">
        <v>1.84</v>
      </c>
      <c r="G808" s="175" t="s">
        <v>16</v>
      </c>
      <c r="H808" s="172" t="s">
        <v>20</v>
      </c>
      <c r="I808" s="175">
        <v>1</v>
      </c>
      <c r="J808" s="175" t="s">
        <v>18</v>
      </c>
      <c r="K808" s="175" t="s">
        <v>74</v>
      </c>
      <c r="L808" s="172" t="s">
        <v>75</v>
      </c>
    </row>
    <row r="809" spans="1:12" x14ac:dyDescent="0.2">
      <c r="A809" s="172" t="s">
        <v>72</v>
      </c>
      <c r="B809" s="172" t="s">
        <v>73</v>
      </c>
      <c r="C809" s="172" t="s">
        <v>21</v>
      </c>
      <c r="D809" s="172" t="s">
        <v>15</v>
      </c>
      <c r="E809" s="173">
        <v>42703</v>
      </c>
      <c r="F809" s="174">
        <v>12.859612800000001</v>
      </c>
      <c r="G809" s="175" t="s">
        <v>19</v>
      </c>
      <c r="H809" s="172" t="s">
        <v>20</v>
      </c>
      <c r="I809" s="175">
        <v>1</v>
      </c>
      <c r="J809" s="175" t="s">
        <v>18</v>
      </c>
      <c r="K809" s="175" t="s">
        <v>74</v>
      </c>
      <c r="L809" s="172" t="s">
        <v>75</v>
      </c>
    </row>
    <row r="810" spans="1:12" x14ac:dyDescent="0.2">
      <c r="A810" s="172" t="s">
        <v>72</v>
      </c>
      <c r="B810" s="172" t="s">
        <v>73</v>
      </c>
      <c r="C810" s="172" t="s">
        <v>21</v>
      </c>
      <c r="D810" s="172" t="s">
        <v>15</v>
      </c>
      <c r="E810" s="173">
        <v>42695</v>
      </c>
      <c r="F810" s="174">
        <v>2.41</v>
      </c>
      <c r="G810" s="175" t="s">
        <v>16</v>
      </c>
      <c r="H810" s="172" t="s">
        <v>17</v>
      </c>
      <c r="I810" s="175">
        <v>1</v>
      </c>
      <c r="J810" s="175" t="s">
        <v>18</v>
      </c>
      <c r="K810" s="175" t="s">
        <v>74</v>
      </c>
      <c r="L810" s="172" t="s">
        <v>75</v>
      </c>
    </row>
    <row r="811" spans="1:12" x14ac:dyDescent="0.2">
      <c r="A811" s="172" t="s">
        <v>72</v>
      </c>
      <c r="B811" s="172" t="s">
        <v>73</v>
      </c>
      <c r="C811" s="172" t="s">
        <v>21</v>
      </c>
      <c r="D811" s="172" t="s">
        <v>15</v>
      </c>
      <c r="E811" s="173">
        <v>42695</v>
      </c>
      <c r="F811" s="174">
        <v>11.7983478</v>
      </c>
      <c r="G811" s="175" t="s">
        <v>19</v>
      </c>
      <c r="H811" s="172" t="s">
        <v>17</v>
      </c>
      <c r="I811" s="175">
        <v>1</v>
      </c>
      <c r="J811" s="175" t="s">
        <v>18</v>
      </c>
      <c r="K811" s="175" t="s">
        <v>74</v>
      </c>
      <c r="L811" s="172" t="s">
        <v>75</v>
      </c>
    </row>
    <row r="812" spans="1:12" x14ac:dyDescent="0.2">
      <c r="A812" s="172" t="s">
        <v>72</v>
      </c>
      <c r="B812" s="172" t="s">
        <v>73</v>
      </c>
      <c r="C812" s="172" t="s">
        <v>21</v>
      </c>
      <c r="D812" s="172" t="s">
        <v>15</v>
      </c>
      <c r="E812" s="173">
        <v>42695</v>
      </c>
      <c r="F812" s="174">
        <v>1.71</v>
      </c>
      <c r="G812" s="175" t="s">
        <v>16</v>
      </c>
      <c r="H812" s="172" t="s">
        <v>20</v>
      </c>
      <c r="I812" s="175">
        <v>1</v>
      </c>
      <c r="J812" s="175" t="s">
        <v>18</v>
      </c>
      <c r="K812" s="175" t="s">
        <v>74</v>
      </c>
      <c r="L812" s="172" t="s">
        <v>75</v>
      </c>
    </row>
    <row r="813" spans="1:12" x14ac:dyDescent="0.2">
      <c r="A813" s="172" t="s">
        <v>72</v>
      </c>
      <c r="B813" s="172" t="s">
        <v>73</v>
      </c>
      <c r="C813" s="172" t="s">
        <v>21</v>
      </c>
      <c r="D813" s="172" t="s">
        <v>15</v>
      </c>
      <c r="E813" s="173">
        <v>42695</v>
      </c>
      <c r="F813" s="174">
        <v>9.9829799999999995</v>
      </c>
      <c r="G813" s="175" t="s">
        <v>19</v>
      </c>
      <c r="H813" s="172" t="s">
        <v>20</v>
      </c>
      <c r="I813" s="175">
        <v>1</v>
      </c>
      <c r="J813" s="175" t="s">
        <v>18</v>
      </c>
      <c r="K813" s="175" t="s">
        <v>74</v>
      </c>
      <c r="L813" s="172" t="s">
        <v>75</v>
      </c>
    </row>
    <row r="814" spans="1:12" x14ac:dyDescent="0.2">
      <c r="A814" s="172" t="s">
        <v>72</v>
      </c>
      <c r="B814" s="172" t="s">
        <v>73</v>
      </c>
      <c r="C814" s="172" t="s">
        <v>21</v>
      </c>
      <c r="D814" s="172" t="s">
        <v>15</v>
      </c>
      <c r="E814" s="173">
        <v>42689</v>
      </c>
      <c r="F814" s="174">
        <v>3.49</v>
      </c>
      <c r="G814" s="175" t="s">
        <v>16</v>
      </c>
      <c r="H814" s="172" t="s">
        <v>17</v>
      </c>
      <c r="I814" s="175">
        <v>1</v>
      </c>
      <c r="J814" s="175" t="s">
        <v>18</v>
      </c>
      <c r="K814" s="175" t="s">
        <v>74</v>
      </c>
      <c r="L814" s="172" t="s">
        <v>75</v>
      </c>
    </row>
    <row r="815" spans="1:12" x14ac:dyDescent="0.2">
      <c r="A815" s="172" t="s">
        <v>72</v>
      </c>
      <c r="B815" s="172" t="s">
        <v>73</v>
      </c>
      <c r="C815" s="172" t="s">
        <v>21</v>
      </c>
      <c r="D815" s="172" t="s">
        <v>15</v>
      </c>
      <c r="E815" s="173">
        <v>42689</v>
      </c>
      <c r="F815" s="174">
        <v>17.46396</v>
      </c>
      <c r="G815" s="175" t="s">
        <v>19</v>
      </c>
      <c r="H815" s="172" t="s">
        <v>17</v>
      </c>
      <c r="I815" s="175">
        <v>1</v>
      </c>
      <c r="J815" s="175" t="s">
        <v>18</v>
      </c>
      <c r="K815" s="175" t="s">
        <v>74</v>
      </c>
      <c r="L815" s="172" t="s">
        <v>75</v>
      </c>
    </row>
    <row r="816" spans="1:12" x14ac:dyDescent="0.2">
      <c r="A816" s="172" t="s">
        <v>72</v>
      </c>
      <c r="B816" s="172" t="s">
        <v>73</v>
      </c>
      <c r="C816" s="172" t="s">
        <v>21</v>
      </c>
      <c r="D816" s="172" t="s">
        <v>15</v>
      </c>
      <c r="E816" s="173">
        <v>42689</v>
      </c>
      <c r="F816" s="174">
        <v>2.35</v>
      </c>
      <c r="G816" s="175" t="s">
        <v>16</v>
      </c>
      <c r="H816" s="172" t="s">
        <v>20</v>
      </c>
      <c r="I816" s="175">
        <v>1</v>
      </c>
      <c r="J816" s="175" t="s">
        <v>18</v>
      </c>
      <c r="K816" s="175" t="s">
        <v>74</v>
      </c>
      <c r="L816" s="172" t="s">
        <v>75</v>
      </c>
    </row>
    <row r="817" spans="1:12" x14ac:dyDescent="0.2">
      <c r="A817" s="172" t="s">
        <v>72</v>
      </c>
      <c r="B817" s="172" t="s">
        <v>73</v>
      </c>
      <c r="C817" s="172" t="s">
        <v>21</v>
      </c>
      <c r="D817" s="172" t="s">
        <v>15</v>
      </c>
      <c r="E817" s="173">
        <v>42689</v>
      </c>
      <c r="F817" s="174">
        <v>14.189676</v>
      </c>
      <c r="G817" s="175" t="s">
        <v>19</v>
      </c>
      <c r="H817" s="172" t="s">
        <v>20</v>
      </c>
      <c r="I817" s="175">
        <v>1</v>
      </c>
      <c r="J817" s="175" t="s">
        <v>18</v>
      </c>
      <c r="K817" s="175" t="s">
        <v>74</v>
      </c>
      <c r="L817" s="172" t="s">
        <v>75</v>
      </c>
    </row>
    <row r="818" spans="1:12" x14ac:dyDescent="0.2">
      <c r="A818" s="172" t="s">
        <v>72</v>
      </c>
      <c r="B818" s="172" t="s">
        <v>73</v>
      </c>
      <c r="C818" s="172" t="s">
        <v>21</v>
      </c>
      <c r="D818" s="172" t="s">
        <v>15</v>
      </c>
      <c r="E818" s="173">
        <v>42682</v>
      </c>
      <c r="F818" s="174">
        <v>3.09</v>
      </c>
      <c r="G818" s="175" t="s">
        <v>16</v>
      </c>
      <c r="H818" s="172" t="s">
        <v>17</v>
      </c>
      <c r="I818" s="175">
        <v>1</v>
      </c>
      <c r="J818" s="175" t="s">
        <v>18</v>
      </c>
      <c r="K818" s="175" t="s">
        <v>74</v>
      </c>
      <c r="L818" s="172" t="s">
        <v>75</v>
      </c>
    </row>
    <row r="819" spans="1:12" x14ac:dyDescent="0.2">
      <c r="A819" s="172" t="s">
        <v>72</v>
      </c>
      <c r="B819" s="172" t="s">
        <v>73</v>
      </c>
      <c r="C819" s="172" t="s">
        <v>21</v>
      </c>
      <c r="D819" s="172" t="s">
        <v>15</v>
      </c>
      <c r="E819" s="173">
        <v>42682</v>
      </c>
      <c r="F819" s="174">
        <v>15.46236</v>
      </c>
      <c r="G819" s="175" t="s">
        <v>19</v>
      </c>
      <c r="H819" s="172" t="s">
        <v>17</v>
      </c>
      <c r="I819" s="175">
        <v>1</v>
      </c>
      <c r="J819" s="175" t="s">
        <v>18</v>
      </c>
      <c r="K819" s="175" t="s">
        <v>74</v>
      </c>
      <c r="L819" s="172" t="s">
        <v>75</v>
      </c>
    </row>
    <row r="820" spans="1:12" x14ac:dyDescent="0.2">
      <c r="A820" s="172" t="s">
        <v>72</v>
      </c>
      <c r="B820" s="172" t="s">
        <v>73</v>
      </c>
      <c r="C820" s="172" t="s">
        <v>21</v>
      </c>
      <c r="D820" s="172" t="s">
        <v>15</v>
      </c>
      <c r="E820" s="173">
        <v>42682</v>
      </c>
      <c r="F820" s="174">
        <v>1.27</v>
      </c>
      <c r="G820" s="175" t="s">
        <v>16</v>
      </c>
      <c r="H820" s="172" t="s">
        <v>20</v>
      </c>
      <c r="I820" s="175">
        <v>1</v>
      </c>
      <c r="J820" s="175" t="s">
        <v>18</v>
      </c>
      <c r="K820" s="175" t="s">
        <v>74</v>
      </c>
      <c r="L820" s="172" t="s">
        <v>75</v>
      </c>
    </row>
    <row r="821" spans="1:12" x14ac:dyDescent="0.2">
      <c r="A821" s="172" t="s">
        <v>72</v>
      </c>
      <c r="B821" s="172" t="s">
        <v>73</v>
      </c>
      <c r="C821" s="172" t="s">
        <v>21</v>
      </c>
      <c r="D821" s="172" t="s">
        <v>15</v>
      </c>
      <c r="E821" s="173">
        <v>42682</v>
      </c>
      <c r="F821" s="174">
        <v>7.8061565999999996</v>
      </c>
      <c r="G821" s="175" t="s">
        <v>19</v>
      </c>
      <c r="H821" s="172" t="s">
        <v>20</v>
      </c>
      <c r="I821" s="175">
        <v>1</v>
      </c>
      <c r="J821" s="175" t="s">
        <v>18</v>
      </c>
      <c r="K821" s="175" t="s">
        <v>74</v>
      </c>
      <c r="L821" s="172" t="s">
        <v>75</v>
      </c>
    </row>
    <row r="822" spans="1:12" x14ac:dyDescent="0.2">
      <c r="A822" s="172" t="s">
        <v>72</v>
      </c>
      <c r="B822" s="172" t="s">
        <v>73</v>
      </c>
      <c r="C822" s="172" t="s">
        <v>21</v>
      </c>
      <c r="D822" s="172" t="s">
        <v>15</v>
      </c>
      <c r="E822" s="173">
        <v>42675</v>
      </c>
      <c r="F822" s="174">
        <v>1.45</v>
      </c>
      <c r="G822" s="175" t="s">
        <v>16</v>
      </c>
      <c r="H822" s="172" t="s">
        <v>17</v>
      </c>
      <c r="I822" s="175">
        <v>1</v>
      </c>
      <c r="J822" s="175" t="s">
        <v>18</v>
      </c>
      <c r="K822" s="175" t="s">
        <v>74</v>
      </c>
      <c r="L822" s="172" t="s">
        <v>75</v>
      </c>
    </row>
    <row r="823" spans="1:12" x14ac:dyDescent="0.2">
      <c r="A823" s="172" t="s">
        <v>72</v>
      </c>
      <c r="B823" s="172" t="s">
        <v>73</v>
      </c>
      <c r="C823" s="172" t="s">
        <v>21</v>
      </c>
      <c r="D823" s="172" t="s">
        <v>15</v>
      </c>
      <c r="E823" s="173">
        <v>42675</v>
      </c>
      <c r="F823" s="174">
        <v>8.2232400000000005</v>
      </c>
      <c r="G823" s="175" t="s">
        <v>19</v>
      </c>
      <c r="H823" s="172" t="s">
        <v>17</v>
      </c>
      <c r="I823" s="175">
        <v>1</v>
      </c>
      <c r="J823" s="175" t="s">
        <v>18</v>
      </c>
      <c r="K823" s="175" t="s">
        <v>74</v>
      </c>
      <c r="L823" s="172" t="s">
        <v>75</v>
      </c>
    </row>
    <row r="824" spans="1:12" x14ac:dyDescent="0.2">
      <c r="A824" s="172" t="s">
        <v>72</v>
      </c>
      <c r="B824" s="172" t="s">
        <v>73</v>
      </c>
      <c r="C824" s="172" t="s">
        <v>21</v>
      </c>
      <c r="D824" s="172" t="s">
        <v>15</v>
      </c>
      <c r="E824" s="173">
        <v>42675</v>
      </c>
      <c r="F824" s="174">
        <v>1.31</v>
      </c>
      <c r="G824" s="175" t="s">
        <v>16</v>
      </c>
      <c r="H824" s="172" t="s">
        <v>20</v>
      </c>
      <c r="I824" s="175">
        <v>1</v>
      </c>
      <c r="J824" s="175" t="s">
        <v>18</v>
      </c>
      <c r="K824" s="175" t="s">
        <v>74</v>
      </c>
      <c r="L824" s="172" t="s">
        <v>75</v>
      </c>
    </row>
    <row r="825" spans="1:12" x14ac:dyDescent="0.2">
      <c r="A825" s="172" t="s">
        <v>72</v>
      </c>
      <c r="B825" s="172" t="s">
        <v>73</v>
      </c>
      <c r="C825" s="172" t="s">
        <v>21</v>
      </c>
      <c r="D825" s="172" t="s">
        <v>15</v>
      </c>
      <c r="E825" s="173">
        <v>42675</v>
      </c>
      <c r="F825" s="174">
        <v>8.8604994000000001</v>
      </c>
      <c r="G825" s="175" t="s">
        <v>19</v>
      </c>
      <c r="H825" s="172" t="s">
        <v>20</v>
      </c>
      <c r="I825" s="175">
        <v>1</v>
      </c>
      <c r="J825" s="175" t="s">
        <v>18</v>
      </c>
      <c r="K825" s="175" t="s">
        <v>74</v>
      </c>
      <c r="L825" s="172" t="s">
        <v>75</v>
      </c>
    </row>
    <row r="826" spans="1:12" x14ac:dyDescent="0.2">
      <c r="A826" s="172" t="s">
        <v>72</v>
      </c>
      <c r="B826" s="172" t="s">
        <v>73</v>
      </c>
      <c r="C826" s="172" t="s">
        <v>21</v>
      </c>
      <c r="D826" s="172" t="s">
        <v>15</v>
      </c>
      <c r="E826" s="173">
        <v>42668</v>
      </c>
      <c r="F826" s="174">
        <v>3.1</v>
      </c>
      <c r="G826" s="175" t="s">
        <v>16</v>
      </c>
      <c r="H826" s="172" t="s">
        <v>17</v>
      </c>
      <c r="I826" s="175">
        <v>1</v>
      </c>
      <c r="J826" s="175" t="s">
        <v>18</v>
      </c>
      <c r="K826" s="175" t="s">
        <v>74</v>
      </c>
      <c r="L826" s="172" t="s">
        <v>75</v>
      </c>
    </row>
    <row r="827" spans="1:12" x14ac:dyDescent="0.2">
      <c r="A827" s="172" t="s">
        <v>72</v>
      </c>
      <c r="B827" s="172" t="s">
        <v>73</v>
      </c>
      <c r="C827" s="172" t="s">
        <v>21</v>
      </c>
      <c r="D827" s="172" t="s">
        <v>15</v>
      </c>
      <c r="E827" s="173">
        <v>42668</v>
      </c>
      <c r="F827" s="174">
        <v>17.011932000000002</v>
      </c>
      <c r="G827" s="175" t="s">
        <v>19</v>
      </c>
      <c r="H827" s="172" t="s">
        <v>17</v>
      </c>
      <c r="I827" s="175">
        <v>1</v>
      </c>
      <c r="J827" s="175" t="s">
        <v>18</v>
      </c>
      <c r="K827" s="175" t="s">
        <v>74</v>
      </c>
      <c r="L827" s="172" t="s">
        <v>75</v>
      </c>
    </row>
    <row r="828" spans="1:12" x14ac:dyDescent="0.2">
      <c r="A828" s="172" t="s">
        <v>72</v>
      </c>
      <c r="B828" s="172" t="s">
        <v>73</v>
      </c>
      <c r="C828" s="172" t="s">
        <v>21</v>
      </c>
      <c r="D828" s="172" t="s">
        <v>15</v>
      </c>
      <c r="E828" s="173">
        <v>42668</v>
      </c>
      <c r="F828" s="174">
        <v>1.4</v>
      </c>
      <c r="G828" s="175" t="s">
        <v>16</v>
      </c>
      <c r="H828" s="172" t="s">
        <v>20</v>
      </c>
      <c r="I828" s="175">
        <v>1</v>
      </c>
      <c r="J828" s="175" t="s">
        <v>18</v>
      </c>
      <c r="K828" s="175" t="s">
        <v>74</v>
      </c>
      <c r="L828" s="172" t="s">
        <v>75</v>
      </c>
    </row>
    <row r="829" spans="1:12" x14ac:dyDescent="0.2">
      <c r="A829" s="172" t="s">
        <v>72</v>
      </c>
      <c r="B829" s="172" t="s">
        <v>73</v>
      </c>
      <c r="C829" s="172" t="s">
        <v>21</v>
      </c>
      <c r="D829" s="172" t="s">
        <v>15</v>
      </c>
      <c r="E829" s="173">
        <v>42668</v>
      </c>
      <c r="F829" s="174">
        <v>8.9321400000000004</v>
      </c>
      <c r="G829" s="175" t="s">
        <v>19</v>
      </c>
      <c r="H829" s="172" t="s">
        <v>20</v>
      </c>
      <c r="I829" s="175">
        <v>1</v>
      </c>
      <c r="J829" s="175" t="s">
        <v>18</v>
      </c>
      <c r="K829" s="175" t="s">
        <v>74</v>
      </c>
      <c r="L829" s="172" t="s">
        <v>75</v>
      </c>
    </row>
    <row r="830" spans="1:12" x14ac:dyDescent="0.2">
      <c r="A830" s="172" t="s">
        <v>72</v>
      </c>
      <c r="B830" s="172" t="s">
        <v>73</v>
      </c>
      <c r="C830" s="172" t="s">
        <v>21</v>
      </c>
      <c r="D830" s="172" t="s">
        <v>15</v>
      </c>
      <c r="E830" s="173">
        <v>42661</v>
      </c>
      <c r="F830" s="174">
        <v>2.27</v>
      </c>
      <c r="G830" s="175" t="s">
        <v>16</v>
      </c>
      <c r="H830" s="172" t="s">
        <v>17</v>
      </c>
      <c r="I830" s="175">
        <v>1</v>
      </c>
      <c r="J830" s="175" t="s">
        <v>18</v>
      </c>
      <c r="K830" s="175" t="s">
        <v>74</v>
      </c>
      <c r="L830" s="172" t="s">
        <v>75</v>
      </c>
    </row>
    <row r="831" spans="1:12" x14ac:dyDescent="0.2">
      <c r="A831" s="172" t="s">
        <v>72</v>
      </c>
      <c r="B831" s="172" t="s">
        <v>73</v>
      </c>
      <c r="C831" s="172" t="s">
        <v>21</v>
      </c>
      <c r="D831" s="172" t="s">
        <v>15</v>
      </c>
      <c r="E831" s="173">
        <v>42661</v>
      </c>
      <c r="F831" s="174">
        <v>15.0697128</v>
      </c>
      <c r="G831" s="175" t="s">
        <v>19</v>
      </c>
      <c r="H831" s="172" t="s">
        <v>17</v>
      </c>
      <c r="I831" s="175">
        <v>1</v>
      </c>
      <c r="J831" s="175" t="s">
        <v>18</v>
      </c>
      <c r="K831" s="175" t="s">
        <v>74</v>
      </c>
      <c r="L831" s="172" t="s">
        <v>75</v>
      </c>
    </row>
    <row r="832" spans="1:12" x14ac:dyDescent="0.2">
      <c r="A832" s="172" t="s">
        <v>72</v>
      </c>
      <c r="B832" s="172" t="s">
        <v>73</v>
      </c>
      <c r="C832" s="172" t="s">
        <v>21</v>
      </c>
      <c r="D832" s="172" t="s">
        <v>15</v>
      </c>
      <c r="E832" s="173">
        <v>42661</v>
      </c>
      <c r="F832" s="174">
        <v>1.1399999999999999</v>
      </c>
      <c r="G832" s="175" t="s">
        <v>16</v>
      </c>
      <c r="H832" s="172" t="s">
        <v>20</v>
      </c>
      <c r="I832" s="175">
        <v>1</v>
      </c>
      <c r="J832" s="175" t="s">
        <v>18</v>
      </c>
      <c r="K832" s="175" t="s">
        <v>74</v>
      </c>
      <c r="L832" s="172" t="s">
        <v>75</v>
      </c>
    </row>
    <row r="833" spans="1:12" x14ac:dyDescent="0.2">
      <c r="A833" s="172" t="s">
        <v>72</v>
      </c>
      <c r="B833" s="172" t="s">
        <v>73</v>
      </c>
      <c r="C833" s="172" t="s">
        <v>21</v>
      </c>
      <c r="D833" s="172" t="s">
        <v>15</v>
      </c>
      <c r="E833" s="173">
        <v>42661</v>
      </c>
      <c r="F833" s="174">
        <v>8.7374843999999996</v>
      </c>
      <c r="G833" s="175" t="s">
        <v>19</v>
      </c>
      <c r="H833" s="172" t="s">
        <v>20</v>
      </c>
      <c r="I833" s="175">
        <v>1</v>
      </c>
      <c r="J833" s="175" t="s">
        <v>18</v>
      </c>
      <c r="K833" s="175" t="s">
        <v>74</v>
      </c>
      <c r="L833" s="172" t="s">
        <v>75</v>
      </c>
    </row>
    <row r="834" spans="1:12" x14ac:dyDescent="0.2">
      <c r="A834" s="172" t="s">
        <v>72</v>
      </c>
      <c r="B834" s="172" t="s">
        <v>73</v>
      </c>
      <c r="C834" s="172" t="s">
        <v>21</v>
      </c>
      <c r="D834" s="172" t="s">
        <v>15</v>
      </c>
      <c r="E834" s="173">
        <v>42654</v>
      </c>
      <c r="F834" s="174">
        <v>2.2000000000000002</v>
      </c>
      <c r="G834" s="175" t="s">
        <v>16</v>
      </c>
      <c r="H834" s="172" t="s">
        <v>17</v>
      </c>
      <c r="I834" s="175">
        <v>1</v>
      </c>
      <c r="J834" s="175" t="s">
        <v>18</v>
      </c>
      <c r="K834" s="175" t="s">
        <v>74</v>
      </c>
      <c r="L834" s="172" t="s">
        <v>75</v>
      </c>
    </row>
    <row r="835" spans="1:12" x14ac:dyDescent="0.2">
      <c r="A835" s="172" t="s">
        <v>72</v>
      </c>
      <c r="B835" s="172" t="s">
        <v>73</v>
      </c>
      <c r="C835" s="172" t="s">
        <v>21</v>
      </c>
      <c r="D835" s="172" t="s">
        <v>15</v>
      </c>
      <c r="E835" s="173">
        <v>42654</v>
      </c>
      <c r="F835" s="174">
        <v>13.082124</v>
      </c>
      <c r="G835" s="175" t="s">
        <v>19</v>
      </c>
      <c r="H835" s="172" t="s">
        <v>17</v>
      </c>
      <c r="I835" s="175">
        <v>1</v>
      </c>
      <c r="J835" s="175" t="s">
        <v>18</v>
      </c>
      <c r="K835" s="175" t="s">
        <v>74</v>
      </c>
      <c r="L835" s="172" t="s">
        <v>75</v>
      </c>
    </row>
    <row r="836" spans="1:12" x14ac:dyDescent="0.2">
      <c r="A836" s="172" t="s">
        <v>72</v>
      </c>
      <c r="B836" s="172" t="s">
        <v>73</v>
      </c>
      <c r="C836" s="172" t="s">
        <v>21</v>
      </c>
      <c r="D836" s="172" t="s">
        <v>15</v>
      </c>
      <c r="E836" s="173">
        <v>42654</v>
      </c>
      <c r="F836" s="174">
        <v>1.34</v>
      </c>
      <c r="G836" s="175" t="s">
        <v>16</v>
      </c>
      <c r="H836" s="172" t="s">
        <v>20</v>
      </c>
      <c r="I836" s="175">
        <v>1</v>
      </c>
      <c r="J836" s="175" t="s">
        <v>18</v>
      </c>
      <c r="K836" s="175" t="s">
        <v>74</v>
      </c>
      <c r="L836" s="172" t="s">
        <v>75</v>
      </c>
    </row>
    <row r="837" spans="1:12" x14ac:dyDescent="0.2">
      <c r="A837" s="172" t="s">
        <v>72</v>
      </c>
      <c r="B837" s="172" t="s">
        <v>73</v>
      </c>
      <c r="C837" s="172" t="s">
        <v>21</v>
      </c>
      <c r="D837" s="172" t="s">
        <v>15</v>
      </c>
      <c r="E837" s="173">
        <v>42654</v>
      </c>
      <c r="F837" s="174">
        <v>13.4554224</v>
      </c>
      <c r="G837" s="175" t="s">
        <v>19</v>
      </c>
      <c r="H837" s="172" t="s">
        <v>20</v>
      </c>
      <c r="I837" s="175">
        <v>1</v>
      </c>
      <c r="J837" s="175" t="s">
        <v>18</v>
      </c>
      <c r="K837" s="175" t="s">
        <v>74</v>
      </c>
      <c r="L837" s="172" t="s">
        <v>75</v>
      </c>
    </row>
    <row r="838" spans="1:12" x14ac:dyDescent="0.2">
      <c r="A838" s="172" t="s">
        <v>72</v>
      </c>
      <c r="B838" s="172" t="s">
        <v>73</v>
      </c>
      <c r="C838" s="172" t="s">
        <v>21</v>
      </c>
      <c r="D838" s="172" t="s">
        <v>15</v>
      </c>
      <c r="E838" s="173">
        <v>42647</v>
      </c>
      <c r="F838" s="174">
        <v>1.26</v>
      </c>
      <c r="G838" s="175" t="s">
        <v>16</v>
      </c>
      <c r="H838" s="172" t="s">
        <v>17</v>
      </c>
      <c r="I838" s="175">
        <v>1</v>
      </c>
      <c r="J838" s="175" t="s">
        <v>18</v>
      </c>
      <c r="K838" s="175" t="s">
        <v>74</v>
      </c>
      <c r="L838" s="172" t="s">
        <v>75</v>
      </c>
    </row>
    <row r="839" spans="1:12" x14ac:dyDescent="0.2">
      <c r="A839" s="172" t="s">
        <v>72</v>
      </c>
      <c r="B839" s="172" t="s">
        <v>73</v>
      </c>
      <c r="C839" s="172" t="s">
        <v>21</v>
      </c>
      <c r="D839" s="172" t="s">
        <v>15</v>
      </c>
      <c r="E839" s="173">
        <v>42647</v>
      </c>
      <c r="F839" s="174">
        <v>8.0494344000000009</v>
      </c>
      <c r="G839" s="175" t="s">
        <v>19</v>
      </c>
      <c r="H839" s="172" t="s">
        <v>17</v>
      </c>
      <c r="I839" s="175">
        <v>1</v>
      </c>
      <c r="J839" s="175" t="s">
        <v>18</v>
      </c>
      <c r="K839" s="175" t="s">
        <v>74</v>
      </c>
      <c r="L839" s="172" t="s">
        <v>75</v>
      </c>
    </row>
    <row r="840" spans="1:12" x14ac:dyDescent="0.2">
      <c r="A840" s="172" t="s">
        <v>72</v>
      </c>
      <c r="B840" s="172" t="s">
        <v>73</v>
      </c>
      <c r="C840" s="172" t="s">
        <v>21</v>
      </c>
      <c r="D840" s="172" t="s">
        <v>15</v>
      </c>
      <c r="E840" s="173">
        <v>42647</v>
      </c>
      <c r="F840" s="174">
        <v>0.94899999999999995</v>
      </c>
      <c r="G840" s="175" t="s">
        <v>16</v>
      </c>
      <c r="H840" s="172" t="s">
        <v>20</v>
      </c>
      <c r="I840" s="175">
        <v>1</v>
      </c>
      <c r="J840" s="175" t="s">
        <v>18</v>
      </c>
      <c r="K840" s="175" t="s">
        <v>74</v>
      </c>
      <c r="L840" s="172" t="s">
        <v>75</v>
      </c>
    </row>
    <row r="841" spans="1:12" x14ac:dyDescent="0.2">
      <c r="A841" s="172" t="s">
        <v>72</v>
      </c>
      <c r="B841" s="172" t="s">
        <v>73</v>
      </c>
      <c r="C841" s="172" t="s">
        <v>21</v>
      </c>
      <c r="D841" s="172" t="s">
        <v>15</v>
      </c>
      <c r="E841" s="173">
        <v>42647</v>
      </c>
      <c r="F841" s="174">
        <v>13.629044499999999</v>
      </c>
      <c r="G841" s="175" t="s">
        <v>19</v>
      </c>
      <c r="H841" s="172" t="s">
        <v>20</v>
      </c>
      <c r="I841" s="175">
        <v>1</v>
      </c>
      <c r="J841" s="175" t="s">
        <v>18</v>
      </c>
      <c r="K841" s="175" t="s">
        <v>74</v>
      </c>
      <c r="L841" s="172" t="s">
        <v>75</v>
      </c>
    </row>
    <row r="842" spans="1:12" x14ac:dyDescent="0.2">
      <c r="A842" s="172" t="s">
        <v>72</v>
      </c>
      <c r="B842" s="172" t="s">
        <v>73</v>
      </c>
      <c r="C842" s="172" t="s">
        <v>21</v>
      </c>
      <c r="D842" s="172" t="s">
        <v>15</v>
      </c>
      <c r="E842" s="173">
        <v>42640</v>
      </c>
      <c r="F842" s="174">
        <v>0.89500000000000002</v>
      </c>
      <c r="G842" s="175" t="s">
        <v>16</v>
      </c>
      <c r="H842" s="172" t="s">
        <v>17</v>
      </c>
      <c r="I842" s="175">
        <v>1</v>
      </c>
      <c r="J842" s="175" t="s">
        <v>18</v>
      </c>
      <c r="K842" s="175" t="s">
        <v>74</v>
      </c>
      <c r="L842" s="172" t="s">
        <v>75</v>
      </c>
    </row>
    <row r="843" spans="1:12" x14ac:dyDescent="0.2">
      <c r="A843" s="172" t="s">
        <v>72</v>
      </c>
      <c r="B843" s="172" t="s">
        <v>73</v>
      </c>
      <c r="C843" s="172" t="s">
        <v>21</v>
      </c>
      <c r="D843" s="172" t="s">
        <v>15</v>
      </c>
      <c r="E843" s="173">
        <v>42640</v>
      </c>
      <c r="F843" s="174">
        <v>20.482039199999999</v>
      </c>
      <c r="G843" s="175" t="s">
        <v>19</v>
      </c>
      <c r="H843" s="172" t="s">
        <v>17</v>
      </c>
      <c r="I843" s="175">
        <v>1</v>
      </c>
      <c r="J843" s="175" t="s">
        <v>18</v>
      </c>
      <c r="K843" s="175" t="s">
        <v>74</v>
      </c>
      <c r="L843" s="172" t="s">
        <v>75</v>
      </c>
    </row>
    <row r="844" spans="1:12" x14ac:dyDescent="0.2">
      <c r="A844" s="172" t="s">
        <v>72</v>
      </c>
      <c r="B844" s="172" t="s">
        <v>73</v>
      </c>
      <c r="C844" s="172" t="s">
        <v>21</v>
      </c>
      <c r="D844" s="172" t="s">
        <v>15</v>
      </c>
      <c r="E844" s="173">
        <v>42640</v>
      </c>
      <c r="F844" s="174">
        <v>0.68</v>
      </c>
      <c r="G844" s="175" t="s">
        <v>16</v>
      </c>
      <c r="H844" s="172" t="s">
        <v>20</v>
      </c>
      <c r="I844" s="175">
        <v>1</v>
      </c>
      <c r="J844" s="175" t="s">
        <v>18</v>
      </c>
      <c r="K844" s="175" t="s">
        <v>74</v>
      </c>
      <c r="L844" s="172" t="s">
        <v>75</v>
      </c>
    </row>
    <row r="845" spans="1:12" x14ac:dyDescent="0.2">
      <c r="A845" s="172" t="s">
        <v>72</v>
      </c>
      <c r="B845" s="172" t="s">
        <v>73</v>
      </c>
      <c r="C845" s="172" t="s">
        <v>21</v>
      </c>
      <c r="D845" s="172" t="s">
        <v>15</v>
      </c>
      <c r="E845" s="173">
        <v>42640</v>
      </c>
      <c r="F845" s="174">
        <v>16.452151199999999</v>
      </c>
      <c r="G845" s="175" t="s">
        <v>19</v>
      </c>
      <c r="H845" s="172" t="s">
        <v>20</v>
      </c>
      <c r="I845" s="175">
        <v>1</v>
      </c>
      <c r="J845" s="175" t="s">
        <v>18</v>
      </c>
      <c r="K845" s="175" t="s">
        <v>74</v>
      </c>
      <c r="L845" s="172" t="s">
        <v>75</v>
      </c>
    </row>
    <row r="846" spans="1:12" x14ac:dyDescent="0.2">
      <c r="A846" s="172" t="s">
        <v>72</v>
      </c>
      <c r="B846" s="172" t="s">
        <v>73</v>
      </c>
      <c r="C846" s="172" t="s">
        <v>21</v>
      </c>
      <c r="D846" s="172" t="s">
        <v>15</v>
      </c>
      <c r="E846" s="173">
        <v>42634</v>
      </c>
      <c r="F846" s="174">
        <v>1.1299999999999999</v>
      </c>
      <c r="G846" s="175" t="s">
        <v>16</v>
      </c>
      <c r="H846" s="172" t="s">
        <v>17</v>
      </c>
      <c r="I846" s="175">
        <v>1</v>
      </c>
      <c r="J846" s="175" t="s">
        <v>18</v>
      </c>
      <c r="K846" s="175" t="s">
        <v>74</v>
      </c>
      <c r="L846" s="172" t="s">
        <v>75</v>
      </c>
    </row>
    <row r="847" spans="1:12" x14ac:dyDescent="0.2">
      <c r="A847" s="172" t="s">
        <v>72</v>
      </c>
      <c r="B847" s="172" t="s">
        <v>73</v>
      </c>
      <c r="C847" s="172" t="s">
        <v>21</v>
      </c>
      <c r="D847" s="172" t="s">
        <v>15</v>
      </c>
      <c r="E847" s="173">
        <v>42634</v>
      </c>
      <c r="F847" s="174">
        <v>8.3781137999999995</v>
      </c>
      <c r="G847" s="175" t="s">
        <v>19</v>
      </c>
      <c r="H847" s="172" t="s">
        <v>17</v>
      </c>
      <c r="I847" s="175">
        <v>1</v>
      </c>
      <c r="J847" s="175" t="s">
        <v>18</v>
      </c>
      <c r="K847" s="175" t="s">
        <v>74</v>
      </c>
      <c r="L847" s="172" t="s">
        <v>75</v>
      </c>
    </row>
    <row r="848" spans="1:12" x14ac:dyDescent="0.2">
      <c r="A848" s="172" t="s">
        <v>72</v>
      </c>
      <c r="B848" s="172" t="s">
        <v>73</v>
      </c>
      <c r="C848" s="172" t="s">
        <v>21</v>
      </c>
      <c r="D848" s="172" t="s">
        <v>15</v>
      </c>
      <c r="E848" s="173">
        <v>42634</v>
      </c>
      <c r="F848" s="174">
        <v>1.03</v>
      </c>
      <c r="G848" s="175" t="s">
        <v>16</v>
      </c>
      <c r="H848" s="172" t="s">
        <v>20</v>
      </c>
      <c r="I848" s="175">
        <v>1</v>
      </c>
      <c r="J848" s="175" t="s">
        <v>18</v>
      </c>
      <c r="K848" s="175" t="s">
        <v>74</v>
      </c>
      <c r="L848" s="172" t="s">
        <v>75</v>
      </c>
    </row>
    <row r="849" spans="1:12" x14ac:dyDescent="0.2">
      <c r="A849" s="172" t="s">
        <v>72</v>
      </c>
      <c r="B849" s="172" t="s">
        <v>73</v>
      </c>
      <c r="C849" s="172" t="s">
        <v>21</v>
      </c>
      <c r="D849" s="172" t="s">
        <v>15</v>
      </c>
      <c r="E849" s="173">
        <v>42634</v>
      </c>
      <c r="F849" s="174">
        <v>14.1222888</v>
      </c>
      <c r="G849" s="175" t="s">
        <v>19</v>
      </c>
      <c r="H849" s="172" t="s">
        <v>20</v>
      </c>
      <c r="I849" s="175">
        <v>1</v>
      </c>
      <c r="J849" s="175" t="s">
        <v>18</v>
      </c>
      <c r="K849" s="175" t="s">
        <v>74</v>
      </c>
      <c r="L849" s="172" t="s">
        <v>75</v>
      </c>
    </row>
    <row r="850" spans="1:12" x14ac:dyDescent="0.2">
      <c r="A850" s="172" t="s">
        <v>72</v>
      </c>
      <c r="B850" s="172" t="s">
        <v>73</v>
      </c>
      <c r="C850" s="172" t="s">
        <v>21</v>
      </c>
      <c r="D850" s="172" t="s">
        <v>15</v>
      </c>
      <c r="E850" s="173">
        <v>42626</v>
      </c>
      <c r="F850" s="174">
        <v>1.4</v>
      </c>
      <c r="G850" s="175" t="s">
        <v>16</v>
      </c>
      <c r="H850" s="172" t="s">
        <v>17</v>
      </c>
      <c r="I850" s="175">
        <v>1</v>
      </c>
      <c r="J850" s="175" t="s">
        <v>18</v>
      </c>
      <c r="K850" s="175" t="s">
        <v>74</v>
      </c>
      <c r="L850" s="172" t="s">
        <v>75</v>
      </c>
    </row>
    <row r="851" spans="1:12" x14ac:dyDescent="0.2">
      <c r="A851" s="172" t="s">
        <v>72</v>
      </c>
      <c r="B851" s="172" t="s">
        <v>73</v>
      </c>
      <c r="C851" s="172" t="s">
        <v>21</v>
      </c>
      <c r="D851" s="172" t="s">
        <v>15</v>
      </c>
      <c r="E851" s="173">
        <v>42626</v>
      </c>
      <c r="F851" s="174">
        <v>11.862816</v>
      </c>
      <c r="G851" s="175" t="s">
        <v>19</v>
      </c>
      <c r="H851" s="172" t="s">
        <v>17</v>
      </c>
      <c r="I851" s="175">
        <v>1</v>
      </c>
      <c r="J851" s="175" t="s">
        <v>18</v>
      </c>
      <c r="K851" s="175" t="s">
        <v>74</v>
      </c>
      <c r="L851" s="172" t="s">
        <v>75</v>
      </c>
    </row>
    <row r="852" spans="1:12" x14ac:dyDescent="0.2">
      <c r="A852" s="172" t="s">
        <v>72</v>
      </c>
      <c r="B852" s="172" t="s">
        <v>73</v>
      </c>
      <c r="C852" s="172" t="s">
        <v>21</v>
      </c>
      <c r="D852" s="172" t="s">
        <v>15</v>
      </c>
      <c r="E852" s="173">
        <v>42626</v>
      </c>
      <c r="F852" s="174">
        <v>0.77300000000000002</v>
      </c>
      <c r="G852" s="175" t="s">
        <v>16</v>
      </c>
      <c r="H852" s="172" t="s">
        <v>20</v>
      </c>
      <c r="I852" s="175">
        <v>1</v>
      </c>
      <c r="J852" s="175" t="s">
        <v>18</v>
      </c>
      <c r="K852" s="175" t="s">
        <v>74</v>
      </c>
      <c r="L852" s="172" t="s">
        <v>75</v>
      </c>
    </row>
    <row r="853" spans="1:12" x14ac:dyDescent="0.2">
      <c r="A853" s="172" t="s">
        <v>72</v>
      </c>
      <c r="B853" s="172" t="s">
        <v>73</v>
      </c>
      <c r="C853" s="172" t="s">
        <v>21</v>
      </c>
      <c r="D853" s="172" t="s">
        <v>15</v>
      </c>
      <c r="E853" s="173">
        <v>42626</v>
      </c>
      <c r="F853" s="174">
        <v>7.4847580000000002</v>
      </c>
      <c r="G853" s="175" t="s">
        <v>19</v>
      </c>
      <c r="H853" s="172" t="s">
        <v>20</v>
      </c>
      <c r="I853" s="175">
        <v>1</v>
      </c>
      <c r="J853" s="175" t="s">
        <v>18</v>
      </c>
      <c r="K853" s="175" t="s">
        <v>74</v>
      </c>
      <c r="L853" s="172" t="s">
        <v>75</v>
      </c>
    </row>
    <row r="854" spans="1:12" x14ac:dyDescent="0.2">
      <c r="A854" s="172" t="s">
        <v>72</v>
      </c>
      <c r="B854" s="172" t="s">
        <v>73</v>
      </c>
      <c r="C854" s="172" t="s">
        <v>21</v>
      </c>
      <c r="D854" s="172" t="s">
        <v>15</v>
      </c>
      <c r="E854" s="173">
        <v>42619</v>
      </c>
      <c r="F854" s="174">
        <v>2.3199999999999998</v>
      </c>
      <c r="G854" s="175" t="s">
        <v>16</v>
      </c>
      <c r="H854" s="172" t="s">
        <v>17</v>
      </c>
      <c r="I854" s="175">
        <v>1</v>
      </c>
      <c r="J854" s="175" t="s">
        <v>18</v>
      </c>
      <c r="K854" s="175" t="s">
        <v>74</v>
      </c>
      <c r="L854" s="172" t="s">
        <v>75</v>
      </c>
    </row>
    <row r="855" spans="1:12" x14ac:dyDescent="0.2">
      <c r="A855" s="172" t="s">
        <v>72</v>
      </c>
      <c r="B855" s="172" t="s">
        <v>73</v>
      </c>
      <c r="C855" s="172" t="s">
        <v>21</v>
      </c>
      <c r="D855" s="172" t="s">
        <v>15</v>
      </c>
      <c r="E855" s="173">
        <v>42619</v>
      </c>
      <c r="F855" s="174">
        <v>12.0156048</v>
      </c>
      <c r="G855" s="175" t="s">
        <v>19</v>
      </c>
      <c r="H855" s="172" t="s">
        <v>17</v>
      </c>
      <c r="I855" s="175">
        <v>1</v>
      </c>
      <c r="J855" s="175" t="s">
        <v>18</v>
      </c>
      <c r="K855" s="175" t="s">
        <v>74</v>
      </c>
      <c r="L855" s="172" t="s">
        <v>75</v>
      </c>
    </row>
    <row r="856" spans="1:12" x14ac:dyDescent="0.2">
      <c r="A856" s="172" t="s">
        <v>72</v>
      </c>
      <c r="B856" s="172" t="s">
        <v>73</v>
      </c>
      <c r="C856" s="172" t="s">
        <v>21</v>
      </c>
      <c r="D856" s="172" t="s">
        <v>15</v>
      </c>
      <c r="E856" s="173">
        <v>42619</v>
      </c>
      <c r="F856" s="174">
        <v>1.44</v>
      </c>
      <c r="G856" s="175" t="s">
        <v>16</v>
      </c>
      <c r="H856" s="172" t="s">
        <v>20</v>
      </c>
      <c r="I856" s="175">
        <v>1</v>
      </c>
      <c r="J856" s="175" t="s">
        <v>18</v>
      </c>
      <c r="K856" s="175" t="s">
        <v>74</v>
      </c>
      <c r="L856" s="172" t="s">
        <v>75</v>
      </c>
    </row>
    <row r="857" spans="1:12" x14ac:dyDescent="0.2">
      <c r="A857" s="172" t="s">
        <v>72</v>
      </c>
      <c r="B857" s="172" t="s">
        <v>73</v>
      </c>
      <c r="C857" s="172" t="s">
        <v>21</v>
      </c>
      <c r="D857" s="172" t="s">
        <v>15</v>
      </c>
      <c r="E857" s="173">
        <v>42619</v>
      </c>
      <c r="F857" s="174">
        <v>9.1152864000000005</v>
      </c>
      <c r="G857" s="175" t="s">
        <v>19</v>
      </c>
      <c r="H857" s="172" t="s">
        <v>20</v>
      </c>
      <c r="I857" s="175">
        <v>1</v>
      </c>
      <c r="J857" s="175" t="s">
        <v>18</v>
      </c>
      <c r="K857" s="175" t="s">
        <v>74</v>
      </c>
      <c r="L857" s="172" t="s">
        <v>75</v>
      </c>
    </row>
    <row r="858" spans="1:12" x14ac:dyDescent="0.2">
      <c r="A858" s="172" t="s">
        <v>72</v>
      </c>
      <c r="B858" s="172" t="s">
        <v>73</v>
      </c>
      <c r="C858" s="172" t="s">
        <v>21</v>
      </c>
      <c r="D858" s="172" t="s">
        <v>15</v>
      </c>
      <c r="E858" s="173">
        <v>42612</v>
      </c>
      <c r="F858" s="174">
        <v>2.11</v>
      </c>
      <c r="G858" s="175" t="s">
        <v>16</v>
      </c>
      <c r="H858" s="172" t="s">
        <v>17</v>
      </c>
      <c r="I858" s="175">
        <v>1</v>
      </c>
      <c r="J858" s="175" t="s">
        <v>18</v>
      </c>
      <c r="K858" s="175" t="s">
        <v>74</v>
      </c>
      <c r="L858" s="172" t="s">
        <v>75</v>
      </c>
    </row>
    <row r="859" spans="1:12" x14ac:dyDescent="0.2">
      <c r="A859" s="172" t="s">
        <v>72</v>
      </c>
      <c r="B859" s="172" t="s">
        <v>73</v>
      </c>
      <c r="C859" s="172" t="s">
        <v>21</v>
      </c>
      <c r="D859" s="172" t="s">
        <v>15</v>
      </c>
      <c r="E859" s="173">
        <v>42612</v>
      </c>
      <c r="F859" s="174">
        <v>13.110063</v>
      </c>
      <c r="G859" s="175" t="s">
        <v>19</v>
      </c>
      <c r="H859" s="172" t="s">
        <v>17</v>
      </c>
      <c r="I859" s="175">
        <v>1</v>
      </c>
      <c r="J859" s="175" t="s">
        <v>18</v>
      </c>
      <c r="K859" s="175" t="s">
        <v>74</v>
      </c>
      <c r="L859" s="172" t="s">
        <v>75</v>
      </c>
    </row>
    <row r="860" spans="1:12" x14ac:dyDescent="0.2">
      <c r="A860" s="172" t="s">
        <v>72</v>
      </c>
      <c r="B860" s="172" t="s">
        <v>73</v>
      </c>
      <c r="C860" s="172" t="s">
        <v>21</v>
      </c>
      <c r="D860" s="172" t="s">
        <v>15</v>
      </c>
      <c r="E860" s="173">
        <v>42612</v>
      </c>
      <c r="F860" s="174">
        <v>1.26</v>
      </c>
      <c r="G860" s="175" t="s">
        <v>16</v>
      </c>
      <c r="H860" s="172" t="s">
        <v>20</v>
      </c>
      <c r="I860" s="175">
        <v>1</v>
      </c>
      <c r="J860" s="175" t="s">
        <v>18</v>
      </c>
      <c r="K860" s="175" t="s">
        <v>74</v>
      </c>
      <c r="L860" s="172" t="s">
        <v>75</v>
      </c>
    </row>
    <row r="861" spans="1:12" x14ac:dyDescent="0.2">
      <c r="A861" s="172" t="s">
        <v>72</v>
      </c>
      <c r="B861" s="172" t="s">
        <v>73</v>
      </c>
      <c r="C861" s="172" t="s">
        <v>21</v>
      </c>
      <c r="D861" s="172" t="s">
        <v>15</v>
      </c>
      <c r="E861" s="173">
        <v>42612</v>
      </c>
      <c r="F861" s="174">
        <v>9.2789172000000004</v>
      </c>
      <c r="G861" s="175" t="s">
        <v>19</v>
      </c>
      <c r="H861" s="172" t="s">
        <v>20</v>
      </c>
      <c r="I861" s="175">
        <v>1</v>
      </c>
      <c r="J861" s="175" t="s">
        <v>18</v>
      </c>
      <c r="K861" s="175" t="s">
        <v>74</v>
      </c>
      <c r="L861" s="172" t="s">
        <v>75</v>
      </c>
    </row>
    <row r="862" spans="1:12" x14ac:dyDescent="0.2">
      <c r="A862" s="172" t="s">
        <v>72</v>
      </c>
      <c r="B862" s="172" t="s">
        <v>73</v>
      </c>
      <c r="C862" s="172" t="s">
        <v>21</v>
      </c>
      <c r="D862" s="172" t="s">
        <v>15</v>
      </c>
      <c r="E862" s="173">
        <v>42605</v>
      </c>
      <c r="F862" s="174">
        <v>1.0900000000000001</v>
      </c>
      <c r="G862" s="175" t="s">
        <v>16</v>
      </c>
      <c r="H862" s="172" t="s">
        <v>17</v>
      </c>
      <c r="I862" s="175">
        <v>1</v>
      </c>
      <c r="J862" s="175" t="s">
        <v>18</v>
      </c>
      <c r="K862" s="175" t="s">
        <v>74</v>
      </c>
      <c r="L862" s="172" t="s">
        <v>75</v>
      </c>
    </row>
    <row r="863" spans="1:12" x14ac:dyDescent="0.2">
      <c r="A863" s="172" t="s">
        <v>72</v>
      </c>
      <c r="B863" s="172" t="s">
        <v>73</v>
      </c>
      <c r="C863" s="172" t="s">
        <v>21</v>
      </c>
      <c r="D863" s="172" t="s">
        <v>15</v>
      </c>
      <c r="E863" s="173">
        <v>42605</v>
      </c>
      <c r="F863" s="174">
        <v>11.199619200000001</v>
      </c>
      <c r="G863" s="175" t="s">
        <v>19</v>
      </c>
      <c r="H863" s="172" t="s">
        <v>17</v>
      </c>
      <c r="I863" s="175">
        <v>1</v>
      </c>
      <c r="J863" s="175" t="s">
        <v>18</v>
      </c>
      <c r="K863" s="175" t="s">
        <v>74</v>
      </c>
      <c r="L863" s="172" t="s">
        <v>75</v>
      </c>
    </row>
    <row r="864" spans="1:12" x14ac:dyDescent="0.2">
      <c r="A864" s="172" t="s">
        <v>72</v>
      </c>
      <c r="B864" s="172" t="s">
        <v>73</v>
      </c>
      <c r="C864" s="172" t="s">
        <v>21</v>
      </c>
      <c r="D864" s="172" t="s">
        <v>15</v>
      </c>
      <c r="E864" s="173">
        <v>42605</v>
      </c>
      <c r="F864" s="174">
        <v>0.2</v>
      </c>
      <c r="G864" s="175" t="s">
        <v>16</v>
      </c>
      <c r="H864" s="172" t="s">
        <v>20</v>
      </c>
      <c r="I864" s="175">
        <v>1</v>
      </c>
      <c r="J864" s="175" t="s">
        <v>18</v>
      </c>
      <c r="K864" s="175" t="s">
        <v>74</v>
      </c>
      <c r="L864" s="172" t="s">
        <v>75</v>
      </c>
    </row>
    <row r="865" spans="1:12" x14ac:dyDescent="0.2">
      <c r="A865" s="172" t="s">
        <v>72</v>
      </c>
      <c r="B865" s="172" t="s">
        <v>73</v>
      </c>
      <c r="C865" s="172" t="s">
        <v>21</v>
      </c>
      <c r="D865" s="172" t="s">
        <v>15</v>
      </c>
      <c r="E865" s="173">
        <v>42605</v>
      </c>
      <c r="F865" s="174">
        <v>2.2434599999999998</v>
      </c>
      <c r="G865" s="175" t="s">
        <v>19</v>
      </c>
      <c r="H865" s="172" t="s">
        <v>20</v>
      </c>
      <c r="I865" s="175">
        <v>1</v>
      </c>
      <c r="J865" s="175" t="s">
        <v>18</v>
      </c>
      <c r="K865" s="175" t="s">
        <v>74</v>
      </c>
      <c r="L865" s="172" t="s">
        <v>75</v>
      </c>
    </row>
    <row r="866" spans="1:12" x14ac:dyDescent="0.2">
      <c r="A866" s="172" t="s">
        <v>72</v>
      </c>
      <c r="B866" s="172" t="s">
        <v>73</v>
      </c>
      <c r="C866" s="172" t="s">
        <v>21</v>
      </c>
      <c r="D866" s="172" t="s">
        <v>15</v>
      </c>
      <c r="E866" s="173">
        <v>42598</v>
      </c>
      <c r="F866" s="174">
        <v>1.7</v>
      </c>
      <c r="G866" s="175" t="s">
        <v>16</v>
      </c>
      <c r="H866" s="172" t="s">
        <v>17</v>
      </c>
      <c r="I866" s="175">
        <v>1</v>
      </c>
      <c r="J866" s="175" t="s">
        <v>18</v>
      </c>
      <c r="K866" s="175" t="s">
        <v>74</v>
      </c>
      <c r="L866" s="172" t="s">
        <v>75</v>
      </c>
    </row>
    <row r="867" spans="1:12" x14ac:dyDescent="0.2">
      <c r="A867" s="172" t="s">
        <v>72</v>
      </c>
      <c r="B867" s="172" t="s">
        <v>73</v>
      </c>
      <c r="C867" s="172" t="s">
        <v>21</v>
      </c>
      <c r="D867" s="172" t="s">
        <v>15</v>
      </c>
      <c r="E867" s="173">
        <v>42598</v>
      </c>
      <c r="F867" s="174">
        <v>10.888704000000001</v>
      </c>
      <c r="G867" s="175" t="s">
        <v>19</v>
      </c>
      <c r="H867" s="172" t="s">
        <v>17</v>
      </c>
      <c r="I867" s="175">
        <v>1</v>
      </c>
      <c r="J867" s="175" t="s">
        <v>18</v>
      </c>
      <c r="K867" s="175" t="s">
        <v>74</v>
      </c>
      <c r="L867" s="172" t="s">
        <v>75</v>
      </c>
    </row>
    <row r="868" spans="1:12" x14ac:dyDescent="0.2">
      <c r="A868" s="172" t="s">
        <v>72</v>
      </c>
      <c r="B868" s="172" t="s">
        <v>73</v>
      </c>
      <c r="C868" s="172" t="s">
        <v>21</v>
      </c>
      <c r="D868" s="172" t="s">
        <v>15</v>
      </c>
      <c r="E868" s="173">
        <v>42598</v>
      </c>
      <c r="F868" s="174">
        <v>1.07</v>
      </c>
      <c r="G868" s="175" t="s">
        <v>16</v>
      </c>
      <c r="H868" s="172" t="s">
        <v>20</v>
      </c>
      <c r="I868" s="175">
        <v>1</v>
      </c>
      <c r="J868" s="175" t="s">
        <v>18</v>
      </c>
      <c r="K868" s="175" t="s">
        <v>74</v>
      </c>
      <c r="L868" s="172" t="s">
        <v>75</v>
      </c>
    </row>
    <row r="869" spans="1:12" x14ac:dyDescent="0.2">
      <c r="A869" s="172" t="s">
        <v>72</v>
      </c>
      <c r="B869" s="172" t="s">
        <v>73</v>
      </c>
      <c r="C869" s="172" t="s">
        <v>21</v>
      </c>
      <c r="D869" s="172" t="s">
        <v>15</v>
      </c>
      <c r="E869" s="173">
        <v>42598</v>
      </c>
      <c r="F869" s="174">
        <v>8.1028103999999992</v>
      </c>
      <c r="G869" s="175" t="s">
        <v>19</v>
      </c>
      <c r="H869" s="172" t="s">
        <v>20</v>
      </c>
      <c r="I869" s="175">
        <v>1</v>
      </c>
      <c r="J869" s="175" t="s">
        <v>18</v>
      </c>
      <c r="K869" s="175" t="s">
        <v>74</v>
      </c>
      <c r="L869" s="172" t="s">
        <v>75</v>
      </c>
    </row>
    <row r="870" spans="1:12" x14ac:dyDescent="0.2">
      <c r="A870" s="172" t="s">
        <v>72</v>
      </c>
      <c r="B870" s="172" t="s">
        <v>73</v>
      </c>
      <c r="C870" s="172" t="s">
        <v>21</v>
      </c>
      <c r="D870" s="172" t="s">
        <v>15</v>
      </c>
      <c r="E870" s="173">
        <v>42591</v>
      </c>
      <c r="F870" s="174">
        <v>2.7</v>
      </c>
      <c r="G870" s="175" t="s">
        <v>16</v>
      </c>
      <c r="H870" s="172" t="s">
        <v>17</v>
      </c>
      <c r="I870" s="175">
        <v>1</v>
      </c>
      <c r="J870" s="175" t="s">
        <v>18</v>
      </c>
      <c r="K870" s="175" t="s">
        <v>74</v>
      </c>
      <c r="L870" s="172" t="s">
        <v>75</v>
      </c>
    </row>
    <row r="871" spans="1:12" x14ac:dyDescent="0.2">
      <c r="A871" s="172" t="s">
        <v>72</v>
      </c>
      <c r="B871" s="172" t="s">
        <v>73</v>
      </c>
      <c r="C871" s="172" t="s">
        <v>21</v>
      </c>
      <c r="D871" s="172" t="s">
        <v>15</v>
      </c>
      <c r="E871" s="173">
        <v>42591</v>
      </c>
      <c r="F871" s="174">
        <v>10.425834</v>
      </c>
      <c r="G871" s="175" t="s">
        <v>19</v>
      </c>
      <c r="H871" s="172" t="s">
        <v>17</v>
      </c>
      <c r="I871" s="175">
        <v>1</v>
      </c>
      <c r="J871" s="175" t="s">
        <v>18</v>
      </c>
      <c r="K871" s="175" t="s">
        <v>74</v>
      </c>
      <c r="L871" s="172" t="s">
        <v>75</v>
      </c>
    </row>
    <row r="872" spans="1:12" x14ac:dyDescent="0.2">
      <c r="A872" s="172" t="s">
        <v>72</v>
      </c>
      <c r="B872" s="172" t="s">
        <v>73</v>
      </c>
      <c r="C872" s="172" t="s">
        <v>21</v>
      </c>
      <c r="D872" s="172" t="s">
        <v>15</v>
      </c>
      <c r="E872" s="173">
        <v>42591</v>
      </c>
      <c r="F872" s="174">
        <v>1.6</v>
      </c>
      <c r="G872" s="175" t="s">
        <v>16</v>
      </c>
      <c r="H872" s="172" t="s">
        <v>20</v>
      </c>
      <c r="I872" s="175">
        <v>1</v>
      </c>
      <c r="J872" s="175" t="s">
        <v>18</v>
      </c>
      <c r="K872" s="175" t="s">
        <v>74</v>
      </c>
      <c r="L872" s="172" t="s">
        <v>75</v>
      </c>
    </row>
    <row r="873" spans="1:12" x14ac:dyDescent="0.2">
      <c r="A873" s="172" t="s">
        <v>72</v>
      </c>
      <c r="B873" s="172" t="s">
        <v>73</v>
      </c>
      <c r="C873" s="172" t="s">
        <v>21</v>
      </c>
      <c r="D873" s="172" t="s">
        <v>15</v>
      </c>
      <c r="E873" s="173">
        <v>42591</v>
      </c>
      <c r="F873" s="174">
        <v>7.9530240000000001</v>
      </c>
      <c r="G873" s="175" t="s">
        <v>19</v>
      </c>
      <c r="H873" s="172" t="s">
        <v>20</v>
      </c>
      <c r="I873" s="175">
        <v>1</v>
      </c>
      <c r="J873" s="175" t="s">
        <v>18</v>
      </c>
      <c r="K873" s="175" t="s">
        <v>74</v>
      </c>
      <c r="L873" s="172" t="s">
        <v>75</v>
      </c>
    </row>
    <row r="874" spans="1:12" x14ac:dyDescent="0.2">
      <c r="A874" s="172" t="s">
        <v>72</v>
      </c>
      <c r="B874" s="172" t="s">
        <v>73</v>
      </c>
      <c r="C874" s="172" t="s">
        <v>21</v>
      </c>
      <c r="D874" s="172" t="s">
        <v>15</v>
      </c>
      <c r="E874" s="173">
        <v>42584</v>
      </c>
      <c r="F874" s="174">
        <v>2.8</v>
      </c>
      <c r="G874" s="175" t="s">
        <v>16</v>
      </c>
      <c r="H874" s="172" t="s">
        <v>17</v>
      </c>
      <c r="I874" s="175">
        <v>1</v>
      </c>
      <c r="J874" s="175" t="s">
        <v>18</v>
      </c>
      <c r="K874" s="175" t="s">
        <v>74</v>
      </c>
      <c r="L874" s="172" t="s">
        <v>75</v>
      </c>
    </row>
    <row r="875" spans="1:12" x14ac:dyDescent="0.2">
      <c r="A875" s="172" t="s">
        <v>72</v>
      </c>
      <c r="B875" s="172" t="s">
        <v>73</v>
      </c>
      <c r="C875" s="172" t="s">
        <v>21</v>
      </c>
      <c r="D875" s="172" t="s">
        <v>15</v>
      </c>
      <c r="E875" s="173">
        <v>42584</v>
      </c>
      <c r="F875" s="174">
        <v>12.166392</v>
      </c>
      <c r="G875" s="175" t="s">
        <v>19</v>
      </c>
      <c r="H875" s="172" t="s">
        <v>17</v>
      </c>
      <c r="I875" s="175">
        <v>1</v>
      </c>
      <c r="J875" s="175" t="s">
        <v>18</v>
      </c>
      <c r="K875" s="175" t="s">
        <v>74</v>
      </c>
      <c r="L875" s="172" t="s">
        <v>75</v>
      </c>
    </row>
    <row r="876" spans="1:12" x14ac:dyDescent="0.2">
      <c r="A876" s="172" t="s">
        <v>72</v>
      </c>
      <c r="B876" s="172" t="s">
        <v>73</v>
      </c>
      <c r="C876" s="172" t="s">
        <v>21</v>
      </c>
      <c r="D876" s="172" t="s">
        <v>15</v>
      </c>
      <c r="E876" s="173">
        <v>42584</v>
      </c>
      <c r="F876" s="174">
        <v>1.3</v>
      </c>
      <c r="G876" s="175" t="s">
        <v>16</v>
      </c>
      <c r="H876" s="172" t="s">
        <v>20</v>
      </c>
      <c r="I876" s="175">
        <v>1</v>
      </c>
      <c r="J876" s="175" t="s">
        <v>18</v>
      </c>
      <c r="K876" s="175" t="s">
        <v>74</v>
      </c>
      <c r="L876" s="172" t="s">
        <v>75</v>
      </c>
    </row>
    <row r="877" spans="1:12" x14ac:dyDescent="0.2">
      <c r="A877" s="172" t="s">
        <v>72</v>
      </c>
      <c r="B877" s="172" t="s">
        <v>73</v>
      </c>
      <c r="C877" s="172" t="s">
        <v>21</v>
      </c>
      <c r="D877" s="172" t="s">
        <v>15</v>
      </c>
      <c r="E877" s="173">
        <v>42584</v>
      </c>
      <c r="F877" s="174">
        <v>7.7628719999999998</v>
      </c>
      <c r="G877" s="175" t="s">
        <v>19</v>
      </c>
      <c r="H877" s="172" t="s">
        <v>20</v>
      </c>
      <c r="I877" s="175">
        <v>1</v>
      </c>
      <c r="J877" s="175" t="s">
        <v>18</v>
      </c>
      <c r="K877" s="175" t="s">
        <v>74</v>
      </c>
      <c r="L877" s="172" t="s">
        <v>75</v>
      </c>
    </row>
    <row r="878" spans="1:12" x14ac:dyDescent="0.2">
      <c r="A878" s="172" t="s">
        <v>72</v>
      </c>
      <c r="B878" s="172" t="s">
        <v>73</v>
      </c>
      <c r="C878" s="172" t="s">
        <v>21</v>
      </c>
      <c r="D878" s="172" t="s">
        <v>15</v>
      </c>
      <c r="E878" s="173">
        <v>42577</v>
      </c>
      <c r="F878" s="174">
        <v>2.33</v>
      </c>
      <c r="G878" s="175" t="s">
        <v>16</v>
      </c>
      <c r="H878" s="172" t="s">
        <v>17</v>
      </c>
      <c r="I878" s="175">
        <v>1</v>
      </c>
      <c r="J878" s="175" t="s">
        <v>18</v>
      </c>
      <c r="K878" s="175" t="s">
        <v>74</v>
      </c>
      <c r="L878" s="172" t="s">
        <v>75</v>
      </c>
    </row>
    <row r="879" spans="1:12" x14ac:dyDescent="0.2">
      <c r="A879" s="172" t="s">
        <v>72</v>
      </c>
      <c r="B879" s="172" t="s">
        <v>73</v>
      </c>
      <c r="C879" s="172" t="s">
        <v>21</v>
      </c>
      <c r="D879" s="172" t="s">
        <v>15</v>
      </c>
      <c r="E879" s="173">
        <v>42577</v>
      </c>
      <c r="F879" s="174">
        <v>12.786387599999999</v>
      </c>
      <c r="G879" s="175" t="s">
        <v>19</v>
      </c>
      <c r="H879" s="172" t="s">
        <v>17</v>
      </c>
      <c r="I879" s="175">
        <v>1</v>
      </c>
      <c r="J879" s="175" t="s">
        <v>18</v>
      </c>
      <c r="K879" s="175" t="s">
        <v>74</v>
      </c>
      <c r="L879" s="172" t="s">
        <v>75</v>
      </c>
    </row>
    <row r="880" spans="1:12" x14ac:dyDescent="0.2">
      <c r="A880" s="172" t="s">
        <v>72</v>
      </c>
      <c r="B880" s="172" t="s">
        <v>73</v>
      </c>
      <c r="C880" s="172" t="s">
        <v>21</v>
      </c>
      <c r="D880" s="172" t="s">
        <v>15</v>
      </c>
      <c r="E880" s="173">
        <v>42577</v>
      </c>
      <c r="F880" s="174">
        <v>1.46</v>
      </c>
      <c r="G880" s="175" t="s">
        <v>16</v>
      </c>
      <c r="H880" s="172" t="s">
        <v>20</v>
      </c>
      <c r="I880" s="175">
        <v>1</v>
      </c>
      <c r="J880" s="175" t="s">
        <v>18</v>
      </c>
      <c r="K880" s="175" t="s">
        <v>74</v>
      </c>
      <c r="L880" s="172" t="s">
        <v>75</v>
      </c>
    </row>
    <row r="881" spans="1:12" x14ac:dyDescent="0.2">
      <c r="A881" s="172" t="s">
        <v>72</v>
      </c>
      <c r="B881" s="172" t="s">
        <v>73</v>
      </c>
      <c r="C881" s="172" t="s">
        <v>21</v>
      </c>
      <c r="D881" s="172" t="s">
        <v>15</v>
      </c>
      <c r="E881" s="173">
        <v>42577</v>
      </c>
      <c r="F881" s="174">
        <v>9.6437088000000006</v>
      </c>
      <c r="G881" s="175" t="s">
        <v>19</v>
      </c>
      <c r="H881" s="172" t="s">
        <v>20</v>
      </c>
      <c r="I881" s="175">
        <v>1</v>
      </c>
      <c r="J881" s="175" t="s">
        <v>18</v>
      </c>
      <c r="K881" s="175" t="s">
        <v>74</v>
      </c>
      <c r="L881" s="172" t="s">
        <v>75</v>
      </c>
    </row>
    <row r="882" spans="1:12" x14ac:dyDescent="0.2">
      <c r="A882" s="172" t="s">
        <v>72</v>
      </c>
      <c r="B882" s="172" t="s">
        <v>73</v>
      </c>
      <c r="C882" s="172" t="s">
        <v>21</v>
      </c>
      <c r="D882" s="172" t="s">
        <v>15</v>
      </c>
      <c r="E882" s="173">
        <v>42570</v>
      </c>
      <c r="F882" s="174">
        <v>1.1599999999999999</v>
      </c>
      <c r="G882" s="175" t="s">
        <v>16</v>
      </c>
      <c r="H882" s="172" t="s">
        <v>17</v>
      </c>
      <c r="I882" s="175">
        <v>1</v>
      </c>
      <c r="J882" s="175" t="s">
        <v>18</v>
      </c>
      <c r="K882" s="175" t="s">
        <v>74</v>
      </c>
      <c r="L882" s="172" t="s">
        <v>75</v>
      </c>
    </row>
    <row r="883" spans="1:12" x14ac:dyDescent="0.2">
      <c r="A883" s="172" t="s">
        <v>72</v>
      </c>
      <c r="B883" s="172" t="s">
        <v>73</v>
      </c>
      <c r="C883" s="172" t="s">
        <v>21</v>
      </c>
      <c r="D883" s="172" t="s">
        <v>15</v>
      </c>
      <c r="E883" s="173">
        <v>42570</v>
      </c>
      <c r="F883" s="174">
        <v>5.6885472000000004</v>
      </c>
      <c r="G883" s="175" t="s">
        <v>19</v>
      </c>
      <c r="H883" s="172" t="s">
        <v>17</v>
      </c>
      <c r="I883" s="175">
        <v>1</v>
      </c>
      <c r="J883" s="175" t="s">
        <v>18</v>
      </c>
      <c r="K883" s="175" t="s">
        <v>74</v>
      </c>
      <c r="L883" s="172" t="s">
        <v>75</v>
      </c>
    </row>
    <row r="884" spans="1:12" x14ac:dyDescent="0.2">
      <c r="A884" s="172" t="s">
        <v>72</v>
      </c>
      <c r="B884" s="172" t="s">
        <v>73</v>
      </c>
      <c r="C884" s="172" t="s">
        <v>21</v>
      </c>
      <c r="D884" s="172" t="s">
        <v>15</v>
      </c>
      <c r="E884" s="173">
        <v>42570</v>
      </c>
      <c r="F884" s="174">
        <v>0.97199999999999998</v>
      </c>
      <c r="G884" s="175" t="s">
        <v>16</v>
      </c>
      <c r="H884" s="172" t="s">
        <v>20</v>
      </c>
      <c r="I884" s="175">
        <v>1</v>
      </c>
      <c r="J884" s="175" t="s">
        <v>18</v>
      </c>
      <c r="K884" s="175" t="s">
        <v>74</v>
      </c>
      <c r="L884" s="172" t="s">
        <v>75</v>
      </c>
    </row>
    <row r="885" spans="1:12" x14ac:dyDescent="0.2">
      <c r="A885" s="172" t="s">
        <v>72</v>
      </c>
      <c r="B885" s="172" t="s">
        <v>73</v>
      </c>
      <c r="C885" s="172" t="s">
        <v>21</v>
      </c>
      <c r="D885" s="172" t="s">
        <v>15</v>
      </c>
      <c r="E885" s="173">
        <v>42570</v>
      </c>
      <c r="F885" s="174">
        <v>5.8771979999999999</v>
      </c>
      <c r="G885" s="175" t="s">
        <v>19</v>
      </c>
      <c r="H885" s="172" t="s">
        <v>20</v>
      </c>
      <c r="I885" s="175">
        <v>1</v>
      </c>
      <c r="J885" s="175" t="s">
        <v>18</v>
      </c>
      <c r="K885" s="175" t="s">
        <v>74</v>
      </c>
      <c r="L885" s="172" t="s">
        <v>75</v>
      </c>
    </row>
    <row r="886" spans="1:12" x14ac:dyDescent="0.2">
      <c r="A886" s="172" t="s">
        <v>72</v>
      </c>
      <c r="B886" s="172" t="s">
        <v>73</v>
      </c>
      <c r="C886" s="172" t="s">
        <v>21</v>
      </c>
      <c r="D886" s="172" t="s">
        <v>15</v>
      </c>
      <c r="E886" s="173">
        <v>42563</v>
      </c>
      <c r="F886" s="174">
        <v>2.2599999999999998</v>
      </c>
      <c r="G886" s="175" t="s">
        <v>16</v>
      </c>
      <c r="H886" s="172" t="s">
        <v>17</v>
      </c>
      <c r="I886" s="175">
        <v>1</v>
      </c>
      <c r="J886" s="175" t="s">
        <v>18</v>
      </c>
      <c r="K886" s="175" t="s">
        <v>74</v>
      </c>
      <c r="L886" s="172" t="s">
        <v>75</v>
      </c>
    </row>
    <row r="887" spans="1:12" x14ac:dyDescent="0.2">
      <c r="A887" s="172" t="s">
        <v>72</v>
      </c>
      <c r="B887" s="172" t="s">
        <v>73</v>
      </c>
      <c r="C887" s="172" t="s">
        <v>21</v>
      </c>
      <c r="D887" s="172" t="s">
        <v>15</v>
      </c>
      <c r="E887" s="173">
        <v>42563</v>
      </c>
      <c r="F887" s="174">
        <v>12.194914799999999</v>
      </c>
      <c r="G887" s="175" t="s">
        <v>19</v>
      </c>
      <c r="H887" s="172" t="s">
        <v>17</v>
      </c>
      <c r="I887" s="175">
        <v>1</v>
      </c>
      <c r="J887" s="175" t="s">
        <v>18</v>
      </c>
      <c r="K887" s="175" t="s">
        <v>74</v>
      </c>
      <c r="L887" s="172" t="s">
        <v>75</v>
      </c>
    </row>
    <row r="888" spans="1:12" x14ac:dyDescent="0.2">
      <c r="A888" s="172" t="s">
        <v>72</v>
      </c>
      <c r="B888" s="172" t="s">
        <v>73</v>
      </c>
      <c r="C888" s="172" t="s">
        <v>21</v>
      </c>
      <c r="D888" s="172" t="s">
        <v>15</v>
      </c>
      <c r="E888" s="173">
        <v>42563</v>
      </c>
      <c r="F888" s="174">
        <v>1.49</v>
      </c>
      <c r="G888" s="175" t="s">
        <v>16</v>
      </c>
      <c r="H888" s="172" t="s">
        <v>20</v>
      </c>
      <c r="I888" s="175">
        <v>1</v>
      </c>
      <c r="J888" s="175" t="s">
        <v>18</v>
      </c>
      <c r="K888" s="175" t="s">
        <v>74</v>
      </c>
      <c r="L888" s="172" t="s">
        <v>75</v>
      </c>
    </row>
    <row r="889" spans="1:12" x14ac:dyDescent="0.2">
      <c r="A889" s="172" t="s">
        <v>72</v>
      </c>
      <c r="B889" s="172" t="s">
        <v>73</v>
      </c>
      <c r="C889" s="172" t="s">
        <v>21</v>
      </c>
      <c r="D889" s="172" t="s">
        <v>15</v>
      </c>
      <c r="E889" s="173">
        <v>42563</v>
      </c>
      <c r="F889" s="174">
        <v>9.5063490000000002</v>
      </c>
      <c r="G889" s="175" t="s">
        <v>19</v>
      </c>
      <c r="H889" s="172" t="s">
        <v>20</v>
      </c>
      <c r="I889" s="175">
        <v>1</v>
      </c>
      <c r="J889" s="175" t="s">
        <v>18</v>
      </c>
      <c r="K889" s="175" t="s">
        <v>74</v>
      </c>
      <c r="L889" s="172" t="s">
        <v>75</v>
      </c>
    </row>
    <row r="890" spans="1:12" x14ac:dyDescent="0.2">
      <c r="A890" s="172" t="s">
        <v>72</v>
      </c>
      <c r="B890" s="172" t="s">
        <v>73</v>
      </c>
      <c r="C890" s="172" t="s">
        <v>21</v>
      </c>
      <c r="D890" s="172" t="s">
        <v>15</v>
      </c>
      <c r="E890" s="173">
        <v>42556</v>
      </c>
      <c r="F890" s="174">
        <v>2.42</v>
      </c>
      <c r="G890" s="175" t="s">
        <v>16</v>
      </c>
      <c r="H890" s="172" t="s">
        <v>17</v>
      </c>
      <c r="I890" s="175">
        <v>1</v>
      </c>
      <c r="J890" s="175" t="s">
        <v>18</v>
      </c>
      <c r="K890" s="175" t="s">
        <v>74</v>
      </c>
      <c r="L890" s="172" t="s">
        <v>75</v>
      </c>
    </row>
    <row r="891" spans="1:12" x14ac:dyDescent="0.2">
      <c r="A891" s="172" t="s">
        <v>72</v>
      </c>
      <c r="B891" s="172" t="s">
        <v>73</v>
      </c>
      <c r="C891" s="172" t="s">
        <v>21</v>
      </c>
      <c r="D891" s="172" t="s">
        <v>15</v>
      </c>
      <c r="E891" s="173">
        <v>42556</v>
      </c>
      <c r="F891" s="174">
        <v>10.535421599999999</v>
      </c>
      <c r="G891" s="175" t="s">
        <v>19</v>
      </c>
      <c r="H891" s="172" t="s">
        <v>17</v>
      </c>
      <c r="I891" s="175">
        <v>1</v>
      </c>
      <c r="J891" s="175" t="s">
        <v>18</v>
      </c>
      <c r="K891" s="175" t="s">
        <v>74</v>
      </c>
      <c r="L891" s="172" t="s">
        <v>75</v>
      </c>
    </row>
    <row r="892" spans="1:12" x14ac:dyDescent="0.2">
      <c r="A892" s="172" t="s">
        <v>72</v>
      </c>
      <c r="B892" s="172" t="s">
        <v>73</v>
      </c>
      <c r="C892" s="172" t="s">
        <v>21</v>
      </c>
      <c r="D892" s="172" t="s">
        <v>15</v>
      </c>
      <c r="E892" s="173">
        <v>42556</v>
      </c>
      <c r="F892" s="174">
        <v>1.67</v>
      </c>
      <c r="G892" s="175" t="s">
        <v>16</v>
      </c>
      <c r="H892" s="172" t="s">
        <v>20</v>
      </c>
      <c r="I892" s="175">
        <v>1</v>
      </c>
      <c r="J892" s="175" t="s">
        <v>18</v>
      </c>
      <c r="K892" s="175" t="s">
        <v>74</v>
      </c>
      <c r="L892" s="172" t="s">
        <v>75</v>
      </c>
    </row>
    <row r="893" spans="1:12" x14ac:dyDescent="0.2">
      <c r="A893" s="172" t="s">
        <v>72</v>
      </c>
      <c r="B893" s="172" t="s">
        <v>73</v>
      </c>
      <c r="C893" s="172" t="s">
        <v>21</v>
      </c>
      <c r="D893" s="172" t="s">
        <v>15</v>
      </c>
      <c r="E893" s="173">
        <v>42556</v>
      </c>
      <c r="F893" s="174">
        <v>8.7188028000000006</v>
      </c>
      <c r="G893" s="175" t="s">
        <v>19</v>
      </c>
      <c r="H893" s="172" t="s">
        <v>20</v>
      </c>
      <c r="I893" s="175">
        <v>1</v>
      </c>
      <c r="J893" s="175" t="s">
        <v>18</v>
      </c>
      <c r="K893" s="175" t="s">
        <v>74</v>
      </c>
      <c r="L893" s="172" t="s">
        <v>75</v>
      </c>
    </row>
    <row r="894" spans="1:12" x14ac:dyDescent="0.2">
      <c r="A894" s="172" t="s">
        <v>72</v>
      </c>
      <c r="B894" s="172" t="s">
        <v>73</v>
      </c>
      <c r="C894" s="172" t="s">
        <v>21</v>
      </c>
      <c r="D894" s="172" t="s">
        <v>15</v>
      </c>
      <c r="E894" s="173">
        <v>42549</v>
      </c>
      <c r="F894" s="174">
        <v>3.19</v>
      </c>
      <c r="G894" s="175" t="s">
        <v>16</v>
      </c>
      <c r="H894" s="172" t="s">
        <v>17</v>
      </c>
      <c r="I894" s="175">
        <v>1</v>
      </c>
      <c r="J894" s="175" t="s">
        <v>18</v>
      </c>
      <c r="K894" s="175" t="s">
        <v>74</v>
      </c>
      <c r="L894" s="172" t="s">
        <v>75</v>
      </c>
    </row>
    <row r="895" spans="1:12" x14ac:dyDescent="0.2">
      <c r="A895" s="172" t="s">
        <v>72</v>
      </c>
      <c r="B895" s="172" t="s">
        <v>73</v>
      </c>
      <c r="C895" s="172" t="s">
        <v>21</v>
      </c>
      <c r="D895" s="172" t="s">
        <v>15</v>
      </c>
      <c r="E895" s="173">
        <v>42549</v>
      </c>
      <c r="F895" s="174">
        <v>15.9095508</v>
      </c>
      <c r="G895" s="175" t="s">
        <v>19</v>
      </c>
      <c r="H895" s="172" t="s">
        <v>17</v>
      </c>
      <c r="I895" s="175">
        <v>1</v>
      </c>
      <c r="J895" s="175" t="s">
        <v>18</v>
      </c>
      <c r="K895" s="175" t="s">
        <v>74</v>
      </c>
      <c r="L895" s="172" t="s">
        <v>75</v>
      </c>
    </row>
    <row r="896" spans="1:12" x14ac:dyDescent="0.2">
      <c r="A896" s="172" t="s">
        <v>72</v>
      </c>
      <c r="B896" s="172" t="s">
        <v>73</v>
      </c>
      <c r="C896" s="172" t="s">
        <v>21</v>
      </c>
      <c r="D896" s="172" t="s">
        <v>15</v>
      </c>
      <c r="E896" s="173">
        <v>42549</v>
      </c>
      <c r="F896" s="174">
        <v>1.49</v>
      </c>
      <c r="G896" s="175" t="s">
        <v>16</v>
      </c>
      <c r="H896" s="172" t="s">
        <v>20</v>
      </c>
      <c r="I896" s="175">
        <v>1</v>
      </c>
      <c r="J896" s="175" t="s">
        <v>18</v>
      </c>
      <c r="K896" s="175" t="s">
        <v>74</v>
      </c>
      <c r="L896" s="172" t="s">
        <v>75</v>
      </c>
    </row>
    <row r="897" spans="1:12" x14ac:dyDescent="0.2">
      <c r="A897" s="172" t="s">
        <v>72</v>
      </c>
      <c r="B897" s="172" t="s">
        <v>73</v>
      </c>
      <c r="C897" s="172" t="s">
        <v>21</v>
      </c>
      <c r="D897" s="172" t="s">
        <v>15</v>
      </c>
      <c r="E897" s="173">
        <v>42549</v>
      </c>
      <c r="F897" s="174">
        <v>9.1086977999999998</v>
      </c>
      <c r="G897" s="175" t="s">
        <v>19</v>
      </c>
      <c r="H897" s="172" t="s">
        <v>20</v>
      </c>
      <c r="I897" s="175">
        <v>1</v>
      </c>
      <c r="J897" s="175" t="s">
        <v>18</v>
      </c>
      <c r="K897" s="175" t="s">
        <v>74</v>
      </c>
      <c r="L897" s="172" t="s">
        <v>75</v>
      </c>
    </row>
    <row r="898" spans="1:12" x14ac:dyDescent="0.2">
      <c r="A898" s="172" t="s">
        <v>72</v>
      </c>
      <c r="B898" s="172" t="s">
        <v>73</v>
      </c>
      <c r="C898" s="172" t="s">
        <v>21</v>
      </c>
      <c r="D898" s="172" t="s">
        <v>15</v>
      </c>
      <c r="E898" s="173">
        <v>42542</v>
      </c>
      <c r="F898" s="174">
        <v>1.76</v>
      </c>
      <c r="G898" s="175" t="s">
        <v>16</v>
      </c>
      <c r="H898" s="172" t="s">
        <v>17</v>
      </c>
      <c r="I898" s="175">
        <v>1</v>
      </c>
      <c r="J898" s="175" t="s">
        <v>18</v>
      </c>
      <c r="K898" s="175" t="s">
        <v>74</v>
      </c>
      <c r="L898" s="172" t="s">
        <v>75</v>
      </c>
    </row>
    <row r="899" spans="1:12" x14ac:dyDescent="0.2">
      <c r="A899" s="172" t="s">
        <v>72</v>
      </c>
      <c r="B899" s="172" t="s">
        <v>73</v>
      </c>
      <c r="C899" s="172" t="s">
        <v>21</v>
      </c>
      <c r="D899" s="172" t="s">
        <v>15</v>
      </c>
      <c r="E899" s="173">
        <v>42542</v>
      </c>
      <c r="F899" s="174">
        <v>10.289558400000001</v>
      </c>
      <c r="G899" s="175" t="s">
        <v>19</v>
      </c>
      <c r="H899" s="172" t="s">
        <v>17</v>
      </c>
      <c r="I899" s="175">
        <v>1</v>
      </c>
      <c r="J899" s="175" t="s">
        <v>18</v>
      </c>
      <c r="K899" s="175" t="s">
        <v>74</v>
      </c>
      <c r="L899" s="172" t="s">
        <v>75</v>
      </c>
    </row>
    <row r="900" spans="1:12" x14ac:dyDescent="0.2">
      <c r="A900" s="172" t="s">
        <v>72</v>
      </c>
      <c r="B900" s="172" t="s">
        <v>73</v>
      </c>
      <c r="C900" s="172" t="s">
        <v>21</v>
      </c>
      <c r="D900" s="172" t="s">
        <v>15</v>
      </c>
      <c r="E900" s="173">
        <v>42542</v>
      </c>
      <c r="F900" s="174">
        <v>1.19</v>
      </c>
      <c r="G900" s="175" t="s">
        <v>16</v>
      </c>
      <c r="H900" s="172" t="s">
        <v>20</v>
      </c>
      <c r="I900" s="175">
        <v>1</v>
      </c>
      <c r="J900" s="175" t="s">
        <v>18</v>
      </c>
      <c r="K900" s="175" t="s">
        <v>74</v>
      </c>
      <c r="L900" s="172" t="s">
        <v>75</v>
      </c>
    </row>
    <row r="901" spans="1:12" x14ac:dyDescent="0.2">
      <c r="A901" s="172" t="s">
        <v>72</v>
      </c>
      <c r="B901" s="172" t="s">
        <v>73</v>
      </c>
      <c r="C901" s="172" t="s">
        <v>21</v>
      </c>
      <c r="D901" s="172" t="s">
        <v>15</v>
      </c>
      <c r="E901" s="173">
        <v>42542</v>
      </c>
      <c r="F901" s="174">
        <v>8.5847789999999993</v>
      </c>
      <c r="G901" s="175" t="s">
        <v>19</v>
      </c>
      <c r="H901" s="172" t="s">
        <v>20</v>
      </c>
      <c r="I901" s="175">
        <v>1</v>
      </c>
      <c r="J901" s="175" t="s">
        <v>18</v>
      </c>
      <c r="K901" s="175" t="s">
        <v>74</v>
      </c>
      <c r="L901" s="172" t="s">
        <v>75</v>
      </c>
    </row>
    <row r="902" spans="1:12" x14ac:dyDescent="0.2">
      <c r="A902" s="172" t="s">
        <v>72</v>
      </c>
      <c r="B902" s="172" t="s">
        <v>73</v>
      </c>
      <c r="C902" s="172" t="s">
        <v>21</v>
      </c>
      <c r="D902" s="172" t="s">
        <v>15</v>
      </c>
      <c r="E902" s="173">
        <v>42535</v>
      </c>
      <c r="F902" s="174">
        <v>1.1599999999999999</v>
      </c>
      <c r="G902" s="175" t="s">
        <v>16</v>
      </c>
      <c r="H902" s="172" t="s">
        <v>17</v>
      </c>
      <c r="I902" s="175">
        <v>1</v>
      </c>
      <c r="J902" s="175" t="s">
        <v>18</v>
      </c>
      <c r="K902" s="175" t="s">
        <v>74</v>
      </c>
      <c r="L902" s="172" t="s">
        <v>75</v>
      </c>
    </row>
    <row r="903" spans="1:12" x14ac:dyDescent="0.2">
      <c r="A903" s="172" t="s">
        <v>72</v>
      </c>
      <c r="B903" s="172" t="s">
        <v>73</v>
      </c>
      <c r="C903" s="172" t="s">
        <v>21</v>
      </c>
      <c r="D903" s="172" t="s">
        <v>15</v>
      </c>
      <c r="E903" s="173">
        <v>42535</v>
      </c>
      <c r="F903" s="174">
        <v>11.231978399999999</v>
      </c>
      <c r="G903" s="175" t="s">
        <v>19</v>
      </c>
      <c r="H903" s="172" t="s">
        <v>17</v>
      </c>
      <c r="I903" s="175">
        <v>1</v>
      </c>
      <c r="J903" s="175" t="s">
        <v>18</v>
      </c>
      <c r="K903" s="175" t="s">
        <v>74</v>
      </c>
      <c r="L903" s="172" t="s">
        <v>75</v>
      </c>
    </row>
    <row r="904" spans="1:12" x14ac:dyDescent="0.2">
      <c r="A904" s="172" t="s">
        <v>72</v>
      </c>
      <c r="B904" s="172" t="s">
        <v>73</v>
      </c>
      <c r="C904" s="172" t="s">
        <v>21</v>
      </c>
      <c r="D904" s="172" t="s">
        <v>15</v>
      </c>
      <c r="E904" s="173">
        <v>42535</v>
      </c>
      <c r="F904" s="174">
        <v>0.85399999999999998</v>
      </c>
      <c r="G904" s="175" t="s">
        <v>16</v>
      </c>
      <c r="H904" s="172" t="s">
        <v>20</v>
      </c>
      <c r="I904" s="175">
        <v>1</v>
      </c>
      <c r="J904" s="175" t="s">
        <v>18</v>
      </c>
      <c r="K904" s="175" t="s">
        <v>74</v>
      </c>
      <c r="L904" s="172" t="s">
        <v>75</v>
      </c>
    </row>
    <row r="905" spans="1:12" x14ac:dyDescent="0.2">
      <c r="A905" s="172" t="s">
        <v>72</v>
      </c>
      <c r="B905" s="172" t="s">
        <v>73</v>
      </c>
      <c r="C905" s="172" t="s">
        <v>21</v>
      </c>
      <c r="D905" s="172" t="s">
        <v>15</v>
      </c>
      <c r="E905" s="173">
        <v>42535</v>
      </c>
      <c r="F905" s="174">
        <v>7.6565370000000001</v>
      </c>
      <c r="G905" s="175" t="s">
        <v>19</v>
      </c>
      <c r="H905" s="172" t="s">
        <v>20</v>
      </c>
      <c r="I905" s="175">
        <v>1</v>
      </c>
      <c r="J905" s="175" t="s">
        <v>18</v>
      </c>
      <c r="K905" s="175" t="s">
        <v>74</v>
      </c>
      <c r="L905" s="172" t="s">
        <v>75</v>
      </c>
    </row>
    <row r="906" spans="1:12" x14ac:dyDescent="0.2">
      <c r="A906" s="172" t="s">
        <v>72</v>
      </c>
      <c r="B906" s="172" t="s">
        <v>73</v>
      </c>
      <c r="C906" s="172" t="s">
        <v>21</v>
      </c>
      <c r="D906" s="172" t="s">
        <v>15</v>
      </c>
      <c r="E906" s="173">
        <v>42528</v>
      </c>
      <c r="F906" s="174">
        <v>1.56</v>
      </c>
      <c r="G906" s="175" t="s">
        <v>16</v>
      </c>
      <c r="H906" s="172" t="s">
        <v>17</v>
      </c>
      <c r="I906" s="175">
        <v>1</v>
      </c>
      <c r="J906" s="175" t="s">
        <v>18</v>
      </c>
      <c r="K906" s="175" t="s">
        <v>74</v>
      </c>
      <c r="L906" s="172" t="s">
        <v>75</v>
      </c>
    </row>
    <row r="907" spans="1:12" x14ac:dyDescent="0.2">
      <c r="A907" s="172" t="s">
        <v>72</v>
      </c>
      <c r="B907" s="172" t="s">
        <v>73</v>
      </c>
      <c r="C907" s="172" t="s">
        <v>21</v>
      </c>
      <c r="D907" s="172" t="s">
        <v>15</v>
      </c>
      <c r="E907" s="173">
        <v>42528</v>
      </c>
      <c r="F907" s="174">
        <v>10.681538400000001</v>
      </c>
      <c r="G907" s="175" t="s">
        <v>19</v>
      </c>
      <c r="H907" s="172" t="s">
        <v>17</v>
      </c>
      <c r="I907" s="175">
        <v>1</v>
      </c>
      <c r="J907" s="175" t="s">
        <v>18</v>
      </c>
      <c r="K907" s="175" t="s">
        <v>74</v>
      </c>
      <c r="L907" s="172" t="s">
        <v>75</v>
      </c>
    </row>
    <row r="908" spans="1:12" x14ac:dyDescent="0.2">
      <c r="A908" s="172" t="s">
        <v>72</v>
      </c>
      <c r="B908" s="172" t="s">
        <v>73</v>
      </c>
      <c r="C908" s="172" t="s">
        <v>21</v>
      </c>
      <c r="D908" s="172" t="s">
        <v>15</v>
      </c>
      <c r="E908" s="173">
        <v>42528</v>
      </c>
      <c r="F908" s="174">
        <v>1.46</v>
      </c>
      <c r="G908" s="175" t="s">
        <v>16</v>
      </c>
      <c r="H908" s="172" t="s">
        <v>20</v>
      </c>
      <c r="I908" s="175">
        <v>1</v>
      </c>
      <c r="J908" s="175" t="s">
        <v>18</v>
      </c>
      <c r="K908" s="175" t="s">
        <v>74</v>
      </c>
      <c r="L908" s="172" t="s">
        <v>75</v>
      </c>
    </row>
    <row r="909" spans="1:12" x14ac:dyDescent="0.2">
      <c r="A909" s="172" t="s">
        <v>72</v>
      </c>
      <c r="B909" s="172" t="s">
        <v>73</v>
      </c>
      <c r="C909" s="172" t="s">
        <v>21</v>
      </c>
      <c r="D909" s="172" t="s">
        <v>15</v>
      </c>
      <c r="E909" s="173">
        <v>42528</v>
      </c>
      <c r="F909" s="174">
        <v>12.054636</v>
      </c>
      <c r="G909" s="175" t="s">
        <v>19</v>
      </c>
      <c r="H909" s="172" t="s">
        <v>20</v>
      </c>
      <c r="I909" s="175">
        <v>1</v>
      </c>
      <c r="J909" s="175" t="s">
        <v>18</v>
      </c>
      <c r="K909" s="175" t="s">
        <v>74</v>
      </c>
      <c r="L909" s="172" t="s">
        <v>75</v>
      </c>
    </row>
    <row r="910" spans="1:12" x14ac:dyDescent="0.2">
      <c r="A910" s="172" t="s">
        <v>72</v>
      </c>
      <c r="B910" s="172" t="s">
        <v>73</v>
      </c>
      <c r="C910" s="172" t="s">
        <v>21</v>
      </c>
      <c r="D910" s="172" t="s">
        <v>15</v>
      </c>
      <c r="E910" s="173">
        <v>42514</v>
      </c>
      <c r="F910" s="174">
        <v>1.03</v>
      </c>
      <c r="G910" s="175" t="s">
        <v>16</v>
      </c>
      <c r="H910" s="172" t="s">
        <v>17</v>
      </c>
      <c r="I910" s="175">
        <v>1</v>
      </c>
      <c r="J910" s="175" t="s">
        <v>18</v>
      </c>
      <c r="K910" s="175" t="s">
        <v>74</v>
      </c>
      <c r="L910" s="172" t="s">
        <v>75</v>
      </c>
    </row>
    <row r="911" spans="1:12" x14ac:dyDescent="0.2">
      <c r="A911" s="172" t="s">
        <v>72</v>
      </c>
      <c r="B911" s="172" t="s">
        <v>73</v>
      </c>
      <c r="C911" s="172" t="s">
        <v>21</v>
      </c>
      <c r="D911" s="172" t="s">
        <v>15</v>
      </c>
      <c r="E911" s="173">
        <v>42514</v>
      </c>
      <c r="F911" s="174">
        <v>16.0894446</v>
      </c>
      <c r="G911" s="175" t="s">
        <v>19</v>
      </c>
      <c r="H911" s="172" t="s">
        <v>17</v>
      </c>
      <c r="I911" s="175">
        <v>1</v>
      </c>
      <c r="J911" s="175" t="s">
        <v>18</v>
      </c>
      <c r="K911" s="175" t="s">
        <v>74</v>
      </c>
      <c r="L911" s="172" t="s">
        <v>75</v>
      </c>
    </row>
    <row r="912" spans="1:12" x14ac:dyDescent="0.2">
      <c r="A912" s="172" t="s">
        <v>72</v>
      </c>
      <c r="B912" s="172" t="s">
        <v>73</v>
      </c>
      <c r="C912" s="172" t="s">
        <v>21</v>
      </c>
      <c r="D912" s="172" t="s">
        <v>15</v>
      </c>
      <c r="E912" s="173">
        <v>42514</v>
      </c>
      <c r="F912" s="174">
        <v>1.1000000000000001</v>
      </c>
      <c r="G912" s="175" t="s">
        <v>16</v>
      </c>
      <c r="H912" s="172" t="s">
        <v>20</v>
      </c>
      <c r="I912" s="175">
        <v>1</v>
      </c>
      <c r="J912" s="175" t="s">
        <v>18</v>
      </c>
      <c r="K912" s="175" t="s">
        <v>74</v>
      </c>
      <c r="L912" s="172" t="s">
        <v>75</v>
      </c>
    </row>
    <row r="913" spans="1:12" x14ac:dyDescent="0.2">
      <c r="A913" s="172" t="s">
        <v>72</v>
      </c>
      <c r="B913" s="172" t="s">
        <v>73</v>
      </c>
      <c r="C913" s="172" t="s">
        <v>21</v>
      </c>
      <c r="D913" s="172" t="s">
        <v>15</v>
      </c>
      <c r="E913" s="173">
        <v>42514</v>
      </c>
      <c r="F913" s="174">
        <v>15.614148</v>
      </c>
      <c r="G913" s="175" t="s">
        <v>19</v>
      </c>
      <c r="H913" s="172" t="s">
        <v>20</v>
      </c>
      <c r="I913" s="175">
        <v>1</v>
      </c>
      <c r="J913" s="175" t="s">
        <v>18</v>
      </c>
      <c r="K913" s="175" t="s">
        <v>74</v>
      </c>
      <c r="L913" s="172" t="s">
        <v>75</v>
      </c>
    </row>
    <row r="914" spans="1:12" x14ac:dyDescent="0.2">
      <c r="A914" s="172" t="s">
        <v>72</v>
      </c>
      <c r="B914" s="172" t="s">
        <v>73</v>
      </c>
      <c r="C914" s="172" t="s">
        <v>21</v>
      </c>
      <c r="D914" s="172" t="s">
        <v>15</v>
      </c>
      <c r="E914" s="173">
        <v>42507</v>
      </c>
      <c r="F914" s="174">
        <v>1.86</v>
      </c>
      <c r="G914" s="175" t="s">
        <v>16</v>
      </c>
      <c r="H914" s="172" t="s">
        <v>17</v>
      </c>
      <c r="I914" s="175">
        <v>1</v>
      </c>
      <c r="J914" s="175" t="s">
        <v>18</v>
      </c>
      <c r="K914" s="175" t="s">
        <v>74</v>
      </c>
      <c r="L914" s="172" t="s">
        <v>75</v>
      </c>
    </row>
    <row r="915" spans="1:12" x14ac:dyDescent="0.2">
      <c r="A915" s="172" t="s">
        <v>72</v>
      </c>
      <c r="B915" s="172" t="s">
        <v>73</v>
      </c>
      <c r="C915" s="172" t="s">
        <v>21</v>
      </c>
      <c r="D915" s="172" t="s">
        <v>15</v>
      </c>
      <c r="E915" s="173">
        <v>42507</v>
      </c>
      <c r="F915" s="174">
        <v>14.085259199999999</v>
      </c>
      <c r="G915" s="175" t="s">
        <v>19</v>
      </c>
      <c r="H915" s="172" t="s">
        <v>17</v>
      </c>
      <c r="I915" s="175">
        <v>1</v>
      </c>
      <c r="J915" s="175" t="s">
        <v>18</v>
      </c>
      <c r="K915" s="175" t="s">
        <v>74</v>
      </c>
      <c r="L915" s="172" t="s">
        <v>75</v>
      </c>
    </row>
    <row r="916" spans="1:12" x14ac:dyDescent="0.2">
      <c r="A916" s="172" t="s">
        <v>72</v>
      </c>
      <c r="B916" s="172" t="s">
        <v>73</v>
      </c>
      <c r="C916" s="172" t="s">
        <v>21</v>
      </c>
      <c r="D916" s="172" t="s">
        <v>15</v>
      </c>
      <c r="E916" s="173">
        <v>42507</v>
      </c>
      <c r="F916" s="174">
        <v>1.4</v>
      </c>
      <c r="G916" s="175" t="s">
        <v>16</v>
      </c>
      <c r="H916" s="172" t="s">
        <v>20</v>
      </c>
      <c r="I916" s="175">
        <v>1</v>
      </c>
      <c r="J916" s="175" t="s">
        <v>18</v>
      </c>
      <c r="K916" s="175" t="s">
        <v>74</v>
      </c>
      <c r="L916" s="172" t="s">
        <v>75</v>
      </c>
    </row>
    <row r="917" spans="1:12" x14ac:dyDescent="0.2">
      <c r="A917" s="172" t="s">
        <v>72</v>
      </c>
      <c r="B917" s="172" t="s">
        <v>73</v>
      </c>
      <c r="C917" s="172" t="s">
        <v>21</v>
      </c>
      <c r="D917" s="172" t="s">
        <v>15</v>
      </c>
      <c r="E917" s="173">
        <v>42507</v>
      </c>
      <c r="F917" s="174">
        <v>13.555835999999999</v>
      </c>
      <c r="G917" s="175" t="s">
        <v>19</v>
      </c>
      <c r="H917" s="172" t="s">
        <v>20</v>
      </c>
      <c r="I917" s="175">
        <v>1</v>
      </c>
      <c r="J917" s="175" t="s">
        <v>18</v>
      </c>
      <c r="K917" s="175" t="s">
        <v>74</v>
      </c>
      <c r="L917" s="172" t="s">
        <v>75</v>
      </c>
    </row>
    <row r="918" spans="1:12" x14ac:dyDescent="0.2">
      <c r="A918" s="172" t="s">
        <v>72</v>
      </c>
      <c r="B918" s="172" t="s">
        <v>73</v>
      </c>
      <c r="C918" s="172" t="s">
        <v>21</v>
      </c>
      <c r="D918" s="172" t="s">
        <v>15</v>
      </c>
      <c r="E918" s="173">
        <v>42500</v>
      </c>
      <c r="F918" s="174">
        <v>1.21</v>
      </c>
      <c r="G918" s="175" t="s">
        <v>16</v>
      </c>
      <c r="H918" s="172" t="s">
        <v>17</v>
      </c>
      <c r="I918" s="175">
        <v>1</v>
      </c>
      <c r="J918" s="175" t="s">
        <v>18</v>
      </c>
      <c r="K918" s="175" t="s">
        <v>74</v>
      </c>
      <c r="L918" s="172" t="s">
        <v>75</v>
      </c>
    </row>
    <row r="919" spans="1:12" x14ac:dyDescent="0.2">
      <c r="A919" s="172" t="s">
        <v>72</v>
      </c>
      <c r="B919" s="172" t="s">
        <v>73</v>
      </c>
      <c r="C919" s="172" t="s">
        <v>21</v>
      </c>
      <c r="D919" s="172" t="s">
        <v>15</v>
      </c>
      <c r="E919" s="173">
        <v>42500</v>
      </c>
      <c r="F919" s="174">
        <v>13.623390000000001</v>
      </c>
      <c r="G919" s="175" t="s">
        <v>19</v>
      </c>
      <c r="H919" s="172" t="s">
        <v>17</v>
      </c>
      <c r="I919" s="175">
        <v>1</v>
      </c>
      <c r="J919" s="175" t="s">
        <v>18</v>
      </c>
      <c r="K919" s="175" t="s">
        <v>74</v>
      </c>
      <c r="L919" s="172" t="s">
        <v>75</v>
      </c>
    </row>
    <row r="920" spans="1:12" x14ac:dyDescent="0.2">
      <c r="A920" s="172" t="s">
        <v>72</v>
      </c>
      <c r="B920" s="172" t="s">
        <v>73</v>
      </c>
      <c r="C920" s="172" t="s">
        <v>21</v>
      </c>
      <c r="D920" s="172" t="s">
        <v>15</v>
      </c>
      <c r="E920" s="173">
        <v>42500</v>
      </c>
      <c r="F920" s="174">
        <v>1.1599999999999999</v>
      </c>
      <c r="G920" s="175" t="s">
        <v>16</v>
      </c>
      <c r="H920" s="172" t="s">
        <v>20</v>
      </c>
      <c r="I920" s="175">
        <v>1</v>
      </c>
      <c r="J920" s="175" t="s">
        <v>18</v>
      </c>
      <c r="K920" s="175" t="s">
        <v>74</v>
      </c>
      <c r="L920" s="172" t="s">
        <v>75</v>
      </c>
    </row>
    <row r="921" spans="1:12" x14ac:dyDescent="0.2">
      <c r="A921" s="172" t="s">
        <v>72</v>
      </c>
      <c r="B921" s="172" t="s">
        <v>73</v>
      </c>
      <c r="C921" s="172" t="s">
        <v>21</v>
      </c>
      <c r="D921" s="172" t="s">
        <v>15</v>
      </c>
      <c r="E921" s="173">
        <v>42500</v>
      </c>
      <c r="F921" s="174">
        <v>15.5951328</v>
      </c>
      <c r="G921" s="175" t="s">
        <v>19</v>
      </c>
      <c r="H921" s="172" t="s">
        <v>20</v>
      </c>
      <c r="I921" s="175">
        <v>1</v>
      </c>
      <c r="J921" s="175" t="s">
        <v>18</v>
      </c>
      <c r="K921" s="175" t="s">
        <v>74</v>
      </c>
      <c r="L921" s="172" t="s">
        <v>75</v>
      </c>
    </row>
    <row r="922" spans="1:12" x14ac:dyDescent="0.2">
      <c r="A922" s="172" t="s">
        <v>72</v>
      </c>
      <c r="B922" s="172" t="s">
        <v>73</v>
      </c>
      <c r="C922" s="172" t="s">
        <v>21</v>
      </c>
      <c r="D922" s="172" t="s">
        <v>15</v>
      </c>
      <c r="E922" s="173">
        <v>42493</v>
      </c>
      <c r="F922" s="174">
        <v>1.4</v>
      </c>
      <c r="G922" s="175" t="s">
        <v>16</v>
      </c>
      <c r="H922" s="172" t="s">
        <v>17</v>
      </c>
      <c r="I922" s="175">
        <v>1</v>
      </c>
      <c r="J922" s="175" t="s">
        <v>18</v>
      </c>
      <c r="K922" s="175" t="s">
        <v>74</v>
      </c>
      <c r="L922" s="172" t="s">
        <v>75</v>
      </c>
    </row>
    <row r="923" spans="1:12" x14ac:dyDescent="0.2">
      <c r="A923" s="172" t="s">
        <v>72</v>
      </c>
      <c r="B923" s="172" t="s">
        <v>73</v>
      </c>
      <c r="C923" s="172" t="s">
        <v>21</v>
      </c>
      <c r="D923" s="172" t="s">
        <v>15</v>
      </c>
      <c r="E923" s="173">
        <v>42493</v>
      </c>
      <c r="F923" s="174">
        <v>13.894439999999999</v>
      </c>
      <c r="G923" s="175" t="s">
        <v>19</v>
      </c>
      <c r="H923" s="172" t="s">
        <v>17</v>
      </c>
      <c r="I923" s="175">
        <v>1</v>
      </c>
      <c r="J923" s="175" t="s">
        <v>18</v>
      </c>
      <c r="K923" s="175" t="s">
        <v>74</v>
      </c>
      <c r="L923" s="172" t="s">
        <v>75</v>
      </c>
    </row>
    <row r="924" spans="1:12" x14ac:dyDescent="0.2">
      <c r="A924" s="172" t="s">
        <v>72</v>
      </c>
      <c r="B924" s="172" t="s">
        <v>73</v>
      </c>
      <c r="C924" s="172" t="s">
        <v>21</v>
      </c>
      <c r="D924" s="172" t="s">
        <v>15</v>
      </c>
      <c r="E924" s="173">
        <v>42493</v>
      </c>
      <c r="F924" s="174">
        <v>1.1000000000000001</v>
      </c>
      <c r="G924" s="175" t="s">
        <v>16</v>
      </c>
      <c r="H924" s="172" t="s">
        <v>20</v>
      </c>
      <c r="I924" s="175">
        <v>1</v>
      </c>
      <c r="J924" s="175" t="s">
        <v>18</v>
      </c>
      <c r="K924" s="175" t="s">
        <v>74</v>
      </c>
      <c r="L924" s="172" t="s">
        <v>75</v>
      </c>
    </row>
    <row r="925" spans="1:12" x14ac:dyDescent="0.2">
      <c r="A925" s="172" t="s">
        <v>72</v>
      </c>
      <c r="B925" s="172" t="s">
        <v>73</v>
      </c>
      <c r="C925" s="172" t="s">
        <v>21</v>
      </c>
      <c r="D925" s="172" t="s">
        <v>15</v>
      </c>
      <c r="E925" s="173">
        <v>42493</v>
      </c>
      <c r="F925" s="174">
        <v>15.265536000000001</v>
      </c>
      <c r="G925" s="175" t="s">
        <v>19</v>
      </c>
      <c r="H925" s="172" t="s">
        <v>20</v>
      </c>
      <c r="I925" s="175">
        <v>1</v>
      </c>
      <c r="J925" s="175" t="s">
        <v>18</v>
      </c>
      <c r="K925" s="175" t="s">
        <v>74</v>
      </c>
      <c r="L925" s="172" t="s">
        <v>75</v>
      </c>
    </row>
    <row r="926" spans="1:12" x14ac:dyDescent="0.2">
      <c r="A926" s="172" t="s">
        <v>72</v>
      </c>
      <c r="B926" s="172" t="s">
        <v>73</v>
      </c>
      <c r="C926" s="172" t="s">
        <v>21</v>
      </c>
      <c r="D926" s="172" t="s">
        <v>15</v>
      </c>
      <c r="E926" s="173">
        <v>42486</v>
      </c>
      <c r="F926" s="174">
        <v>1.55</v>
      </c>
      <c r="G926" s="175" t="s">
        <v>16</v>
      </c>
      <c r="H926" s="172" t="s">
        <v>17</v>
      </c>
      <c r="I926" s="175">
        <v>1</v>
      </c>
      <c r="J926" s="175" t="s">
        <v>18</v>
      </c>
      <c r="K926" s="175" t="s">
        <v>74</v>
      </c>
      <c r="L926" s="172" t="s">
        <v>75</v>
      </c>
    </row>
    <row r="927" spans="1:12" x14ac:dyDescent="0.2">
      <c r="A927" s="172" t="s">
        <v>72</v>
      </c>
      <c r="B927" s="172" t="s">
        <v>73</v>
      </c>
      <c r="C927" s="172" t="s">
        <v>21</v>
      </c>
      <c r="D927" s="172" t="s">
        <v>15</v>
      </c>
      <c r="E927" s="173">
        <v>42486</v>
      </c>
      <c r="F927" s="174">
        <v>10.160622</v>
      </c>
      <c r="G927" s="175" t="s">
        <v>19</v>
      </c>
      <c r="H927" s="172" t="s">
        <v>17</v>
      </c>
      <c r="I927" s="175">
        <v>1</v>
      </c>
      <c r="J927" s="175" t="s">
        <v>18</v>
      </c>
      <c r="K927" s="175" t="s">
        <v>74</v>
      </c>
      <c r="L927" s="172" t="s">
        <v>75</v>
      </c>
    </row>
    <row r="928" spans="1:12" x14ac:dyDescent="0.2">
      <c r="A928" s="172" t="s">
        <v>72</v>
      </c>
      <c r="B928" s="172" t="s">
        <v>73</v>
      </c>
      <c r="C928" s="172" t="s">
        <v>21</v>
      </c>
      <c r="D928" s="172" t="s">
        <v>15</v>
      </c>
      <c r="E928" s="173">
        <v>42486</v>
      </c>
      <c r="F928" s="174">
        <v>1.34</v>
      </c>
      <c r="G928" s="175" t="s">
        <v>16</v>
      </c>
      <c r="H928" s="172" t="s">
        <v>20</v>
      </c>
      <c r="I928" s="175">
        <v>1</v>
      </c>
      <c r="J928" s="175" t="s">
        <v>18</v>
      </c>
      <c r="K928" s="175" t="s">
        <v>74</v>
      </c>
      <c r="L928" s="172" t="s">
        <v>75</v>
      </c>
    </row>
    <row r="929" spans="1:12" x14ac:dyDescent="0.2">
      <c r="A929" s="172" t="s">
        <v>72</v>
      </c>
      <c r="B929" s="172" t="s">
        <v>73</v>
      </c>
      <c r="C929" s="172" t="s">
        <v>21</v>
      </c>
      <c r="D929" s="172" t="s">
        <v>15</v>
      </c>
      <c r="E929" s="173">
        <v>42486</v>
      </c>
      <c r="F929" s="174">
        <v>11.8237848</v>
      </c>
      <c r="G929" s="175" t="s">
        <v>19</v>
      </c>
      <c r="H929" s="172" t="s">
        <v>20</v>
      </c>
      <c r="I929" s="175">
        <v>1</v>
      </c>
      <c r="J929" s="175" t="s">
        <v>18</v>
      </c>
      <c r="K929" s="175" t="s">
        <v>74</v>
      </c>
      <c r="L929" s="172" t="s">
        <v>75</v>
      </c>
    </row>
    <row r="930" spans="1:12" x14ac:dyDescent="0.2">
      <c r="A930" s="172" t="s">
        <v>72</v>
      </c>
      <c r="B930" s="172" t="s">
        <v>73</v>
      </c>
      <c r="C930" s="172" t="s">
        <v>21</v>
      </c>
      <c r="D930" s="172" t="s">
        <v>15</v>
      </c>
      <c r="E930" s="173">
        <v>42479</v>
      </c>
      <c r="F930" s="174">
        <v>1.7</v>
      </c>
      <c r="G930" s="175" t="s">
        <v>16</v>
      </c>
      <c r="H930" s="172" t="s">
        <v>17</v>
      </c>
      <c r="I930" s="175">
        <v>1</v>
      </c>
      <c r="J930" s="175" t="s">
        <v>18</v>
      </c>
      <c r="K930" s="175" t="s">
        <v>74</v>
      </c>
      <c r="L930" s="172" t="s">
        <v>75</v>
      </c>
    </row>
    <row r="931" spans="1:12" x14ac:dyDescent="0.2">
      <c r="A931" s="172" t="s">
        <v>72</v>
      </c>
      <c r="B931" s="172" t="s">
        <v>73</v>
      </c>
      <c r="C931" s="172" t="s">
        <v>21</v>
      </c>
      <c r="D931" s="172" t="s">
        <v>15</v>
      </c>
      <c r="E931" s="173">
        <v>42479</v>
      </c>
      <c r="F931" s="174">
        <v>12.632598</v>
      </c>
      <c r="G931" s="175" t="s">
        <v>19</v>
      </c>
      <c r="H931" s="172" t="s">
        <v>17</v>
      </c>
      <c r="I931" s="175">
        <v>1</v>
      </c>
      <c r="J931" s="175" t="s">
        <v>18</v>
      </c>
      <c r="K931" s="175" t="s">
        <v>74</v>
      </c>
      <c r="L931" s="172" t="s">
        <v>75</v>
      </c>
    </row>
    <row r="932" spans="1:12" x14ac:dyDescent="0.2">
      <c r="A932" s="172" t="s">
        <v>72</v>
      </c>
      <c r="B932" s="172" t="s">
        <v>73</v>
      </c>
      <c r="C932" s="172" t="s">
        <v>21</v>
      </c>
      <c r="D932" s="172" t="s">
        <v>15</v>
      </c>
      <c r="E932" s="173">
        <v>42479</v>
      </c>
      <c r="F932" s="174">
        <v>1.08</v>
      </c>
      <c r="G932" s="175" t="s">
        <v>16</v>
      </c>
      <c r="H932" s="172" t="s">
        <v>20</v>
      </c>
      <c r="I932" s="175">
        <v>1</v>
      </c>
      <c r="J932" s="175" t="s">
        <v>18</v>
      </c>
      <c r="K932" s="175" t="s">
        <v>74</v>
      </c>
      <c r="L932" s="172" t="s">
        <v>75</v>
      </c>
    </row>
    <row r="933" spans="1:12" x14ac:dyDescent="0.2">
      <c r="A933" s="172" t="s">
        <v>72</v>
      </c>
      <c r="B933" s="172" t="s">
        <v>73</v>
      </c>
      <c r="C933" s="172" t="s">
        <v>21</v>
      </c>
      <c r="D933" s="172" t="s">
        <v>15</v>
      </c>
      <c r="E933" s="173">
        <v>42479</v>
      </c>
      <c r="F933" s="174">
        <v>10.493387999999999</v>
      </c>
      <c r="G933" s="175" t="s">
        <v>19</v>
      </c>
      <c r="H933" s="172" t="s">
        <v>20</v>
      </c>
      <c r="I933" s="175">
        <v>1</v>
      </c>
      <c r="J933" s="175" t="s">
        <v>18</v>
      </c>
      <c r="K933" s="175" t="s">
        <v>74</v>
      </c>
      <c r="L933" s="172" t="s">
        <v>75</v>
      </c>
    </row>
    <row r="934" spans="1:12" x14ac:dyDescent="0.2">
      <c r="A934" s="172" t="s">
        <v>72</v>
      </c>
      <c r="B934" s="172" t="s">
        <v>73</v>
      </c>
      <c r="C934" s="172" t="s">
        <v>21</v>
      </c>
      <c r="D934" s="172" t="s">
        <v>15</v>
      </c>
      <c r="E934" s="173">
        <v>42472</v>
      </c>
      <c r="F934" s="174">
        <v>1.42</v>
      </c>
      <c r="G934" s="175" t="s">
        <v>16</v>
      </c>
      <c r="H934" s="172" t="s">
        <v>17</v>
      </c>
      <c r="I934" s="175">
        <v>1</v>
      </c>
      <c r="J934" s="175" t="s">
        <v>18</v>
      </c>
      <c r="K934" s="175" t="s">
        <v>74</v>
      </c>
      <c r="L934" s="172" t="s">
        <v>75</v>
      </c>
    </row>
    <row r="935" spans="1:12" x14ac:dyDescent="0.2">
      <c r="A935" s="172" t="s">
        <v>72</v>
      </c>
      <c r="B935" s="172" t="s">
        <v>73</v>
      </c>
      <c r="C935" s="172" t="s">
        <v>21</v>
      </c>
      <c r="D935" s="172" t="s">
        <v>15</v>
      </c>
      <c r="E935" s="173">
        <v>42472</v>
      </c>
      <c r="F935" s="174">
        <v>12.7665384</v>
      </c>
      <c r="G935" s="175" t="s">
        <v>19</v>
      </c>
      <c r="H935" s="172" t="s">
        <v>17</v>
      </c>
      <c r="I935" s="175">
        <v>1</v>
      </c>
      <c r="J935" s="175" t="s">
        <v>18</v>
      </c>
      <c r="K935" s="175" t="s">
        <v>74</v>
      </c>
      <c r="L935" s="172" t="s">
        <v>75</v>
      </c>
    </row>
    <row r="936" spans="1:12" x14ac:dyDescent="0.2">
      <c r="A936" s="172" t="s">
        <v>72</v>
      </c>
      <c r="B936" s="172" t="s">
        <v>73</v>
      </c>
      <c r="C936" s="172" t="s">
        <v>21</v>
      </c>
      <c r="D936" s="172" t="s">
        <v>15</v>
      </c>
      <c r="E936" s="173">
        <v>42472</v>
      </c>
      <c r="F936" s="174">
        <v>0.98799999999999999</v>
      </c>
      <c r="G936" s="175" t="s">
        <v>16</v>
      </c>
      <c r="H936" s="172" t="s">
        <v>20</v>
      </c>
      <c r="I936" s="175">
        <v>1</v>
      </c>
      <c r="J936" s="175" t="s">
        <v>18</v>
      </c>
      <c r="K936" s="175" t="s">
        <v>74</v>
      </c>
      <c r="L936" s="172" t="s">
        <v>75</v>
      </c>
    </row>
    <row r="937" spans="1:12" x14ac:dyDescent="0.2">
      <c r="A937" s="172" t="s">
        <v>72</v>
      </c>
      <c r="B937" s="172" t="s">
        <v>73</v>
      </c>
      <c r="C937" s="172" t="s">
        <v>21</v>
      </c>
      <c r="D937" s="172" t="s">
        <v>15</v>
      </c>
      <c r="E937" s="173">
        <v>42472</v>
      </c>
      <c r="F937" s="174">
        <v>11.3875694</v>
      </c>
      <c r="G937" s="175" t="s">
        <v>19</v>
      </c>
      <c r="H937" s="172" t="s">
        <v>20</v>
      </c>
      <c r="I937" s="175">
        <v>1</v>
      </c>
      <c r="J937" s="175" t="s">
        <v>18</v>
      </c>
      <c r="K937" s="175" t="s">
        <v>74</v>
      </c>
      <c r="L937" s="172" t="s">
        <v>75</v>
      </c>
    </row>
    <row r="938" spans="1:12" x14ac:dyDescent="0.2">
      <c r="A938" s="172" t="s">
        <v>72</v>
      </c>
      <c r="B938" s="172" t="s">
        <v>73</v>
      </c>
      <c r="C938" s="172" t="s">
        <v>21</v>
      </c>
      <c r="D938" s="172" t="s">
        <v>15</v>
      </c>
      <c r="E938" s="173">
        <v>42465</v>
      </c>
      <c r="F938" s="174">
        <v>1.01</v>
      </c>
      <c r="G938" s="175" t="s">
        <v>16</v>
      </c>
      <c r="H938" s="172" t="s">
        <v>17</v>
      </c>
      <c r="I938" s="175">
        <v>1</v>
      </c>
      <c r="J938" s="175" t="s">
        <v>18</v>
      </c>
      <c r="K938" s="175" t="s">
        <v>74</v>
      </c>
      <c r="L938" s="172" t="s">
        <v>75</v>
      </c>
    </row>
    <row r="939" spans="1:12" x14ac:dyDescent="0.2">
      <c r="A939" s="172" t="s">
        <v>72</v>
      </c>
      <c r="B939" s="172" t="s">
        <v>73</v>
      </c>
      <c r="C939" s="172" t="s">
        <v>21</v>
      </c>
      <c r="D939" s="172" t="s">
        <v>15</v>
      </c>
      <c r="E939" s="173">
        <v>42465</v>
      </c>
      <c r="F939" s="174">
        <v>13.688025</v>
      </c>
      <c r="G939" s="175" t="s">
        <v>19</v>
      </c>
      <c r="H939" s="172" t="s">
        <v>17</v>
      </c>
      <c r="I939" s="175">
        <v>1</v>
      </c>
      <c r="J939" s="175" t="s">
        <v>18</v>
      </c>
      <c r="K939" s="175" t="s">
        <v>74</v>
      </c>
      <c r="L939" s="172" t="s">
        <v>75</v>
      </c>
    </row>
    <row r="940" spans="1:12" x14ac:dyDescent="0.2">
      <c r="A940" s="172" t="s">
        <v>72</v>
      </c>
      <c r="B940" s="172" t="s">
        <v>73</v>
      </c>
      <c r="C940" s="172" t="s">
        <v>21</v>
      </c>
      <c r="D940" s="172" t="s">
        <v>15</v>
      </c>
      <c r="E940" s="173">
        <v>42465</v>
      </c>
      <c r="F940" s="174">
        <v>0.71399999999999997</v>
      </c>
      <c r="G940" s="175" t="s">
        <v>16</v>
      </c>
      <c r="H940" s="172" t="s">
        <v>20</v>
      </c>
      <c r="I940" s="175">
        <v>1</v>
      </c>
      <c r="J940" s="175" t="s">
        <v>18</v>
      </c>
      <c r="K940" s="175" t="s">
        <v>74</v>
      </c>
      <c r="L940" s="172" t="s">
        <v>75</v>
      </c>
    </row>
    <row r="941" spans="1:12" x14ac:dyDescent="0.2">
      <c r="A941" s="172" t="s">
        <v>72</v>
      </c>
      <c r="B941" s="172" t="s">
        <v>73</v>
      </c>
      <c r="C941" s="172" t="s">
        <v>21</v>
      </c>
      <c r="D941" s="172" t="s">
        <v>15</v>
      </c>
      <c r="E941" s="173">
        <v>42465</v>
      </c>
      <c r="F941" s="174">
        <v>12.641955400000001</v>
      </c>
      <c r="G941" s="175" t="s">
        <v>19</v>
      </c>
      <c r="H941" s="172" t="s">
        <v>20</v>
      </c>
      <c r="I941" s="175">
        <v>1</v>
      </c>
      <c r="J941" s="175" t="s">
        <v>18</v>
      </c>
      <c r="K941" s="175" t="s">
        <v>74</v>
      </c>
      <c r="L941" s="172" t="s">
        <v>75</v>
      </c>
    </row>
    <row r="942" spans="1:12" x14ac:dyDescent="0.2">
      <c r="A942" s="172" t="s">
        <v>72</v>
      </c>
      <c r="B942" s="172" t="s">
        <v>73</v>
      </c>
      <c r="C942" s="172" t="s">
        <v>21</v>
      </c>
      <c r="D942" s="172" t="s">
        <v>15</v>
      </c>
      <c r="E942" s="173">
        <v>42458</v>
      </c>
      <c r="F942" s="174">
        <v>0.45700000000000002</v>
      </c>
      <c r="G942" s="175" t="s">
        <v>16</v>
      </c>
      <c r="H942" s="172" t="s">
        <v>17</v>
      </c>
      <c r="I942" s="175">
        <v>1</v>
      </c>
      <c r="J942" s="175" t="s">
        <v>18</v>
      </c>
      <c r="K942" s="175" t="s">
        <v>74</v>
      </c>
      <c r="L942" s="172" t="s">
        <v>75</v>
      </c>
    </row>
    <row r="943" spans="1:12" x14ac:dyDescent="0.2">
      <c r="A943" s="172" t="s">
        <v>72</v>
      </c>
      <c r="B943" s="172" t="s">
        <v>73</v>
      </c>
      <c r="C943" s="172" t="s">
        <v>21</v>
      </c>
      <c r="D943" s="172" t="s">
        <v>15</v>
      </c>
      <c r="E943" s="173">
        <v>42458</v>
      </c>
      <c r="F943" s="174">
        <v>7.272113</v>
      </c>
      <c r="G943" s="175" t="s">
        <v>19</v>
      </c>
      <c r="H943" s="172" t="s">
        <v>17</v>
      </c>
      <c r="I943" s="175">
        <v>1</v>
      </c>
      <c r="J943" s="175" t="s">
        <v>18</v>
      </c>
      <c r="K943" s="175" t="s">
        <v>74</v>
      </c>
      <c r="L943" s="172" t="s">
        <v>75</v>
      </c>
    </row>
    <row r="944" spans="1:12" x14ac:dyDescent="0.2">
      <c r="A944" s="172" t="s">
        <v>72</v>
      </c>
      <c r="B944" s="172" t="s">
        <v>73</v>
      </c>
      <c r="C944" s="172" t="s">
        <v>21</v>
      </c>
      <c r="D944" s="172" t="s">
        <v>15</v>
      </c>
      <c r="E944" s="173">
        <v>42458</v>
      </c>
      <c r="F944" s="174">
        <v>0.97199999999999998</v>
      </c>
      <c r="G944" s="175" t="s">
        <v>16</v>
      </c>
      <c r="H944" s="172" t="s">
        <v>20</v>
      </c>
      <c r="I944" s="175">
        <v>1</v>
      </c>
      <c r="J944" s="175" t="s">
        <v>18</v>
      </c>
      <c r="K944" s="175" t="s">
        <v>74</v>
      </c>
      <c r="L944" s="172" t="s">
        <v>75</v>
      </c>
    </row>
    <row r="945" spans="1:12" x14ac:dyDescent="0.2">
      <c r="A945" s="172" t="s">
        <v>72</v>
      </c>
      <c r="B945" s="172" t="s">
        <v>73</v>
      </c>
      <c r="C945" s="172" t="s">
        <v>21</v>
      </c>
      <c r="D945" s="172" t="s">
        <v>15</v>
      </c>
      <c r="E945" s="173">
        <v>42458</v>
      </c>
      <c r="F945" s="174">
        <v>14.259298299999999</v>
      </c>
      <c r="G945" s="175" t="s">
        <v>19</v>
      </c>
      <c r="H945" s="172" t="s">
        <v>20</v>
      </c>
      <c r="I945" s="175">
        <v>1</v>
      </c>
      <c r="J945" s="175" t="s">
        <v>18</v>
      </c>
      <c r="K945" s="175" t="s">
        <v>74</v>
      </c>
      <c r="L945" s="172" t="s">
        <v>75</v>
      </c>
    </row>
    <row r="946" spans="1:12" x14ac:dyDescent="0.2">
      <c r="A946" s="172" t="s">
        <v>72</v>
      </c>
      <c r="B946" s="172" t="s">
        <v>73</v>
      </c>
      <c r="C946" s="172" t="s">
        <v>21</v>
      </c>
      <c r="D946" s="172" t="s">
        <v>15</v>
      </c>
      <c r="E946" s="173">
        <v>42452</v>
      </c>
      <c r="F946" s="174">
        <v>1.63</v>
      </c>
      <c r="G946" s="175" t="s">
        <v>16</v>
      </c>
      <c r="H946" s="172" t="s">
        <v>17</v>
      </c>
      <c r="I946" s="175">
        <v>1</v>
      </c>
      <c r="J946" s="175" t="s">
        <v>18</v>
      </c>
      <c r="K946" s="175" t="s">
        <v>74</v>
      </c>
      <c r="L946" s="172" t="s">
        <v>75</v>
      </c>
    </row>
    <row r="947" spans="1:12" x14ac:dyDescent="0.2">
      <c r="A947" s="172" t="s">
        <v>72</v>
      </c>
      <c r="B947" s="172" t="s">
        <v>73</v>
      </c>
      <c r="C947" s="172" t="s">
        <v>21</v>
      </c>
      <c r="D947" s="172" t="s">
        <v>15</v>
      </c>
      <c r="E947" s="173">
        <v>42452</v>
      </c>
      <c r="F947" s="174">
        <v>14.233127400000001</v>
      </c>
      <c r="G947" s="175" t="s">
        <v>19</v>
      </c>
      <c r="H947" s="172" t="s">
        <v>17</v>
      </c>
      <c r="I947" s="175">
        <v>1</v>
      </c>
      <c r="J947" s="175" t="s">
        <v>18</v>
      </c>
      <c r="K947" s="175" t="s">
        <v>74</v>
      </c>
      <c r="L947" s="172" t="s">
        <v>75</v>
      </c>
    </row>
    <row r="948" spans="1:12" x14ac:dyDescent="0.2">
      <c r="A948" s="172" t="s">
        <v>72</v>
      </c>
      <c r="B948" s="172" t="s">
        <v>73</v>
      </c>
      <c r="C948" s="172" t="s">
        <v>21</v>
      </c>
      <c r="D948" s="172" t="s">
        <v>15</v>
      </c>
      <c r="E948" s="173">
        <v>42452</v>
      </c>
      <c r="F948" s="174">
        <v>0.999</v>
      </c>
      <c r="G948" s="175" t="s">
        <v>16</v>
      </c>
      <c r="H948" s="172" t="s">
        <v>20</v>
      </c>
      <c r="I948" s="175">
        <v>1</v>
      </c>
      <c r="J948" s="175" t="s">
        <v>18</v>
      </c>
      <c r="K948" s="175" t="s">
        <v>74</v>
      </c>
      <c r="L948" s="172" t="s">
        <v>75</v>
      </c>
    </row>
    <row r="949" spans="1:12" x14ac:dyDescent="0.2">
      <c r="A949" s="172" t="s">
        <v>72</v>
      </c>
      <c r="B949" s="172" t="s">
        <v>73</v>
      </c>
      <c r="C949" s="172" t="s">
        <v>21</v>
      </c>
      <c r="D949" s="172" t="s">
        <v>15</v>
      </c>
      <c r="E949" s="173">
        <v>42452</v>
      </c>
      <c r="F949" s="174">
        <v>10.5312182</v>
      </c>
      <c r="G949" s="175" t="s">
        <v>19</v>
      </c>
      <c r="H949" s="172" t="s">
        <v>20</v>
      </c>
      <c r="I949" s="175">
        <v>1</v>
      </c>
      <c r="J949" s="175" t="s">
        <v>18</v>
      </c>
      <c r="K949" s="175" t="s">
        <v>74</v>
      </c>
      <c r="L949" s="172" t="s">
        <v>75</v>
      </c>
    </row>
    <row r="950" spans="1:12" x14ac:dyDescent="0.2">
      <c r="A950" s="172" t="s">
        <v>72</v>
      </c>
      <c r="B950" s="172" t="s">
        <v>73</v>
      </c>
      <c r="C950" s="172" t="s">
        <v>21</v>
      </c>
      <c r="D950" s="172" t="s">
        <v>15</v>
      </c>
      <c r="E950" s="173">
        <v>42444</v>
      </c>
      <c r="F950" s="174">
        <v>1.94</v>
      </c>
      <c r="G950" s="175" t="s">
        <v>16</v>
      </c>
      <c r="H950" s="172" t="s">
        <v>17</v>
      </c>
      <c r="I950" s="175">
        <v>1</v>
      </c>
      <c r="J950" s="175" t="s">
        <v>18</v>
      </c>
      <c r="K950" s="175" t="s">
        <v>74</v>
      </c>
      <c r="L950" s="172" t="s">
        <v>75</v>
      </c>
    </row>
    <row r="951" spans="1:12" x14ac:dyDescent="0.2">
      <c r="A951" s="172" t="s">
        <v>72</v>
      </c>
      <c r="B951" s="172" t="s">
        <v>73</v>
      </c>
      <c r="C951" s="172" t="s">
        <v>21</v>
      </c>
      <c r="D951" s="172" t="s">
        <v>15</v>
      </c>
      <c r="E951" s="173">
        <v>42444</v>
      </c>
      <c r="F951" s="174">
        <v>15.257362799999999</v>
      </c>
      <c r="G951" s="175" t="s">
        <v>19</v>
      </c>
      <c r="H951" s="172" t="s">
        <v>17</v>
      </c>
      <c r="I951" s="175">
        <v>1</v>
      </c>
      <c r="J951" s="175" t="s">
        <v>18</v>
      </c>
      <c r="K951" s="175" t="s">
        <v>74</v>
      </c>
      <c r="L951" s="172" t="s">
        <v>75</v>
      </c>
    </row>
    <row r="952" spans="1:12" x14ac:dyDescent="0.2">
      <c r="A952" s="172" t="s">
        <v>72</v>
      </c>
      <c r="B952" s="172" t="s">
        <v>73</v>
      </c>
      <c r="C952" s="172" t="s">
        <v>21</v>
      </c>
      <c r="D952" s="172" t="s">
        <v>15</v>
      </c>
      <c r="E952" s="173">
        <v>42444</v>
      </c>
      <c r="F952" s="174">
        <v>1.42</v>
      </c>
      <c r="G952" s="175" t="s">
        <v>16</v>
      </c>
      <c r="H952" s="172" t="s">
        <v>20</v>
      </c>
      <c r="I952" s="175">
        <v>1</v>
      </c>
      <c r="J952" s="175" t="s">
        <v>18</v>
      </c>
      <c r="K952" s="175" t="s">
        <v>74</v>
      </c>
      <c r="L952" s="172" t="s">
        <v>75</v>
      </c>
    </row>
    <row r="953" spans="1:12" x14ac:dyDescent="0.2">
      <c r="A953" s="172" t="s">
        <v>72</v>
      </c>
      <c r="B953" s="172" t="s">
        <v>73</v>
      </c>
      <c r="C953" s="172" t="s">
        <v>21</v>
      </c>
      <c r="D953" s="172" t="s">
        <v>15</v>
      </c>
      <c r="E953" s="173">
        <v>42444</v>
      </c>
      <c r="F953" s="174">
        <v>17.965527600000001</v>
      </c>
      <c r="G953" s="175" t="s">
        <v>19</v>
      </c>
      <c r="H953" s="172" t="s">
        <v>20</v>
      </c>
      <c r="I953" s="175">
        <v>1</v>
      </c>
      <c r="J953" s="175" t="s">
        <v>18</v>
      </c>
      <c r="K953" s="175" t="s">
        <v>74</v>
      </c>
      <c r="L953" s="172" t="s">
        <v>75</v>
      </c>
    </row>
    <row r="954" spans="1:12" x14ac:dyDescent="0.2">
      <c r="A954" s="172" t="s">
        <v>72</v>
      </c>
      <c r="B954" s="172" t="s">
        <v>73</v>
      </c>
      <c r="C954" s="172" t="s">
        <v>21</v>
      </c>
      <c r="D954" s="172" t="s">
        <v>15</v>
      </c>
      <c r="E954" s="173">
        <v>42437</v>
      </c>
      <c r="F954" s="174">
        <v>1.29</v>
      </c>
      <c r="G954" s="175" t="s">
        <v>16</v>
      </c>
      <c r="H954" s="172" t="s">
        <v>17</v>
      </c>
      <c r="I954" s="175">
        <v>1</v>
      </c>
      <c r="J954" s="175" t="s">
        <v>18</v>
      </c>
      <c r="K954" s="175" t="s">
        <v>74</v>
      </c>
      <c r="L954" s="172" t="s">
        <v>75</v>
      </c>
    </row>
    <row r="955" spans="1:12" x14ac:dyDescent="0.2">
      <c r="A955" s="172" t="s">
        <v>72</v>
      </c>
      <c r="B955" s="172" t="s">
        <v>73</v>
      </c>
      <c r="C955" s="172" t="s">
        <v>21</v>
      </c>
      <c r="D955" s="172" t="s">
        <v>15</v>
      </c>
      <c r="E955" s="173">
        <v>42437</v>
      </c>
      <c r="F955" s="174">
        <v>14.072248800000001</v>
      </c>
      <c r="G955" s="175" t="s">
        <v>19</v>
      </c>
      <c r="H955" s="172" t="s">
        <v>17</v>
      </c>
      <c r="I955" s="175">
        <v>1</v>
      </c>
      <c r="J955" s="175" t="s">
        <v>18</v>
      </c>
      <c r="K955" s="175" t="s">
        <v>74</v>
      </c>
      <c r="L955" s="172" t="s">
        <v>75</v>
      </c>
    </row>
    <row r="956" spans="1:12" x14ac:dyDescent="0.2">
      <c r="A956" s="172" t="s">
        <v>72</v>
      </c>
      <c r="B956" s="172" t="s">
        <v>73</v>
      </c>
      <c r="C956" s="172" t="s">
        <v>21</v>
      </c>
      <c r="D956" s="172" t="s">
        <v>15</v>
      </c>
      <c r="E956" s="173">
        <v>42437</v>
      </c>
      <c r="F956" s="174">
        <v>0.97799999999999998</v>
      </c>
      <c r="G956" s="175" t="s">
        <v>16</v>
      </c>
      <c r="H956" s="172" t="s">
        <v>20</v>
      </c>
      <c r="I956" s="175">
        <v>1</v>
      </c>
      <c r="J956" s="175" t="s">
        <v>18</v>
      </c>
      <c r="K956" s="175" t="s">
        <v>74</v>
      </c>
      <c r="L956" s="172" t="s">
        <v>75</v>
      </c>
    </row>
    <row r="957" spans="1:12" x14ac:dyDescent="0.2">
      <c r="A957" s="172" t="s">
        <v>72</v>
      </c>
      <c r="B957" s="172" t="s">
        <v>73</v>
      </c>
      <c r="C957" s="172" t="s">
        <v>21</v>
      </c>
      <c r="D957" s="172" t="s">
        <v>15</v>
      </c>
      <c r="E957" s="173">
        <v>42437</v>
      </c>
      <c r="F957" s="174">
        <v>12.724171200000001</v>
      </c>
      <c r="G957" s="175" t="s">
        <v>19</v>
      </c>
      <c r="H957" s="172" t="s">
        <v>20</v>
      </c>
      <c r="I957" s="175">
        <v>1</v>
      </c>
      <c r="J957" s="175" t="s">
        <v>18</v>
      </c>
      <c r="K957" s="175" t="s">
        <v>74</v>
      </c>
      <c r="L957" s="172" t="s">
        <v>75</v>
      </c>
    </row>
    <row r="958" spans="1:12" x14ac:dyDescent="0.2">
      <c r="A958" s="172" t="s">
        <v>72</v>
      </c>
      <c r="B958" s="172" t="s">
        <v>73</v>
      </c>
      <c r="C958" s="172" t="s">
        <v>21</v>
      </c>
      <c r="D958" s="172" t="s">
        <v>15</v>
      </c>
      <c r="E958" s="173">
        <v>42430</v>
      </c>
      <c r="F958" s="174">
        <v>1.1399999999999999</v>
      </c>
      <c r="G958" s="175" t="s">
        <v>16</v>
      </c>
      <c r="H958" s="172" t="s">
        <v>17</v>
      </c>
      <c r="I958" s="175">
        <v>1</v>
      </c>
      <c r="J958" s="175" t="s">
        <v>18</v>
      </c>
      <c r="K958" s="175" t="s">
        <v>74</v>
      </c>
      <c r="L958" s="172" t="s">
        <v>75</v>
      </c>
    </row>
    <row r="959" spans="1:12" x14ac:dyDescent="0.2">
      <c r="A959" s="172" t="s">
        <v>72</v>
      </c>
      <c r="B959" s="172" t="s">
        <v>73</v>
      </c>
      <c r="C959" s="172" t="s">
        <v>21</v>
      </c>
      <c r="D959" s="172" t="s">
        <v>15</v>
      </c>
      <c r="E959" s="173">
        <v>42430</v>
      </c>
      <c r="F959" s="174">
        <v>13.9191264</v>
      </c>
      <c r="G959" s="175" t="s">
        <v>19</v>
      </c>
      <c r="H959" s="172" t="s">
        <v>17</v>
      </c>
      <c r="I959" s="175">
        <v>1</v>
      </c>
      <c r="J959" s="175" t="s">
        <v>18</v>
      </c>
      <c r="K959" s="175" t="s">
        <v>74</v>
      </c>
      <c r="L959" s="172" t="s">
        <v>75</v>
      </c>
    </row>
    <row r="960" spans="1:12" x14ac:dyDescent="0.2">
      <c r="A960" s="172" t="s">
        <v>72</v>
      </c>
      <c r="B960" s="172" t="s">
        <v>73</v>
      </c>
      <c r="C960" s="172" t="s">
        <v>21</v>
      </c>
      <c r="D960" s="172" t="s">
        <v>15</v>
      </c>
      <c r="E960" s="173">
        <v>42430</v>
      </c>
      <c r="F960" s="174">
        <v>0.83299999999999996</v>
      </c>
      <c r="G960" s="175" t="s">
        <v>16</v>
      </c>
      <c r="H960" s="172" t="s">
        <v>20</v>
      </c>
      <c r="I960" s="175">
        <v>1</v>
      </c>
      <c r="J960" s="175" t="s">
        <v>18</v>
      </c>
      <c r="K960" s="175" t="s">
        <v>74</v>
      </c>
      <c r="L960" s="172" t="s">
        <v>75</v>
      </c>
    </row>
    <row r="961" spans="1:12" x14ac:dyDescent="0.2">
      <c r="A961" s="172" t="s">
        <v>72</v>
      </c>
      <c r="B961" s="172" t="s">
        <v>73</v>
      </c>
      <c r="C961" s="172" t="s">
        <v>21</v>
      </c>
      <c r="D961" s="172" t="s">
        <v>15</v>
      </c>
      <c r="E961" s="173">
        <v>42430</v>
      </c>
      <c r="F961" s="174">
        <v>11.761643400000001</v>
      </c>
      <c r="G961" s="175" t="s">
        <v>19</v>
      </c>
      <c r="H961" s="172" t="s">
        <v>20</v>
      </c>
      <c r="I961" s="175">
        <v>1</v>
      </c>
      <c r="J961" s="175" t="s">
        <v>18</v>
      </c>
      <c r="K961" s="175" t="s">
        <v>74</v>
      </c>
      <c r="L961" s="172" t="s">
        <v>75</v>
      </c>
    </row>
    <row r="962" spans="1:12" x14ac:dyDescent="0.2">
      <c r="A962" s="172" t="s">
        <v>72</v>
      </c>
      <c r="B962" s="172" t="s">
        <v>73</v>
      </c>
      <c r="C962" s="172" t="s">
        <v>21</v>
      </c>
      <c r="D962" s="172" t="s">
        <v>15</v>
      </c>
      <c r="E962" s="173">
        <v>42423</v>
      </c>
      <c r="F962" s="174">
        <v>1</v>
      </c>
      <c r="G962" s="175" t="s">
        <v>16</v>
      </c>
      <c r="H962" s="172" t="s">
        <v>17</v>
      </c>
      <c r="I962" s="175">
        <v>1</v>
      </c>
      <c r="J962" s="175" t="s">
        <v>18</v>
      </c>
      <c r="K962" s="175" t="s">
        <v>74</v>
      </c>
      <c r="L962" s="172" t="s">
        <v>75</v>
      </c>
    </row>
    <row r="963" spans="1:12" x14ac:dyDescent="0.2">
      <c r="A963" s="172" t="s">
        <v>72</v>
      </c>
      <c r="B963" s="172" t="s">
        <v>73</v>
      </c>
      <c r="C963" s="172" t="s">
        <v>21</v>
      </c>
      <c r="D963" s="172" t="s">
        <v>15</v>
      </c>
      <c r="E963" s="173">
        <v>42423</v>
      </c>
      <c r="F963" s="174">
        <v>15.57912</v>
      </c>
      <c r="G963" s="175" t="s">
        <v>19</v>
      </c>
      <c r="H963" s="172" t="s">
        <v>17</v>
      </c>
      <c r="I963" s="175">
        <v>1</v>
      </c>
      <c r="J963" s="175" t="s">
        <v>18</v>
      </c>
      <c r="K963" s="175" t="s">
        <v>74</v>
      </c>
      <c r="L963" s="172" t="s">
        <v>75</v>
      </c>
    </row>
    <row r="964" spans="1:12" x14ac:dyDescent="0.2">
      <c r="A964" s="172" t="s">
        <v>72</v>
      </c>
      <c r="B964" s="172" t="s">
        <v>73</v>
      </c>
      <c r="C964" s="172" t="s">
        <v>21</v>
      </c>
      <c r="D964" s="172" t="s">
        <v>15</v>
      </c>
      <c r="E964" s="173">
        <v>42423</v>
      </c>
      <c r="F964" s="174">
        <v>0.73299999999999998</v>
      </c>
      <c r="G964" s="175" t="s">
        <v>16</v>
      </c>
      <c r="H964" s="172" t="s">
        <v>20</v>
      </c>
      <c r="I964" s="175">
        <v>1</v>
      </c>
      <c r="J964" s="175" t="s">
        <v>18</v>
      </c>
      <c r="K964" s="175" t="s">
        <v>74</v>
      </c>
      <c r="L964" s="172" t="s">
        <v>75</v>
      </c>
    </row>
    <row r="965" spans="1:12" x14ac:dyDescent="0.2">
      <c r="A965" s="172" t="s">
        <v>72</v>
      </c>
      <c r="B965" s="172" t="s">
        <v>73</v>
      </c>
      <c r="C965" s="172" t="s">
        <v>21</v>
      </c>
      <c r="D965" s="172" t="s">
        <v>15</v>
      </c>
      <c r="E965" s="173">
        <v>42423</v>
      </c>
      <c r="F965" s="174">
        <v>12.1530813</v>
      </c>
      <c r="G965" s="175" t="s">
        <v>19</v>
      </c>
      <c r="H965" s="172" t="s">
        <v>20</v>
      </c>
      <c r="I965" s="175">
        <v>1</v>
      </c>
      <c r="J965" s="175" t="s">
        <v>18</v>
      </c>
      <c r="K965" s="175" t="s">
        <v>74</v>
      </c>
      <c r="L965" s="172" t="s">
        <v>75</v>
      </c>
    </row>
    <row r="966" spans="1:12" x14ac:dyDescent="0.2">
      <c r="A966" s="172" t="s">
        <v>72</v>
      </c>
      <c r="B966" s="172" t="s">
        <v>73</v>
      </c>
      <c r="C966" s="172" t="s">
        <v>21</v>
      </c>
      <c r="D966" s="172" t="s">
        <v>15</v>
      </c>
      <c r="E966" s="173">
        <v>42416</v>
      </c>
      <c r="F966" s="174">
        <v>2.2799999999999998</v>
      </c>
      <c r="G966" s="175" t="s">
        <v>16</v>
      </c>
      <c r="H966" s="172" t="s">
        <v>17</v>
      </c>
      <c r="I966" s="175">
        <v>1</v>
      </c>
      <c r="J966" s="175" t="s">
        <v>18</v>
      </c>
      <c r="K966" s="175" t="s">
        <v>74</v>
      </c>
      <c r="L966" s="172" t="s">
        <v>75</v>
      </c>
    </row>
    <row r="967" spans="1:12" x14ac:dyDescent="0.2">
      <c r="A967" s="172" t="s">
        <v>72</v>
      </c>
      <c r="B967" s="172" t="s">
        <v>73</v>
      </c>
      <c r="C967" s="172" t="s">
        <v>21</v>
      </c>
      <c r="D967" s="172" t="s">
        <v>15</v>
      </c>
      <c r="E967" s="173">
        <v>42416</v>
      </c>
      <c r="F967" s="174">
        <v>13.044427199999999</v>
      </c>
      <c r="G967" s="175" t="s">
        <v>19</v>
      </c>
      <c r="H967" s="172" t="s">
        <v>17</v>
      </c>
      <c r="I967" s="175">
        <v>1</v>
      </c>
      <c r="J967" s="175" t="s">
        <v>18</v>
      </c>
      <c r="K967" s="175" t="s">
        <v>74</v>
      </c>
      <c r="L967" s="172" t="s">
        <v>75</v>
      </c>
    </row>
    <row r="968" spans="1:12" x14ac:dyDescent="0.2">
      <c r="A968" s="172" t="s">
        <v>72</v>
      </c>
      <c r="B968" s="172" t="s">
        <v>73</v>
      </c>
      <c r="C968" s="172" t="s">
        <v>21</v>
      </c>
      <c r="D968" s="172" t="s">
        <v>15</v>
      </c>
      <c r="E968" s="173">
        <v>42416</v>
      </c>
      <c r="F968" s="174">
        <v>1.43</v>
      </c>
      <c r="G968" s="175" t="s">
        <v>16</v>
      </c>
      <c r="H968" s="172" t="s">
        <v>20</v>
      </c>
      <c r="I968" s="175">
        <v>1</v>
      </c>
      <c r="J968" s="175" t="s">
        <v>18</v>
      </c>
      <c r="K968" s="175" t="s">
        <v>74</v>
      </c>
      <c r="L968" s="172" t="s">
        <v>75</v>
      </c>
    </row>
    <row r="969" spans="1:12" x14ac:dyDescent="0.2">
      <c r="A969" s="172" t="s">
        <v>72</v>
      </c>
      <c r="B969" s="172" t="s">
        <v>73</v>
      </c>
      <c r="C969" s="172" t="s">
        <v>21</v>
      </c>
      <c r="D969" s="172" t="s">
        <v>15</v>
      </c>
      <c r="E969" s="173">
        <v>42416</v>
      </c>
      <c r="F969" s="174">
        <v>10.7693586</v>
      </c>
      <c r="G969" s="175" t="s">
        <v>19</v>
      </c>
      <c r="H969" s="172" t="s">
        <v>20</v>
      </c>
      <c r="I969" s="175">
        <v>1</v>
      </c>
      <c r="J969" s="175" t="s">
        <v>18</v>
      </c>
      <c r="K969" s="175" t="s">
        <v>74</v>
      </c>
      <c r="L969" s="172" t="s">
        <v>75</v>
      </c>
    </row>
    <row r="970" spans="1:12" x14ac:dyDescent="0.2">
      <c r="A970" s="172" t="s">
        <v>72</v>
      </c>
      <c r="B970" s="172" t="s">
        <v>73</v>
      </c>
      <c r="C970" s="172" t="s">
        <v>21</v>
      </c>
      <c r="D970" s="172" t="s">
        <v>15</v>
      </c>
      <c r="E970" s="173">
        <v>42410</v>
      </c>
      <c r="F970" s="174">
        <v>1.8</v>
      </c>
      <c r="G970" s="175" t="s">
        <v>16</v>
      </c>
      <c r="H970" s="172" t="s">
        <v>17</v>
      </c>
      <c r="I970" s="175">
        <v>1</v>
      </c>
      <c r="J970" s="175" t="s">
        <v>18</v>
      </c>
      <c r="K970" s="175" t="s">
        <v>74</v>
      </c>
      <c r="L970" s="172" t="s">
        <v>75</v>
      </c>
    </row>
    <row r="971" spans="1:12" x14ac:dyDescent="0.2">
      <c r="A971" s="172" t="s">
        <v>72</v>
      </c>
      <c r="B971" s="172" t="s">
        <v>73</v>
      </c>
      <c r="C971" s="172" t="s">
        <v>21</v>
      </c>
      <c r="D971" s="172" t="s">
        <v>15</v>
      </c>
      <c r="E971" s="173">
        <v>42410</v>
      </c>
      <c r="F971" s="174">
        <v>10.95876</v>
      </c>
      <c r="G971" s="175" t="s">
        <v>19</v>
      </c>
      <c r="H971" s="172" t="s">
        <v>17</v>
      </c>
      <c r="I971" s="175">
        <v>1</v>
      </c>
      <c r="J971" s="175" t="s">
        <v>18</v>
      </c>
      <c r="K971" s="175" t="s">
        <v>74</v>
      </c>
      <c r="L971" s="172" t="s">
        <v>75</v>
      </c>
    </row>
    <row r="972" spans="1:12" x14ac:dyDescent="0.2">
      <c r="A972" s="172" t="s">
        <v>72</v>
      </c>
      <c r="B972" s="172" t="s">
        <v>73</v>
      </c>
      <c r="C972" s="172" t="s">
        <v>21</v>
      </c>
      <c r="D972" s="172" t="s">
        <v>15</v>
      </c>
      <c r="E972" s="173">
        <v>42410</v>
      </c>
      <c r="F972" s="174">
        <v>1.0900000000000001</v>
      </c>
      <c r="G972" s="175" t="s">
        <v>16</v>
      </c>
      <c r="H972" s="172" t="s">
        <v>20</v>
      </c>
      <c r="I972" s="175">
        <v>1</v>
      </c>
      <c r="J972" s="175" t="s">
        <v>18</v>
      </c>
      <c r="K972" s="175" t="s">
        <v>74</v>
      </c>
      <c r="L972" s="172" t="s">
        <v>75</v>
      </c>
    </row>
    <row r="973" spans="1:12" x14ac:dyDescent="0.2">
      <c r="A973" s="172" t="s">
        <v>72</v>
      </c>
      <c r="B973" s="172" t="s">
        <v>73</v>
      </c>
      <c r="C973" s="172" t="s">
        <v>21</v>
      </c>
      <c r="D973" s="172" t="s">
        <v>15</v>
      </c>
      <c r="E973" s="173">
        <v>42410</v>
      </c>
      <c r="F973" s="174">
        <v>8.3451708</v>
      </c>
      <c r="G973" s="175" t="s">
        <v>19</v>
      </c>
      <c r="H973" s="172" t="s">
        <v>20</v>
      </c>
      <c r="I973" s="175">
        <v>1</v>
      </c>
      <c r="J973" s="175" t="s">
        <v>18</v>
      </c>
      <c r="K973" s="175" t="s">
        <v>74</v>
      </c>
      <c r="L973" s="172" t="s">
        <v>75</v>
      </c>
    </row>
    <row r="974" spans="1:12" x14ac:dyDescent="0.2">
      <c r="A974" s="172" t="s">
        <v>72</v>
      </c>
      <c r="B974" s="172" t="s">
        <v>73</v>
      </c>
      <c r="C974" s="172" t="s">
        <v>21</v>
      </c>
      <c r="D974" s="172" t="s">
        <v>15</v>
      </c>
      <c r="E974" s="173">
        <v>42404</v>
      </c>
      <c r="F974" s="174">
        <v>1.83</v>
      </c>
      <c r="G974" s="175" t="s">
        <v>16</v>
      </c>
      <c r="H974" s="172" t="s">
        <v>17</v>
      </c>
      <c r="I974" s="175">
        <v>1</v>
      </c>
      <c r="J974" s="175" t="s">
        <v>18</v>
      </c>
      <c r="K974" s="175" t="s">
        <v>74</v>
      </c>
      <c r="L974" s="172" t="s">
        <v>75</v>
      </c>
    </row>
    <row r="975" spans="1:12" x14ac:dyDescent="0.2">
      <c r="A975" s="172" t="s">
        <v>72</v>
      </c>
      <c r="B975" s="172" t="s">
        <v>73</v>
      </c>
      <c r="C975" s="172" t="s">
        <v>21</v>
      </c>
      <c r="D975" s="172" t="s">
        <v>15</v>
      </c>
      <c r="E975" s="173">
        <v>42404</v>
      </c>
      <c r="F975" s="174">
        <v>11.9350404</v>
      </c>
      <c r="G975" s="175" t="s">
        <v>19</v>
      </c>
      <c r="H975" s="172" t="s">
        <v>17</v>
      </c>
      <c r="I975" s="175">
        <v>1</v>
      </c>
      <c r="J975" s="175" t="s">
        <v>18</v>
      </c>
      <c r="K975" s="175" t="s">
        <v>74</v>
      </c>
      <c r="L975" s="172" t="s">
        <v>75</v>
      </c>
    </row>
    <row r="976" spans="1:12" x14ac:dyDescent="0.2">
      <c r="A976" s="172" t="s">
        <v>72</v>
      </c>
      <c r="B976" s="172" t="s">
        <v>73</v>
      </c>
      <c r="C976" s="172" t="s">
        <v>21</v>
      </c>
      <c r="D976" s="172" t="s">
        <v>15</v>
      </c>
      <c r="E976" s="173">
        <v>42404</v>
      </c>
      <c r="F976" s="174">
        <v>1.18</v>
      </c>
      <c r="G976" s="175" t="s">
        <v>16</v>
      </c>
      <c r="H976" s="172" t="s">
        <v>20</v>
      </c>
      <c r="I976" s="175">
        <v>1</v>
      </c>
      <c r="J976" s="175" t="s">
        <v>18</v>
      </c>
      <c r="K976" s="175" t="s">
        <v>74</v>
      </c>
      <c r="L976" s="172" t="s">
        <v>75</v>
      </c>
    </row>
    <row r="977" spans="1:12" x14ac:dyDescent="0.2">
      <c r="A977" s="172" t="s">
        <v>72</v>
      </c>
      <c r="B977" s="172" t="s">
        <v>73</v>
      </c>
      <c r="C977" s="172" t="s">
        <v>21</v>
      </c>
      <c r="D977" s="172" t="s">
        <v>15</v>
      </c>
      <c r="E977" s="173">
        <v>42404</v>
      </c>
      <c r="F977" s="174">
        <v>9.6837408000000007</v>
      </c>
      <c r="G977" s="175" t="s">
        <v>19</v>
      </c>
      <c r="H977" s="172" t="s">
        <v>20</v>
      </c>
      <c r="I977" s="175">
        <v>1</v>
      </c>
      <c r="J977" s="175" t="s">
        <v>18</v>
      </c>
      <c r="K977" s="175" t="s">
        <v>74</v>
      </c>
      <c r="L977" s="172" t="s">
        <v>75</v>
      </c>
    </row>
    <row r="978" spans="1:12" x14ac:dyDescent="0.2">
      <c r="A978" s="172" t="s">
        <v>72</v>
      </c>
      <c r="B978" s="172" t="s">
        <v>73</v>
      </c>
      <c r="C978" s="172" t="s">
        <v>21</v>
      </c>
      <c r="D978" s="172" t="s">
        <v>15</v>
      </c>
      <c r="E978" s="173">
        <v>42396</v>
      </c>
      <c r="F978" s="174">
        <v>1.77</v>
      </c>
      <c r="G978" s="175" t="s">
        <v>16</v>
      </c>
      <c r="H978" s="172" t="s">
        <v>17</v>
      </c>
      <c r="I978" s="175">
        <v>1</v>
      </c>
      <c r="J978" s="175" t="s">
        <v>18</v>
      </c>
      <c r="K978" s="175" t="s">
        <v>74</v>
      </c>
      <c r="L978" s="172" t="s">
        <v>75</v>
      </c>
    </row>
    <row r="979" spans="1:12" x14ac:dyDescent="0.2">
      <c r="A979" s="172" t="s">
        <v>72</v>
      </c>
      <c r="B979" s="172" t="s">
        <v>73</v>
      </c>
      <c r="C979" s="172" t="s">
        <v>21</v>
      </c>
      <c r="D979" s="172" t="s">
        <v>15</v>
      </c>
      <c r="E979" s="173">
        <v>42396</v>
      </c>
      <c r="F979" s="174">
        <v>10.1413566</v>
      </c>
      <c r="G979" s="175" t="s">
        <v>19</v>
      </c>
      <c r="H979" s="172" t="s">
        <v>17</v>
      </c>
      <c r="I979" s="175">
        <v>1</v>
      </c>
      <c r="J979" s="175" t="s">
        <v>18</v>
      </c>
      <c r="K979" s="175" t="s">
        <v>74</v>
      </c>
      <c r="L979" s="172" t="s">
        <v>75</v>
      </c>
    </row>
    <row r="980" spans="1:12" x14ac:dyDescent="0.2">
      <c r="A980" s="172" t="s">
        <v>72</v>
      </c>
      <c r="B980" s="172" t="s">
        <v>73</v>
      </c>
      <c r="C980" s="172" t="s">
        <v>21</v>
      </c>
      <c r="D980" s="172" t="s">
        <v>15</v>
      </c>
      <c r="E980" s="173">
        <v>42396</v>
      </c>
      <c r="F980" s="174">
        <v>1.26</v>
      </c>
      <c r="G980" s="175" t="s">
        <v>16</v>
      </c>
      <c r="H980" s="172" t="s">
        <v>20</v>
      </c>
      <c r="I980" s="175">
        <v>1</v>
      </c>
      <c r="J980" s="175" t="s">
        <v>18</v>
      </c>
      <c r="K980" s="175" t="s">
        <v>74</v>
      </c>
      <c r="L980" s="172" t="s">
        <v>75</v>
      </c>
    </row>
    <row r="981" spans="1:12" x14ac:dyDescent="0.2">
      <c r="A981" s="172" t="s">
        <v>72</v>
      </c>
      <c r="B981" s="172" t="s">
        <v>73</v>
      </c>
      <c r="C981" s="172" t="s">
        <v>21</v>
      </c>
      <c r="D981" s="172" t="s">
        <v>15</v>
      </c>
      <c r="E981" s="173">
        <v>42396</v>
      </c>
      <c r="F981" s="174">
        <v>9.3104423999999995</v>
      </c>
      <c r="G981" s="175" t="s">
        <v>19</v>
      </c>
      <c r="H981" s="172" t="s">
        <v>20</v>
      </c>
      <c r="I981" s="175">
        <v>1</v>
      </c>
      <c r="J981" s="175" t="s">
        <v>18</v>
      </c>
      <c r="K981" s="175" t="s">
        <v>74</v>
      </c>
      <c r="L981" s="172" t="s">
        <v>75</v>
      </c>
    </row>
    <row r="982" spans="1:12" x14ac:dyDescent="0.2">
      <c r="A982" s="172" t="s">
        <v>72</v>
      </c>
      <c r="B982" s="172" t="s">
        <v>73</v>
      </c>
      <c r="C982" s="172" t="s">
        <v>21</v>
      </c>
      <c r="D982" s="172" t="s">
        <v>15</v>
      </c>
      <c r="E982" s="173">
        <v>42388</v>
      </c>
      <c r="F982" s="174">
        <v>1.66</v>
      </c>
      <c r="G982" s="175" t="s">
        <v>16</v>
      </c>
      <c r="H982" s="172" t="s">
        <v>17</v>
      </c>
      <c r="I982" s="175">
        <v>1</v>
      </c>
      <c r="J982" s="175" t="s">
        <v>18</v>
      </c>
      <c r="K982" s="175" t="s">
        <v>74</v>
      </c>
      <c r="L982" s="172" t="s">
        <v>75</v>
      </c>
    </row>
    <row r="983" spans="1:12" x14ac:dyDescent="0.2">
      <c r="A983" s="172" t="s">
        <v>72</v>
      </c>
      <c r="B983" s="172" t="s">
        <v>73</v>
      </c>
      <c r="C983" s="172" t="s">
        <v>21</v>
      </c>
      <c r="D983" s="172" t="s">
        <v>15</v>
      </c>
      <c r="E983" s="173">
        <v>42388</v>
      </c>
      <c r="F983" s="174">
        <v>11.490852</v>
      </c>
      <c r="G983" s="175" t="s">
        <v>19</v>
      </c>
      <c r="H983" s="172" t="s">
        <v>17</v>
      </c>
      <c r="I983" s="175">
        <v>1</v>
      </c>
      <c r="J983" s="175" t="s">
        <v>18</v>
      </c>
      <c r="K983" s="175" t="s">
        <v>74</v>
      </c>
      <c r="L983" s="172" t="s">
        <v>75</v>
      </c>
    </row>
    <row r="984" spans="1:12" x14ac:dyDescent="0.2">
      <c r="A984" s="172" t="s">
        <v>72</v>
      </c>
      <c r="B984" s="172" t="s">
        <v>73</v>
      </c>
      <c r="C984" s="172" t="s">
        <v>21</v>
      </c>
      <c r="D984" s="172" t="s">
        <v>15</v>
      </c>
      <c r="E984" s="173">
        <v>42388</v>
      </c>
      <c r="F984" s="174">
        <v>0.98</v>
      </c>
      <c r="G984" s="175" t="s">
        <v>16</v>
      </c>
      <c r="H984" s="172" t="s">
        <v>20</v>
      </c>
      <c r="I984" s="175">
        <v>1</v>
      </c>
      <c r="J984" s="175" t="s">
        <v>18</v>
      </c>
      <c r="K984" s="175" t="s">
        <v>74</v>
      </c>
      <c r="L984" s="172" t="s">
        <v>75</v>
      </c>
    </row>
    <row r="985" spans="1:12" x14ac:dyDescent="0.2">
      <c r="A985" s="172" t="s">
        <v>72</v>
      </c>
      <c r="B985" s="172" t="s">
        <v>73</v>
      </c>
      <c r="C985" s="172" t="s">
        <v>21</v>
      </c>
      <c r="D985" s="172" t="s">
        <v>15</v>
      </c>
      <c r="E985" s="173">
        <v>42388</v>
      </c>
      <c r="F985" s="174">
        <v>8.4756084000000005</v>
      </c>
      <c r="G985" s="175" t="s">
        <v>19</v>
      </c>
      <c r="H985" s="172" t="s">
        <v>20</v>
      </c>
      <c r="I985" s="175">
        <v>1</v>
      </c>
      <c r="J985" s="175" t="s">
        <v>18</v>
      </c>
      <c r="K985" s="175" t="s">
        <v>74</v>
      </c>
      <c r="L985" s="172" t="s">
        <v>75</v>
      </c>
    </row>
    <row r="986" spans="1:12" x14ac:dyDescent="0.2">
      <c r="A986" s="172" t="s">
        <v>72</v>
      </c>
      <c r="B986" s="172" t="s">
        <v>73</v>
      </c>
      <c r="C986" s="172" t="s">
        <v>21</v>
      </c>
      <c r="D986" s="172" t="s">
        <v>15</v>
      </c>
      <c r="E986" s="173">
        <v>42382</v>
      </c>
      <c r="F986" s="174">
        <v>1.97</v>
      </c>
      <c r="G986" s="175" t="s">
        <v>16</v>
      </c>
      <c r="H986" s="172" t="s">
        <v>17</v>
      </c>
      <c r="I986" s="175">
        <v>1</v>
      </c>
      <c r="J986" s="175" t="s">
        <v>18</v>
      </c>
      <c r="K986" s="175" t="s">
        <v>74</v>
      </c>
      <c r="L986" s="172" t="s">
        <v>75</v>
      </c>
    </row>
    <row r="987" spans="1:12" x14ac:dyDescent="0.2">
      <c r="A987" s="172" t="s">
        <v>72</v>
      </c>
      <c r="B987" s="172" t="s">
        <v>73</v>
      </c>
      <c r="C987" s="172" t="s">
        <v>21</v>
      </c>
      <c r="D987" s="172" t="s">
        <v>15</v>
      </c>
      <c r="E987" s="173">
        <v>42382</v>
      </c>
      <c r="F987" s="174">
        <v>16.626957600000001</v>
      </c>
      <c r="G987" s="175" t="s">
        <v>19</v>
      </c>
      <c r="H987" s="172" t="s">
        <v>17</v>
      </c>
      <c r="I987" s="175">
        <v>1</v>
      </c>
      <c r="J987" s="175" t="s">
        <v>18</v>
      </c>
      <c r="K987" s="175" t="s">
        <v>74</v>
      </c>
      <c r="L987" s="172" t="s">
        <v>75</v>
      </c>
    </row>
    <row r="988" spans="1:12" x14ac:dyDescent="0.2">
      <c r="A988" s="172" t="s">
        <v>72</v>
      </c>
      <c r="B988" s="172" t="s">
        <v>73</v>
      </c>
      <c r="C988" s="172" t="s">
        <v>21</v>
      </c>
      <c r="D988" s="172" t="s">
        <v>15</v>
      </c>
      <c r="E988" s="173">
        <v>42382</v>
      </c>
      <c r="F988" s="174">
        <v>1.04</v>
      </c>
      <c r="G988" s="175" t="s">
        <v>16</v>
      </c>
      <c r="H988" s="172" t="s">
        <v>20</v>
      </c>
      <c r="I988" s="175">
        <v>1</v>
      </c>
      <c r="J988" s="175" t="s">
        <v>18</v>
      </c>
      <c r="K988" s="175" t="s">
        <v>74</v>
      </c>
      <c r="L988" s="172" t="s">
        <v>75</v>
      </c>
    </row>
    <row r="989" spans="1:12" x14ac:dyDescent="0.2">
      <c r="A989" s="172" t="s">
        <v>72</v>
      </c>
      <c r="B989" s="172" t="s">
        <v>73</v>
      </c>
      <c r="C989" s="172" t="s">
        <v>21</v>
      </c>
      <c r="D989" s="172" t="s">
        <v>15</v>
      </c>
      <c r="E989" s="173">
        <v>42382</v>
      </c>
      <c r="F989" s="174">
        <v>10.4169936</v>
      </c>
      <c r="G989" s="175" t="s">
        <v>19</v>
      </c>
      <c r="H989" s="172" t="s">
        <v>20</v>
      </c>
      <c r="I989" s="175">
        <v>1</v>
      </c>
      <c r="J989" s="175" t="s">
        <v>18</v>
      </c>
      <c r="K989" s="175" t="s">
        <v>74</v>
      </c>
      <c r="L989" s="172" t="s">
        <v>75</v>
      </c>
    </row>
    <row r="990" spans="1:12" x14ac:dyDescent="0.2">
      <c r="A990" s="172" t="s">
        <v>72</v>
      </c>
      <c r="B990" s="172" t="s">
        <v>73</v>
      </c>
      <c r="C990" s="172" t="s">
        <v>21</v>
      </c>
      <c r="D990" s="172" t="s">
        <v>15</v>
      </c>
      <c r="E990" s="173">
        <v>42375</v>
      </c>
      <c r="F990" s="174">
        <v>1.56</v>
      </c>
      <c r="G990" s="175" t="s">
        <v>16</v>
      </c>
      <c r="H990" s="172" t="s">
        <v>17</v>
      </c>
      <c r="I990" s="175">
        <v>1</v>
      </c>
      <c r="J990" s="175" t="s">
        <v>18</v>
      </c>
      <c r="K990" s="175" t="s">
        <v>74</v>
      </c>
      <c r="L990" s="172" t="s">
        <v>75</v>
      </c>
    </row>
    <row r="991" spans="1:12" x14ac:dyDescent="0.2">
      <c r="A991" s="172" t="s">
        <v>72</v>
      </c>
      <c r="B991" s="172" t="s">
        <v>73</v>
      </c>
      <c r="C991" s="172" t="s">
        <v>21</v>
      </c>
      <c r="D991" s="172" t="s">
        <v>15</v>
      </c>
      <c r="E991" s="173">
        <v>42375</v>
      </c>
      <c r="F991" s="174">
        <v>13.4267328</v>
      </c>
      <c r="G991" s="175" t="s">
        <v>19</v>
      </c>
      <c r="H991" s="172" t="s">
        <v>17</v>
      </c>
      <c r="I991" s="175">
        <v>1</v>
      </c>
      <c r="J991" s="175" t="s">
        <v>18</v>
      </c>
      <c r="K991" s="175" t="s">
        <v>74</v>
      </c>
      <c r="L991" s="172" t="s">
        <v>75</v>
      </c>
    </row>
    <row r="992" spans="1:12" x14ac:dyDescent="0.2">
      <c r="A992" s="172" t="s">
        <v>72</v>
      </c>
      <c r="B992" s="172" t="s">
        <v>73</v>
      </c>
      <c r="C992" s="172" t="s">
        <v>21</v>
      </c>
      <c r="D992" s="172" t="s">
        <v>15</v>
      </c>
      <c r="E992" s="173">
        <v>42375</v>
      </c>
      <c r="F992" s="174">
        <v>1.02</v>
      </c>
      <c r="G992" s="175" t="s">
        <v>16</v>
      </c>
      <c r="H992" s="172" t="s">
        <v>20</v>
      </c>
      <c r="I992" s="175">
        <v>1</v>
      </c>
      <c r="J992" s="175" t="s">
        <v>18</v>
      </c>
      <c r="K992" s="175" t="s">
        <v>74</v>
      </c>
      <c r="L992" s="172" t="s">
        <v>75</v>
      </c>
    </row>
    <row r="993" spans="1:12" x14ac:dyDescent="0.2">
      <c r="A993" s="172" t="s">
        <v>72</v>
      </c>
      <c r="B993" s="172" t="s">
        <v>73</v>
      </c>
      <c r="C993" s="172" t="s">
        <v>21</v>
      </c>
      <c r="D993" s="172" t="s">
        <v>15</v>
      </c>
      <c r="E993" s="173">
        <v>42375</v>
      </c>
      <c r="F993" s="174">
        <v>10.250693999999999</v>
      </c>
      <c r="G993" s="175" t="s">
        <v>19</v>
      </c>
      <c r="H993" s="172" t="s">
        <v>20</v>
      </c>
      <c r="I993" s="175">
        <v>1</v>
      </c>
      <c r="J993" s="175" t="s">
        <v>18</v>
      </c>
      <c r="K993" s="175" t="s">
        <v>74</v>
      </c>
      <c r="L993" s="172" t="s">
        <v>75</v>
      </c>
    </row>
    <row r="994" spans="1:12" x14ac:dyDescent="0.2">
      <c r="A994" s="172" t="s">
        <v>72</v>
      </c>
      <c r="B994" s="172" t="s">
        <v>73</v>
      </c>
      <c r="C994" s="172" t="s">
        <v>21</v>
      </c>
      <c r="D994" s="172" t="s">
        <v>15</v>
      </c>
      <c r="E994" s="173">
        <v>42331</v>
      </c>
      <c r="F994" s="174">
        <v>2.27</v>
      </c>
      <c r="G994" s="175" t="s">
        <v>16</v>
      </c>
      <c r="H994" s="172" t="s">
        <v>17</v>
      </c>
      <c r="I994" s="175">
        <v>1</v>
      </c>
      <c r="J994" s="175" t="s">
        <v>18</v>
      </c>
      <c r="K994" s="175" t="s">
        <v>74</v>
      </c>
      <c r="L994" s="172" t="s">
        <v>75</v>
      </c>
    </row>
    <row r="995" spans="1:12" x14ac:dyDescent="0.2">
      <c r="A995" s="172" t="s">
        <v>72</v>
      </c>
      <c r="B995" s="172" t="s">
        <v>73</v>
      </c>
      <c r="C995" s="172" t="s">
        <v>21</v>
      </c>
      <c r="D995" s="172" t="s">
        <v>15</v>
      </c>
      <c r="E995" s="173">
        <v>42331</v>
      </c>
      <c r="F995" s="174">
        <v>11.6809206</v>
      </c>
      <c r="G995" s="175" t="s">
        <v>19</v>
      </c>
      <c r="H995" s="172" t="s">
        <v>17</v>
      </c>
      <c r="I995" s="175">
        <v>1</v>
      </c>
      <c r="J995" s="175" t="s">
        <v>18</v>
      </c>
      <c r="K995" s="175" t="s">
        <v>74</v>
      </c>
      <c r="L995" s="172" t="s">
        <v>75</v>
      </c>
    </row>
    <row r="996" spans="1:12" x14ac:dyDescent="0.2">
      <c r="A996" s="172" t="s">
        <v>72</v>
      </c>
      <c r="B996" s="172" t="s">
        <v>73</v>
      </c>
      <c r="C996" s="172" t="s">
        <v>21</v>
      </c>
      <c r="D996" s="172" t="s">
        <v>15</v>
      </c>
      <c r="E996" s="173">
        <v>42331</v>
      </c>
      <c r="F996" s="174">
        <v>1.58</v>
      </c>
      <c r="G996" s="175" t="s">
        <v>16</v>
      </c>
      <c r="H996" s="172" t="s">
        <v>20</v>
      </c>
      <c r="I996" s="175">
        <v>1</v>
      </c>
      <c r="J996" s="175" t="s">
        <v>18</v>
      </c>
      <c r="K996" s="175" t="s">
        <v>74</v>
      </c>
      <c r="L996" s="172" t="s">
        <v>75</v>
      </c>
    </row>
    <row r="997" spans="1:12" x14ac:dyDescent="0.2">
      <c r="A997" s="172" t="s">
        <v>72</v>
      </c>
      <c r="B997" s="172" t="s">
        <v>73</v>
      </c>
      <c r="C997" s="172" t="s">
        <v>21</v>
      </c>
      <c r="D997" s="172" t="s">
        <v>15</v>
      </c>
      <c r="E997" s="173">
        <v>42331</v>
      </c>
      <c r="F997" s="174">
        <v>9.8433683999999992</v>
      </c>
      <c r="G997" s="175" t="s">
        <v>19</v>
      </c>
      <c r="H997" s="172" t="s">
        <v>20</v>
      </c>
      <c r="I997" s="175">
        <v>1</v>
      </c>
      <c r="J997" s="175" t="s">
        <v>18</v>
      </c>
      <c r="K997" s="175" t="s">
        <v>74</v>
      </c>
      <c r="L997" s="172" t="s">
        <v>75</v>
      </c>
    </row>
    <row r="998" spans="1:12" x14ac:dyDescent="0.2">
      <c r="A998" s="172" t="s">
        <v>72</v>
      </c>
      <c r="B998" s="172" t="s">
        <v>73</v>
      </c>
      <c r="C998" s="172" t="s">
        <v>21</v>
      </c>
      <c r="D998" s="172" t="s">
        <v>15</v>
      </c>
      <c r="E998" s="173">
        <v>42325</v>
      </c>
      <c r="F998" s="174">
        <v>2.44</v>
      </c>
      <c r="G998" s="175" t="s">
        <v>16</v>
      </c>
      <c r="H998" s="172" t="s">
        <v>17</v>
      </c>
      <c r="I998" s="175">
        <v>1</v>
      </c>
      <c r="J998" s="175" t="s">
        <v>18</v>
      </c>
      <c r="K998" s="175" t="s">
        <v>74</v>
      </c>
      <c r="L998" s="172" t="s">
        <v>75</v>
      </c>
    </row>
    <row r="999" spans="1:12" x14ac:dyDescent="0.2">
      <c r="A999" s="172" t="s">
        <v>72</v>
      </c>
      <c r="B999" s="172" t="s">
        <v>73</v>
      </c>
      <c r="C999" s="172" t="s">
        <v>21</v>
      </c>
      <c r="D999" s="172" t="s">
        <v>15</v>
      </c>
      <c r="E999" s="173">
        <v>42325</v>
      </c>
      <c r="F999" s="174">
        <v>10.8259872</v>
      </c>
      <c r="G999" s="175" t="s">
        <v>19</v>
      </c>
      <c r="H999" s="172" t="s">
        <v>17</v>
      </c>
      <c r="I999" s="175">
        <v>1</v>
      </c>
      <c r="J999" s="175" t="s">
        <v>18</v>
      </c>
      <c r="K999" s="175" t="s">
        <v>74</v>
      </c>
      <c r="L999" s="172" t="s">
        <v>75</v>
      </c>
    </row>
    <row r="1000" spans="1:12" x14ac:dyDescent="0.2">
      <c r="A1000" s="172" t="s">
        <v>72</v>
      </c>
      <c r="B1000" s="172" t="s">
        <v>73</v>
      </c>
      <c r="C1000" s="172" t="s">
        <v>21</v>
      </c>
      <c r="D1000" s="172" t="s">
        <v>15</v>
      </c>
      <c r="E1000" s="173">
        <v>42325</v>
      </c>
      <c r="F1000" s="174">
        <v>1.74</v>
      </c>
      <c r="G1000" s="175" t="s">
        <v>16</v>
      </c>
      <c r="H1000" s="172" t="s">
        <v>20</v>
      </c>
      <c r="I1000" s="175">
        <v>1</v>
      </c>
      <c r="J1000" s="175" t="s">
        <v>18</v>
      </c>
      <c r="K1000" s="175" t="s">
        <v>74</v>
      </c>
      <c r="L1000" s="172" t="s">
        <v>75</v>
      </c>
    </row>
    <row r="1001" spans="1:12" x14ac:dyDescent="0.2">
      <c r="A1001" s="172" t="s">
        <v>72</v>
      </c>
      <c r="B1001" s="172" t="s">
        <v>73</v>
      </c>
      <c r="C1001" s="172" t="s">
        <v>21</v>
      </c>
      <c r="D1001" s="172" t="s">
        <v>15</v>
      </c>
      <c r="E1001" s="173">
        <v>42325</v>
      </c>
      <c r="F1001" s="174">
        <v>9.2293775999999994</v>
      </c>
      <c r="G1001" s="175" t="s">
        <v>19</v>
      </c>
      <c r="H1001" s="172" t="s">
        <v>20</v>
      </c>
      <c r="I1001" s="175">
        <v>1</v>
      </c>
      <c r="J1001" s="175" t="s">
        <v>18</v>
      </c>
      <c r="K1001" s="175" t="s">
        <v>74</v>
      </c>
      <c r="L1001" s="172" t="s">
        <v>75</v>
      </c>
    </row>
    <row r="1002" spans="1:12" x14ac:dyDescent="0.2">
      <c r="A1002" s="172" t="s">
        <v>72</v>
      </c>
      <c r="B1002" s="172" t="s">
        <v>73</v>
      </c>
      <c r="C1002" s="172" t="s">
        <v>21</v>
      </c>
      <c r="D1002" s="172" t="s">
        <v>15</v>
      </c>
      <c r="E1002" s="173">
        <v>42319</v>
      </c>
      <c r="F1002" s="174">
        <v>2.9</v>
      </c>
      <c r="G1002" s="175" t="s">
        <v>16</v>
      </c>
      <c r="H1002" s="172" t="s">
        <v>17</v>
      </c>
      <c r="I1002" s="175">
        <v>1</v>
      </c>
      <c r="J1002" s="175" t="s">
        <v>18</v>
      </c>
      <c r="K1002" s="175" t="s">
        <v>74</v>
      </c>
      <c r="L1002" s="172" t="s">
        <v>75</v>
      </c>
    </row>
    <row r="1003" spans="1:12" x14ac:dyDescent="0.2">
      <c r="A1003" s="172" t="s">
        <v>72</v>
      </c>
      <c r="B1003" s="172" t="s">
        <v>73</v>
      </c>
      <c r="C1003" s="172" t="s">
        <v>21</v>
      </c>
      <c r="D1003" s="172" t="s">
        <v>15</v>
      </c>
      <c r="E1003" s="173">
        <v>42319</v>
      </c>
      <c r="F1003" s="174">
        <v>11.536721999999999</v>
      </c>
      <c r="G1003" s="175" t="s">
        <v>19</v>
      </c>
      <c r="H1003" s="172" t="s">
        <v>17</v>
      </c>
      <c r="I1003" s="175">
        <v>1</v>
      </c>
      <c r="J1003" s="175" t="s">
        <v>18</v>
      </c>
      <c r="K1003" s="175" t="s">
        <v>74</v>
      </c>
      <c r="L1003" s="172" t="s">
        <v>75</v>
      </c>
    </row>
    <row r="1004" spans="1:12" x14ac:dyDescent="0.2">
      <c r="A1004" s="172" t="s">
        <v>72</v>
      </c>
      <c r="B1004" s="172" t="s">
        <v>73</v>
      </c>
      <c r="C1004" s="172" t="s">
        <v>21</v>
      </c>
      <c r="D1004" s="172" t="s">
        <v>15</v>
      </c>
      <c r="E1004" s="173">
        <v>42319</v>
      </c>
      <c r="F1004" s="174">
        <v>1.6</v>
      </c>
      <c r="G1004" s="175" t="s">
        <v>16</v>
      </c>
      <c r="H1004" s="172" t="s">
        <v>20</v>
      </c>
      <c r="I1004" s="175">
        <v>1</v>
      </c>
      <c r="J1004" s="175" t="s">
        <v>18</v>
      </c>
      <c r="K1004" s="175" t="s">
        <v>74</v>
      </c>
      <c r="L1004" s="172" t="s">
        <v>75</v>
      </c>
    </row>
    <row r="1005" spans="1:12" x14ac:dyDescent="0.2">
      <c r="A1005" s="172" t="s">
        <v>72</v>
      </c>
      <c r="B1005" s="172" t="s">
        <v>73</v>
      </c>
      <c r="C1005" s="172" t="s">
        <v>21</v>
      </c>
      <c r="D1005" s="172" t="s">
        <v>15</v>
      </c>
      <c r="E1005" s="173">
        <v>42319</v>
      </c>
      <c r="F1005" s="174">
        <v>8.2465919999999997</v>
      </c>
      <c r="G1005" s="175" t="s">
        <v>19</v>
      </c>
      <c r="H1005" s="172" t="s">
        <v>20</v>
      </c>
      <c r="I1005" s="175">
        <v>1</v>
      </c>
      <c r="J1005" s="175" t="s">
        <v>18</v>
      </c>
      <c r="K1005" s="175" t="s">
        <v>74</v>
      </c>
      <c r="L1005" s="172" t="s">
        <v>75</v>
      </c>
    </row>
    <row r="1006" spans="1:12" x14ac:dyDescent="0.2">
      <c r="A1006" s="172" t="s">
        <v>72</v>
      </c>
      <c r="B1006" s="172" t="s">
        <v>73</v>
      </c>
      <c r="C1006" s="172" t="s">
        <v>21</v>
      </c>
      <c r="D1006" s="172" t="s">
        <v>15</v>
      </c>
      <c r="E1006" s="173">
        <v>42312</v>
      </c>
      <c r="F1006" s="174">
        <v>2.34</v>
      </c>
      <c r="G1006" s="175" t="s">
        <v>16</v>
      </c>
      <c r="H1006" s="172" t="s">
        <v>17</v>
      </c>
      <c r="I1006" s="175">
        <v>1</v>
      </c>
      <c r="J1006" s="175" t="s">
        <v>18</v>
      </c>
      <c r="K1006" s="175" t="s">
        <v>74</v>
      </c>
      <c r="L1006" s="172" t="s">
        <v>75</v>
      </c>
    </row>
    <row r="1007" spans="1:12" x14ac:dyDescent="0.2">
      <c r="A1007" s="172" t="s">
        <v>72</v>
      </c>
      <c r="B1007" s="172" t="s">
        <v>73</v>
      </c>
      <c r="C1007" s="172" t="s">
        <v>21</v>
      </c>
      <c r="D1007" s="172" t="s">
        <v>15</v>
      </c>
      <c r="E1007" s="173">
        <v>42312</v>
      </c>
      <c r="F1007" s="174">
        <v>9.8163467999999998</v>
      </c>
      <c r="G1007" s="175" t="s">
        <v>19</v>
      </c>
      <c r="H1007" s="172" t="s">
        <v>17</v>
      </c>
      <c r="I1007" s="175">
        <v>1</v>
      </c>
      <c r="J1007" s="175" t="s">
        <v>18</v>
      </c>
      <c r="K1007" s="175" t="s">
        <v>74</v>
      </c>
      <c r="L1007" s="172" t="s">
        <v>75</v>
      </c>
    </row>
    <row r="1008" spans="1:12" x14ac:dyDescent="0.2">
      <c r="A1008" s="172" t="s">
        <v>72</v>
      </c>
      <c r="B1008" s="172" t="s">
        <v>73</v>
      </c>
      <c r="C1008" s="172" t="s">
        <v>21</v>
      </c>
      <c r="D1008" s="172" t="s">
        <v>15</v>
      </c>
      <c r="E1008" s="173">
        <v>42312</v>
      </c>
      <c r="F1008" s="174">
        <v>1.83</v>
      </c>
      <c r="G1008" s="175" t="s">
        <v>16</v>
      </c>
      <c r="H1008" s="172" t="s">
        <v>20</v>
      </c>
      <c r="I1008" s="175">
        <v>1</v>
      </c>
      <c r="J1008" s="175" t="s">
        <v>18</v>
      </c>
      <c r="K1008" s="175" t="s">
        <v>74</v>
      </c>
      <c r="L1008" s="172" t="s">
        <v>75</v>
      </c>
    </row>
    <row r="1009" spans="1:12" x14ac:dyDescent="0.2">
      <c r="A1009" s="172" t="s">
        <v>72</v>
      </c>
      <c r="B1009" s="172" t="s">
        <v>73</v>
      </c>
      <c r="C1009" s="172" t="s">
        <v>21</v>
      </c>
      <c r="D1009" s="172" t="s">
        <v>15</v>
      </c>
      <c r="E1009" s="173">
        <v>42312</v>
      </c>
      <c r="F1009" s="174">
        <v>9.8441189999999992</v>
      </c>
      <c r="G1009" s="175" t="s">
        <v>19</v>
      </c>
      <c r="H1009" s="172" t="s">
        <v>20</v>
      </c>
      <c r="I1009" s="175">
        <v>1</v>
      </c>
      <c r="J1009" s="175" t="s">
        <v>18</v>
      </c>
      <c r="K1009" s="175" t="s">
        <v>74</v>
      </c>
      <c r="L1009" s="172" t="s">
        <v>75</v>
      </c>
    </row>
    <row r="1010" spans="1:12" x14ac:dyDescent="0.2">
      <c r="A1010" s="172" t="s">
        <v>72</v>
      </c>
      <c r="B1010" s="172" t="s">
        <v>73</v>
      </c>
      <c r="C1010" s="172" t="s">
        <v>21</v>
      </c>
      <c r="D1010" s="172" t="s">
        <v>15</v>
      </c>
      <c r="E1010" s="173">
        <v>42304</v>
      </c>
      <c r="F1010" s="174">
        <v>2.33</v>
      </c>
      <c r="G1010" s="175" t="s">
        <v>16</v>
      </c>
      <c r="H1010" s="172" t="s">
        <v>17</v>
      </c>
      <c r="I1010" s="175">
        <v>1</v>
      </c>
      <c r="J1010" s="175" t="s">
        <v>18</v>
      </c>
      <c r="K1010" s="175" t="s">
        <v>74</v>
      </c>
      <c r="L1010" s="172" t="s">
        <v>75</v>
      </c>
    </row>
    <row r="1011" spans="1:12" x14ac:dyDescent="0.2">
      <c r="A1011" s="172" t="s">
        <v>72</v>
      </c>
      <c r="B1011" s="172" t="s">
        <v>73</v>
      </c>
      <c r="C1011" s="172" t="s">
        <v>21</v>
      </c>
      <c r="D1011" s="172" t="s">
        <v>15</v>
      </c>
      <c r="E1011" s="173">
        <v>42304</v>
      </c>
      <c r="F1011" s="174">
        <v>9.2108627999999992</v>
      </c>
      <c r="G1011" s="175" t="s">
        <v>19</v>
      </c>
      <c r="H1011" s="172" t="s">
        <v>17</v>
      </c>
      <c r="I1011" s="175">
        <v>1</v>
      </c>
      <c r="J1011" s="175" t="s">
        <v>18</v>
      </c>
      <c r="K1011" s="175" t="s">
        <v>74</v>
      </c>
      <c r="L1011" s="172" t="s">
        <v>75</v>
      </c>
    </row>
    <row r="1012" spans="1:12" x14ac:dyDescent="0.2">
      <c r="A1012" s="172" t="s">
        <v>72</v>
      </c>
      <c r="B1012" s="172" t="s">
        <v>73</v>
      </c>
      <c r="C1012" s="172" t="s">
        <v>21</v>
      </c>
      <c r="D1012" s="172" t="s">
        <v>15</v>
      </c>
      <c r="E1012" s="173">
        <v>42304</v>
      </c>
      <c r="F1012" s="174">
        <v>1.89</v>
      </c>
      <c r="G1012" s="175" t="s">
        <v>16</v>
      </c>
      <c r="H1012" s="172" t="s">
        <v>20</v>
      </c>
      <c r="I1012" s="175">
        <v>1</v>
      </c>
      <c r="J1012" s="175" t="s">
        <v>18</v>
      </c>
      <c r="K1012" s="175" t="s">
        <v>74</v>
      </c>
      <c r="L1012" s="172" t="s">
        <v>75</v>
      </c>
    </row>
    <row r="1013" spans="1:12" x14ac:dyDescent="0.2">
      <c r="A1013" s="172" t="s">
        <v>72</v>
      </c>
      <c r="B1013" s="172" t="s">
        <v>73</v>
      </c>
      <c r="C1013" s="172" t="s">
        <v>21</v>
      </c>
      <c r="D1013" s="172" t="s">
        <v>15</v>
      </c>
      <c r="E1013" s="173">
        <v>42304</v>
      </c>
      <c r="F1013" s="174">
        <v>10.1038266</v>
      </c>
      <c r="G1013" s="175" t="s">
        <v>19</v>
      </c>
      <c r="H1013" s="172" t="s">
        <v>20</v>
      </c>
      <c r="I1013" s="175">
        <v>1</v>
      </c>
      <c r="J1013" s="175" t="s">
        <v>18</v>
      </c>
      <c r="K1013" s="175" t="s">
        <v>74</v>
      </c>
      <c r="L1013" s="172" t="s">
        <v>75</v>
      </c>
    </row>
    <row r="1014" spans="1:12" x14ac:dyDescent="0.2">
      <c r="A1014" s="172" t="s">
        <v>72</v>
      </c>
      <c r="B1014" s="172" t="s">
        <v>73</v>
      </c>
      <c r="C1014" s="172" t="s">
        <v>21</v>
      </c>
      <c r="D1014" s="172" t="s">
        <v>15</v>
      </c>
      <c r="E1014" s="173">
        <v>42298</v>
      </c>
      <c r="F1014" s="174">
        <v>2.86</v>
      </c>
      <c r="G1014" s="175" t="s">
        <v>16</v>
      </c>
      <c r="H1014" s="172" t="s">
        <v>17</v>
      </c>
      <c r="I1014" s="175">
        <v>1</v>
      </c>
      <c r="J1014" s="175" t="s">
        <v>18</v>
      </c>
      <c r="K1014" s="175" t="s">
        <v>74</v>
      </c>
      <c r="L1014" s="172" t="s">
        <v>75</v>
      </c>
    </row>
    <row r="1015" spans="1:12" x14ac:dyDescent="0.2">
      <c r="A1015" s="172" t="s">
        <v>72</v>
      </c>
      <c r="B1015" s="172" t="s">
        <v>73</v>
      </c>
      <c r="C1015" s="172" t="s">
        <v>21</v>
      </c>
      <c r="D1015" s="172" t="s">
        <v>15</v>
      </c>
      <c r="E1015" s="173">
        <v>42298</v>
      </c>
      <c r="F1015" s="174">
        <v>11.5922664</v>
      </c>
      <c r="G1015" s="175" t="s">
        <v>19</v>
      </c>
      <c r="H1015" s="172" t="s">
        <v>17</v>
      </c>
      <c r="I1015" s="175">
        <v>1</v>
      </c>
      <c r="J1015" s="175" t="s">
        <v>18</v>
      </c>
      <c r="K1015" s="175" t="s">
        <v>74</v>
      </c>
      <c r="L1015" s="172" t="s">
        <v>75</v>
      </c>
    </row>
    <row r="1016" spans="1:12" x14ac:dyDescent="0.2">
      <c r="A1016" s="172" t="s">
        <v>72</v>
      </c>
      <c r="B1016" s="172" t="s">
        <v>73</v>
      </c>
      <c r="C1016" s="172" t="s">
        <v>21</v>
      </c>
      <c r="D1016" s="172" t="s">
        <v>15</v>
      </c>
      <c r="E1016" s="173">
        <v>42298</v>
      </c>
      <c r="F1016" s="174">
        <v>1.89</v>
      </c>
      <c r="G1016" s="175" t="s">
        <v>16</v>
      </c>
      <c r="H1016" s="172" t="s">
        <v>20</v>
      </c>
      <c r="I1016" s="175">
        <v>1</v>
      </c>
      <c r="J1016" s="175" t="s">
        <v>18</v>
      </c>
      <c r="K1016" s="175" t="s">
        <v>74</v>
      </c>
      <c r="L1016" s="172" t="s">
        <v>75</v>
      </c>
    </row>
    <row r="1017" spans="1:12" x14ac:dyDescent="0.2">
      <c r="A1017" s="172" t="s">
        <v>72</v>
      </c>
      <c r="B1017" s="172" t="s">
        <v>73</v>
      </c>
      <c r="C1017" s="172" t="s">
        <v>21</v>
      </c>
      <c r="D1017" s="172" t="s">
        <v>15</v>
      </c>
      <c r="E1017" s="173">
        <v>42298</v>
      </c>
      <c r="F1017" s="174">
        <v>9.8358623999999999</v>
      </c>
      <c r="G1017" s="175" t="s">
        <v>19</v>
      </c>
      <c r="H1017" s="172" t="s">
        <v>20</v>
      </c>
      <c r="I1017" s="175">
        <v>1</v>
      </c>
      <c r="J1017" s="175" t="s">
        <v>18</v>
      </c>
      <c r="K1017" s="175" t="s">
        <v>74</v>
      </c>
      <c r="L1017" s="172" t="s">
        <v>75</v>
      </c>
    </row>
    <row r="1018" spans="1:12" x14ac:dyDescent="0.2">
      <c r="A1018" s="172" t="s">
        <v>72</v>
      </c>
      <c r="B1018" s="172" t="s">
        <v>73</v>
      </c>
      <c r="C1018" s="172" t="s">
        <v>21</v>
      </c>
      <c r="D1018" s="172" t="s">
        <v>15</v>
      </c>
      <c r="E1018" s="173">
        <v>42291</v>
      </c>
      <c r="F1018" s="174">
        <v>2.15</v>
      </c>
      <c r="G1018" s="175" t="s">
        <v>16</v>
      </c>
      <c r="H1018" s="172" t="s">
        <v>17</v>
      </c>
      <c r="I1018" s="175">
        <v>1</v>
      </c>
      <c r="J1018" s="175" t="s">
        <v>18</v>
      </c>
      <c r="K1018" s="175" t="s">
        <v>74</v>
      </c>
      <c r="L1018" s="172" t="s">
        <v>75</v>
      </c>
    </row>
    <row r="1019" spans="1:12" x14ac:dyDescent="0.2">
      <c r="A1019" s="172" t="s">
        <v>72</v>
      </c>
      <c r="B1019" s="172" t="s">
        <v>73</v>
      </c>
      <c r="C1019" s="172" t="s">
        <v>21</v>
      </c>
      <c r="D1019" s="172" t="s">
        <v>15</v>
      </c>
      <c r="E1019" s="173">
        <v>42291</v>
      </c>
      <c r="F1019" s="174">
        <v>9.1986030000000003</v>
      </c>
      <c r="G1019" s="175" t="s">
        <v>19</v>
      </c>
      <c r="H1019" s="172" t="s">
        <v>17</v>
      </c>
      <c r="I1019" s="175">
        <v>1</v>
      </c>
      <c r="J1019" s="175" t="s">
        <v>18</v>
      </c>
      <c r="K1019" s="175" t="s">
        <v>74</v>
      </c>
      <c r="L1019" s="172" t="s">
        <v>75</v>
      </c>
    </row>
    <row r="1020" spans="1:12" x14ac:dyDescent="0.2">
      <c r="A1020" s="172" t="s">
        <v>72</v>
      </c>
      <c r="B1020" s="172" t="s">
        <v>73</v>
      </c>
      <c r="C1020" s="172" t="s">
        <v>21</v>
      </c>
      <c r="D1020" s="172" t="s">
        <v>15</v>
      </c>
      <c r="E1020" s="173">
        <v>42291</v>
      </c>
      <c r="F1020" s="174">
        <v>1.64</v>
      </c>
      <c r="G1020" s="175" t="s">
        <v>16</v>
      </c>
      <c r="H1020" s="172" t="s">
        <v>20</v>
      </c>
      <c r="I1020" s="175">
        <v>1</v>
      </c>
      <c r="J1020" s="175" t="s">
        <v>18</v>
      </c>
      <c r="K1020" s="175" t="s">
        <v>74</v>
      </c>
      <c r="L1020" s="172" t="s">
        <v>75</v>
      </c>
    </row>
    <row r="1021" spans="1:12" x14ac:dyDescent="0.2">
      <c r="A1021" s="172" t="s">
        <v>72</v>
      </c>
      <c r="B1021" s="172" t="s">
        <v>73</v>
      </c>
      <c r="C1021" s="172" t="s">
        <v>21</v>
      </c>
      <c r="D1021" s="172" t="s">
        <v>15</v>
      </c>
      <c r="E1021" s="173">
        <v>42291</v>
      </c>
      <c r="F1021" s="174">
        <v>8.7673416</v>
      </c>
      <c r="G1021" s="175" t="s">
        <v>19</v>
      </c>
      <c r="H1021" s="172" t="s">
        <v>20</v>
      </c>
      <c r="I1021" s="175">
        <v>1</v>
      </c>
      <c r="J1021" s="175" t="s">
        <v>18</v>
      </c>
      <c r="K1021" s="175" t="s">
        <v>74</v>
      </c>
      <c r="L1021" s="172" t="s">
        <v>75</v>
      </c>
    </row>
    <row r="1022" spans="1:12" x14ac:dyDescent="0.2">
      <c r="A1022" s="172" t="s">
        <v>72</v>
      </c>
      <c r="B1022" s="172" t="s">
        <v>73</v>
      </c>
      <c r="C1022" s="172" t="s">
        <v>21</v>
      </c>
      <c r="D1022" s="172" t="s">
        <v>15</v>
      </c>
      <c r="E1022" s="173">
        <v>42284</v>
      </c>
      <c r="F1022" s="174">
        <v>3.09</v>
      </c>
      <c r="G1022" s="175" t="s">
        <v>16</v>
      </c>
      <c r="H1022" s="172" t="s">
        <v>17</v>
      </c>
      <c r="I1022" s="175">
        <v>1</v>
      </c>
      <c r="J1022" s="175" t="s">
        <v>18</v>
      </c>
      <c r="K1022" s="175" t="s">
        <v>74</v>
      </c>
      <c r="L1022" s="172" t="s">
        <v>75</v>
      </c>
    </row>
    <row r="1023" spans="1:12" x14ac:dyDescent="0.2">
      <c r="A1023" s="172" t="s">
        <v>72</v>
      </c>
      <c r="B1023" s="172" t="s">
        <v>73</v>
      </c>
      <c r="C1023" s="172" t="s">
        <v>21</v>
      </c>
      <c r="D1023" s="172" t="s">
        <v>15</v>
      </c>
      <c r="E1023" s="173">
        <v>42284</v>
      </c>
      <c r="F1023" s="174">
        <v>13.2460884</v>
      </c>
      <c r="G1023" s="175" t="s">
        <v>19</v>
      </c>
      <c r="H1023" s="172" t="s">
        <v>17</v>
      </c>
      <c r="I1023" s="175">
        <v>1</v>
      </c>
      <c r="J1023" s="175" t="s">
        <v>18</v>
      </c>
      <c r="K1023" s="175" t="s">
        <v>74</v>
      </c>
      <c r="L1023" s="172" t="s">
        <v>75</v>
      </c>
    </row>
    <row r="1024" spans="1:12" x14ac:dyDescent="0.2">
      <c r="A1024" s="172" t="s">
        <v>72</v>
      </c>
      <c r="B1024" s="172" t="s">
        <v>73</v>
      </c>
      <c r="C1024" s="172" t="s">
        <v>21</v>
      </c>
      <c r="D1024" s="172" t="s">
        <v>15</v>
      </c>
      <c r="E1024" s="173">
        <v>42284</v>
      </c>
      <c r="F1024" s="174">
        <v>1.81</v>
      </c>
      <c r="G1024" s="175" t="s">
        <v>16</v>
      </c>
      <c r="H1024" s="172" t="s">
        <v>20</v>
      </c>
      <c r="I1024" s="175">
        <v>1</v>
      </c>
      <c r="J1024" s="175" t="s">
        <v>18</v>
      </c>
      <c r="K1024" s="175" t="s">
        <v>74</v>
      </c>
      <c r="L1024" s="172" t="s">
        <v>75</v>
      </c>
    </row>
    <row r="1025" spans="1:12" x14ac:dyDescent="0.2">
      <c r="A1025" s="172" t="s">
        <v>72</v>
      </c>
      <c r="B1025" s="172" t="s">
        <v>73</v>
      </c>
      <c r="C1025" s="172" t="s">
        <v>21</v>
      </c>
      <c r="D1025" s="172" t="s">
        <v>15</v>
      </c>
      <c r="E1025" s="173">
        <v>42284</v>
      </c>
      <c r="F1025" s="174">
        <v>9.7214375999999998</v>
      </c>
      <c r="G1025" s="175" t="s">
        <v>19</v>
      </c>
      <c r="H1025" s="172" t="s">
        <v>20</v>
      </c>
      <c r="I1025" s="175">
        <v>1</v>
      </c>
      <c r="J1025" s="175" t="s">
        <v>18</v>
      </c>
      <c r="K1025" s="175" t="s">
        <v>74</v>
      </c>
      <c r="L1025" s="17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G2" sqref="G2"/>
    </sheetView>
  </sheetViews>
  <sheetFormatPr defaultRowHeight="11.25" x14ac:dyDescent="0.2"/>
  <cols>
    <col min="1" max="1" width="11.85546875" style="4" customWidth="1"/>
    <col min="2" max="2" width="17" style="2" customWidth="1"/>
    <col min="3" max="4" width="6" style="3" customWidth="1"/>
    <col min="5" max="5" width="6" style="4" customWidth="1"/>
    <col min="6" max="6" width="7.28515625" style="4" customWidth="1"/>
    <col min="7" max="8" width="9" style="4" customWidth="1"/>
    <col min="9" max="11" width="6" style="4" customWidth="1"/>
    <col min="12" max="12" width="7.28515625" style="4" customWidth="1"/>
    <col min="13" max="13" width="9" style="4" customWidth="1"/>
    <col min="14" max="14" width="10.7109375" style="4" customWidth="1"/>
    <col min="15" max="16" width="7" style="4" customWidth="1"/>
    <col min="17" max="17" width="15" style="4" customWidth="1"/>
    <col min="18" max="18" width="3.42578125" style="4" customWidth="1"/>
    <col min="19" max="19" width="8.42578125" style="4" bestFit="1" customWidth="1"/>
    <col min="20" max="20" width="6" style="4" bestFit="1" customWidth="1"/>
    <col min="21" max="21" width="4" style="4" bestFit="1" customWidth="1"/>
    <col min="22" max="22" width="6" style="4" bestFit="1" customWidth="1"/>
    <col min="23" max="23" width="4.42578125" style="4" bestFit="1" customWidth="1"/>
    <col min="24" max="24" width="9" style="4" bestFit="1" customWidth="1"/>
    <col min="25" max="25" width="8.7109375" style="4" bestFit="1" customWidth="1"/>
    <col min="26" max="26" width="8.42578125" style="4" bestFit="1" customWidth="1"/>
    <col min="27" max="28" width="6.85546875" style="4" bestFit="1" customWidth="1"/>
    <col min="29" max="29" width="8.85546875" style="4" bestFit="1" customWidth="1"/>
    <col min="30" max="30" width="8.5703125" style="4" bestFit="1" customWidth="1"/>
    <col min="31" max="16384" width="9.140625" style="4"/>
  </cols>
  <sheetData>
    <row r="1" spans="1:17" ht="12.75" x14ac:dyDescent="0.2">
      <c r="A1" s="219" t="s">
        <v>77</v>
      </c>
      <c r="B1" s="220"/>
      <c r="C1" s="221" t="s">
        <v>22</v>
      </c>
      <c r="D1" s="221"/>
      <c r="E1" s="222">
        <v>41944</v>
      </c>
      <c r="F1" s="223"/>
      <c r="G1" s="2"/>
      <c r="L1" s="4" t="s">
        <v>78</v>
      </c>
    </row>
    <row r="2" spans="1:17" x14ac:dyDescent="0.2">
      <c r="A2" s="30" t="s">
        <v>23</v>
      </c>
      <c r="B2" s="5">
        <f>MIN(EagleGrNDD!E:E)</f>
        <v>42284</v>
      </c>
      <c r="C2" s="224" t="s">
        <v>43</v>
      </c>
      <c r="D2" s="224"/>
      <c r="E2" s="225">
        <f>(B3-B2)/30</f>
        <v>31</v>
      </c>
      <c r="F2" s="226"/>
    </row>
    <row r="3" spans="1:17" x14ac:dyDescent="0.2">
      <c r="A3" s="31" t="s">
        <v>24</v>
      </c>
      <c r="B3" s="32">
        <f>MAX(EagleGrNDD!E:E)</f>
        <v>43214</v>
      </c>
      <c r="C3" s="208"/>
      <c r="D3" s="208"/>
      <c r="E3" s="208"/>
      <c r="F3" s="209"/>
    </row>
    <row r="4" spans="1:17" ht="12" thickBot="1" x14ac:dyDescent="0.25"/>
    <row r="5" spans="1:17" ht="11.25" customHeight="1" x14ac:dyDescent="0.2">
      <c r="A5" s="216" t="s">
        <v>25</v>
      </c>
      <c r="B5" s="210" t="s">
        <v>25</v>
      </c>
      <c r="C5" s="213" t="s">
        <v>26</v>
      </c>
      <c r="D5" s="214"/>
      <c r="E5" s="214"/>
      <c r="F5" s="214"/>
      <c r="G5" s="214"/>
      <c r="H5" s="214"/>
      <c r="I5" s="215" t="s">
        <v>44</v>
      </c>
      <c r="J5" s="215"/>
      <c r="K5" s="215"/>
      <c r="L5" s="215"/>
      <c r="M5" s="215"/>
      <c r="N5" s="215"/>
      <c r="O5" s="204" t="s">
        <v>27</v>
      </c>
      <c r="P5" s="205"/>
      <c r="Q5" s="199" t="s">
        <v>28</v>
      </c>
    </row>
    <row r="6" spans="1:17" ht="11.25" customHeight="1" x14ac:dyDescent="0.2">
      <c r="A6" s="217"/>
      <c r="B6" s="211"/>
      <c r="C6" s="201" t="s">
        <v>29</v>
      </c>
      <c r="D6" s="202"/>
      <c r="E6" s="201" t="s">
        <v>30</v>
      </c>
      <c r="F6" s="203"/>
      <c r="G6" s="203"/>
      <c r="H6" s="202"/>
      <c r="I6" s="201" t="s">
        <v>29</v>
      </c>
      <c r="J6" s="202"/>
      <c r="K6" s="201" t="s">
        <v>30</v>
      </c>
      <c r="L6" s="203"/>
      <c r="M6" s="203"/>
      <c r="N6" s="203"/>
      <c r="O6" s="206"/>
      <c r="P6" s="207"/>
      <c r="Q6" s="200"/>
    </row>
    <row r="7" spans="1:17" ht="11.25" customHeight="1" x14ac:dyDescent="0.2">
      <c r="A7" s="217"/>
      <c r="B7" s="212"/>
      <c r="C7" s="6" t="s">
        <v>31</v>
      </c>
      <c r="D7" s="7" t="s">
        <v>32</v>
      </c>
      <c r="E7" s="6" t="s">
        <v>31</v>
      </c>
      <c r="F7" s="8" t="s">
        <v>33</v>
      </c>
      <c r="G7" s="9" t="s">
        <v>34</v>
      </c>
      <c r="H7" s="10" t="s">
        <v>45</v>
      </c>
      <c r="I7" s="6" t="s">
        <v>31</v>
      </c>
      <c r="J7" s="7" t="s">
        <v>32</v>
      </c>
      <c r="K7" s="6" t="s">
        <v>31</v>
      </c>
      <c r="L7" s="8" t="s">
        <v>33</v>
      </c>
      <c r="M7" s="11" t="s">
        <v>35</v>
      </c>
      <c r="N7" s="10" t="s">
        <v>46</v>
      </c>
      <c r="O7" s="12" t="s">
        <v>36</v>
      </c>
      <c r="P7" s="171" t="s">
        <v>37</v>
      </c>
      <c r="Q7" s="33" t="s">
        <v>47</v>
      </c>
    </row>
    <row r="8" spans="1:17" s="21" customFormat="1" ht="11.25" customHeight="1" x14ac:dyDescent="0.2">
      <c r="A8" s="217"/>
      <c r="B8" s="73" t="s">
        <v>38</v>
      </c>
      <c r="C8" s="34">
        <f>COUNTIFS(EagleGrNDD!C:C,"NITROGEN, TOTAL (AS N)",EagleGrNDD!G:G,"MG/L",EagleGrNDD!H:H,"RAW WASTE")</f>
        <v>128</v>
      </c>
      <c r="D8" s="35">
        <f>AVERAGEIFS(EagleGrNDD!F:F,(EagleGrNDD!C:C),("NITROGEN, TOTAL (AS N)"),(EagleGrNDD!H:H),("RAW WASTE"),(EagleGrNDD!G:G),("MG/L"))</f>
        <v>16.538867187500003</v>
      </c>
      <c r="E8" s="36">
        <f>COUNTIFS(EagleGrNDD!C:C,"NITROGEN, TOTAL (AS N)",EagleGrNDD!G:G,"LBS/DAY",EagleGrNDD!H:H,"RAW WASTE")</f>
        <v>128</v>
      </c>
      <c r="F8" s="37">
        <f>AVERAGEIFS(EagleGrNDD!F:F,(EagleGrNDD!C:C),("NITROGEN, TOTAL (AS N)"),(EagleGrNDD!H:H),("RAW WASTE"),(EagleGrNDD!G:G),("LBS/DAY"))</f>
        <v>114.22440573046877</v>
      </c>
      <c r="G8" s="38">
        <f>(SUMIFS(EagleGrNDD!F:F,(EagleGrNDD!C:C),("NITROGEN, TOTAL (AS N)"),(EagleGrNDD!H:H),("RAW WASTE"),(EagleGrNDD!G:G),("LBS/DAY")))</f>
        <v>14620.723933500003</v>
      </c>
      <c r="H8" s="39">
        <f>F8*365</f>
        <v>41691.908091621102</v>
      </c>
      <c r="I8" s="36">
        <f>COUNTIFS(EagleGrNDD!C:C,"NITROGEN, TOTAL (AS N)",EagleGrNDD!G:G,"MG/L",EagleGrNDD!H:H,"FINAL EFFLUENT")</f>
        <v>128</v>
      </c>
      <c r="J8" s="35">
        <f>(AVERAGEIFS(EagleGrNDD!F:F,(EagleGrNDD!C:C),("NITROGEN, TOTAL (AS N)"),(EagleGrNDD!H:H),("FINAL EFFLUENT"),(EagleGrNDD!G:G),("MG/L")))</f>
        <v>10.467839843750001</v>
      </c>
      <c r="K8" s="36">
        <f>COUNTIFS(EagleGrNDD!C:C,"NITROGEN, TOTAL (AS N)",EagleGrNDD!G:G,"LBS/DAY",EagleGrNDD!H:H,"FINAL EFFLUENT")</f>
        <v>128</v>
      </c>
      <c r="L8" s="37">
        <f>AVERAGEIFS(EagleGrNDD!F:F,(EagleGrNDD!C:C),("NITROGEN, TOTAL (AS N)"),(EagleGrNDD!H:H),("FINAL EFFLUENT"),(EagleGrNDD!G:G),("LBS/DAY"))</f>
        <v>89.948660271875013</v>
      </c>
      <c r="M8" s="38">
        <f>SUMIFS(EagleGrNDD!F:F,(EagleGrNDD!C:C),("NITROGEN, TOTAL (AS N)"),(EagleGrNDD!H:H),("FINAL EFFLUENT"),(EagleGrNDD!G:G),("LBS/DAY"))</f>
        <v>11513.428514800002</v>
      </c>
      <c r="N8" s="39">
        <f>L8*365</f>
        <v>32831.260999234379</v>
      </c>
      <c r="O8" s="40">
        <f>((D8-J8))/D8</f>
        <v>0.36707637076488864</v>
      </c>
      <c r="P8" s="41">
        <f>((F8-L8))/F8</f>
        <v>0.21252678272519418</v>
      </c>
      <c r="Q8" s="42">
        <f>(F8-L8)*365</f>
        <v>8860.6470923867219</v>
      </c>
    </row>
    <row r="9" spans="1:17" s="21" customFormat="1" ht="5.25" customHeight="1" x14ac:dyDescent="0.2">
      <c r="A9" s="217"/>
      <c r="B9" s="73"/>
      <c r="C9" s="13"/>
      <c r="D9" s="14"/>
      <c r="E9" s="15"/>
      <c r="F9" s="16"/>
      <c r="G9" s="17"/>
      <c r="H9" s="18"/>
      <c r="I9" s="15"/>
      <c r="J9" s="14"/>
      <c r="K9" s="15"/>
      <c r="L9" s="16"/>
      <c r="M9" s="16"/>
      <c r="N9" s="18"/>
      <c r="O9" s="19"/>
      <c r="P9" s="20"/>
      <c r="Q9" s="43"/>
    </row>
    <row r="10" spans="1:17" s="44" customFormat="1" ht="11.25" customHeight="1" x14ac:dyDescent="0.2">
      <c r="A10" s="217"/>
      <c r="B10" s="74" t="s">
        <v>51</v>
      </c>
      <c r="C10" s="75">
        <f>COUNTIFS(EagleGrNDD!$E:$E,"&gt;=5/1/2014",EagleGrNDD!$E:$E,"&lt;=4/30/2015",EagleGrNDD!$C:$C,"NITROGEN, TOTAL (AS N)",EagleGrNDD!$G:$G,"MG/L",EagleGrNDD!$H:$H,"RAW WASTE")</f>
        <v>0</v>
      </c>
      <c r="D10" s="76" t="e">
        <f>AVERAGEIFS(EagleGrNDD!$F:$F,EagleGrNDD!$E:$E,"&gt;=5/1/2014",EagleGrNDD!$E:$E,"&lt;=4/30/2015",(EagleGrNDD!$C:$C),("NITROGEN, TOTAL (AS N)"),(EagleGrNDD!$H:$H),("RAW WASTE"),(EagleGrNDD!$G:$G),("MG/L"))</f>
        <v>#DIV/0!</v>
      </c>
      <c r="E10" s="77">
        <f>COUNTIFS(EagleGrNDD!$E:$E,"&gt;=5/1/2014",EagleGrNDD!$E:$E,"&lt;=4/30/2015",EagleGrNDD!$C:$C,"NITROGEN, TOTAL (AS N)",EagleGrNDD!$G:$G,"LBS/DAY",EagleGrNDD!$H:$H,"RAW WASTE")</f>
        <v>0</v>
      </c>
      <c r="F10" s="131" t="e">
        <f>AVERAGEIFS(EagleGrNDD!$F:$F,EagleGrNDD!$E:$E,"&gt;=5/1/2014",EagleGrNDD!$E:$E,"&lt;=4/30/2015",(EagleGrNDD!$C:$C),("NITROGEN, TOTAL (AS N)"),(EagleGrNDD!$H:$H),("RAW WASTE"),(EagleGrNDD!$G:$G),("LBS/DAY"))</f>
        <v>#DIV/0!</v>
      </c>
      <c r="G10" s="78">
        <f>SUMIFS(EagleGrNDD!$F:$F,EagleGrNDD!$E:$E,"&gt;=5/1/2014",EagleGrNDD!$E:$E,"&lt;=4/30/2015",(EagleGrNDD!$C:$C),("NITROGEN, TOTAL (AS N)"),(EagleGrNDD!$H:$H),("RAW WASTE"),(EagleGrNDD!$G:$G),("LBS/DAY"))</f>
        <v>0</v>
      </c>
      <c r="H10" s="79" t="e">
        <f>F10*365</f>
        <v>#DIV/0!</v>
      </c>
      <c r="I10" s="77">
        <f>COUNTIFS(EagleGrNDD!$E:$E,"&gt;=5/1/2014",EagleGrNDD!$E:$E,"&lt;=4/30/2015",EagleGrNDD!$C:$C,"NITROGEN, TOTAL (AS N)",EagleGrNDD!$G:$G,"MG/L",EagleGrNDD!$H:$H,"FINAL EFFLUENT")</f>
        <v>0</v>
      </c>
      <c r="J10" s="76" t="e">
        <f>AVERAGEIFS(EagleGrNDD!$F:$F,EagleGrNDD!$E:$E,"&gt;=5/1/2014",EagleGrNDD!$E:$E,"&lt;=4/30/2015",(EagleGrNDD!$C:$C),("NITROGEN, TOTAL (AS N)"),(EagleGrNDD!$H:$H),("FINAL EFFLUENT"),(EagleGrNDD!$G:$G),("MG/L"))</f>
        <v>#DIV/0!</v>
      </c>
      <c r="K10" s="77">
        <f>COUNTIFS(EagleGrNDD!$E:$E,"&gt;=5/1/2014",EagleGrNDD!$E:$E,"&lt;=4/30/2015",EagleGrNDD!$C:$C,"NITROGEN, TOTAL (AS N)",EagleGrNDD!$G:$G,"LBS/DAY",EagleGrNDD!$H:$H,"FINAL EFFLUENT")</f>
        <v>0</v>
      </c>
      <c r="L10" s="131" t="e">
        <f>AVERAGEIFS((EagleGrNDD!$F:$F),EagleGrNDD!$E:$E,"&gt;=5/1/2014",EagleGrNDD!$E:$E,"&lt;=4/30/2015",(EagleGrNDD!$C:$C),("NITROGEN, TOTAL (AS N)"),(EagleGrNDD!$H:$H),("FINAL EFFLUENT"),(EagleGrNDD!$G:$G),("LBS/DAY"))</f>
        <v>#DIV/0!</v>
      </c>
      <c r="M10" s="78">
        <f>SUMIFS(EagleGrNDD!$F:$F,EagleGrNDD!$E:$E,"&gt;=5/1/2014",EagleGrNDD!$E:$E,"&lt;=4/30/2015",(EagleGrNDD!$C:$C),("NITROGEN, TOTAL (AS N)"),(EagleGrNDD!$H:$H),("FINAL EFFLUENT"),(EagleGrNDD!$G:$G),("LBS/DAY"))</f>
        <v>0</v>
      </c>
      <c r="N10" s="79" t="e">
        <f>L10*365</f>
        <v>#DIV/0!</v>
      </c>
      <c r="O10" s="80" t="e">
        <f>((D10-J10))/D10</f>
        <v>#DIV/0!</v>
      </c>
      <c r="P10" s="81" t="e">
        <f>((F10-L10))/F10</f>
        <v>#DIV/0!</v>
      </c>
      <c r="Q10" s="82" t="e">
        <f>(F10-L10)*365</f>
        <v>#DIV/0!</v>
      </c>
    </row>
    <row r="11" spans="1:17" s="21" customFormat="1" ht="5.25" customHeight="1" x14ac:dyDescent="0.2">
      <c r="A11" s="217"/>
      <c r="B11" s="73"/>
      <c r="C11" s="13"/>
      <c r="D11" s="14"/>
      <c r="E11" s="15"/>
      <c r="F11" s="16"/>
      <c r="G11" s="17"/>
      <c r="H11" s="18"/>
      <c r="I11" s="15"/>
      <c r="J11" s="14"/>
      <c r="K11" s="15"/>
      <c r="L11" s="16"/>
      <c r="M11" s="16"/>
      <c r="N11" s="18"/>
      <c r="O11" s="19"/>
      <c r="P11" s="20"/>
      <c r="Q11" s="43"/>
    </row>
    <row r="12" spans="1:17" s="54" customFormat="1" ht="11.25" customHeight="1" x14ac:dyDescent="0.2">
      <c r="A12" s="217"/>
      <c r="B12" s="83" t="s">
        <v>48</v>
      </c>
      <c r="C12" s="45">
        <f>COUNTIFS(EagleGrNDD!$E:$E,"&gt;=1/1/2015",EagleGrNDD!$E:$E,"&lt;=12/31/2015",EagleGrNDD!$C:$C,"NITROGEN, TOTAL (AS N)",EagleGrNDD!$G:$G,"MG/L",EagleGrNDD!$H:$H,"RAW WASTE")</f>
        <v>8</v>
      </c>
      <c r="D12" s="46">
        <f>AVERAGEIFS(EagleGrNDD!$F:$F,EagleGrNDD!$E:$E,"&gt;=1/1/2015",EagleGrNDD!$E:$E,"&lt;=12/31/2015",(EagleGrNDD!$C:$C),("NITROGEN, TOTAL (AS N)"),(EagleGrNDD!$H:$H),("RAW WASTE"),(EagleGrNDD!$G:$G),("MG/L"))</f>
        <v>19.012500000000003</v>
      </c>
      <c r="E12" s="45">
        <f>COUNTIFS(EagleGrNDD!$E:$E,"&gt;=1/1/2015",EagleGrNDD!$E:$E,"&lt;=12/31/2015",EagleGrNDD!$C:$C,"NITROGEN, TOTAL (AS N)",EagleGrNDD!$G:$G,"LBS/DAY",EagleGrNDD!$H:$H,"RAW WASTE")</f>
        <v>8</v>
      </c>
      <c r="F12" s="132">
        <f>AVERAGEIFS(EagleGrNDD!$F:$F,EagleGrNDD!$E:$E,"&gt;=1/1/2015",EagleGrNDD!$E:$E,"&lt;=12/31/2015",(EagleGrNDD!$C:$C),("NITROGEN, TOTAL (AS N)"),(EagleGrNDD!$H:$H),("RAW WASTE"),(EagleGrNDD!$G:$G),("LBS/DAY"))</f>
        <v>81.658712249999994</v>
      </c>
      <c r="G12" s="47">
        <f>SUMIFS(EagleGrNDD!$F:$F,EagleGrNDD!$E:$E,"&gt;=1/1/2015",EagleGrNDD!$E:$E,"&lt;=12/31/2015",(EagleGrNDD!$C:$C),("NITROGEN, TOTAL (AS N)"),(EagleGrNDD!$H:$H),("RAW WASTE"),(EagleGrNDD!$G:$G),("LBS/DAY"))</f>
        <v>653.26969799999995</v>
      </c>
      <c r="H12" s="48">
        <f>F12*365</f>
        <v>29805.429971249996</v>
      </c>
      <c r="I12" s="45">
        <f>COUNTIFS(EagleGrNDD!$E:$E,"&gt;=1/1/2015",EagleGrNDD!$E:$E,"&lt;=12/31/2015",EagleGrNDD!$C:$C,"NITROGEN, TOTAL (AS N)",EagleGrNDD!$G:$G,"MG/L",EagleGrNDD!$H:$H,"FINAL EFFLUENT")</f>
        <v>8</v>
      </c>
      <c r="J12" s="49">
        <f>AVERAGEIFS(EagleGrNDD!$F:$F,EagleGrNDD!$E:$E,"&gt;=1/1/2015",EagleGrNDD!$E:$E,"&lt;=12/31/2015",(EagleGrNDD!$C:$C),("NITROGEN, TOTAL (AS N)"),(EagleGrNDD!$H:$H),("FINAL EFFLUENT"),(EagleGrNDD!$G:$G),("MG/L"))</f>
        <v>12.7125</v>
      </c>
      <c r="K12" s="45">
        <f>COUNTIFS(EagleGrNDD!$E:$E,"&gt;=1/1/2015",EagleGrNDD!$E:$E,"&lt;=12/31/2015",EagleGrNDD!$C:$C,"NITROGEN, TOTAL (AS N)",EagleGrNDD!$G:$G,"LBS/DAY",EagleGrNDD!$H:$H,"FINAL EFFLUENT")</f>
        <v>8</v>
      </c>
      <c r="L12" s="140">
        <f>AVERAGEIFS((EagleGrNDD!$F:$F),EagleGrNDD!$E:$E,"&gt;=1/1/2015",EagleGrNDD!$E:$E,"&lt;=12/31/2015",(EagleGrNDD!$C:$C),("NITROGEN, TOTAL (AS N)"),(EagleGrNDD!$H:$H),("FINAL EFFLUENT"),(EagleGrNDD!$G:$G),("LBS/DAY"))</f>
        <v>68.657173499999999</v>
      </c>
      <c r="M12" s="47">
        <f>SUMIFS(EagleGrNDD!$F:$F,EagleGrNDD!$E:$E,"&gt;=1/1/2015",EagleGrNDD!$E:$E,"&lt;=12/31/2015",(EagleGrNDD!$C:$C),("NITROGEN, TOTAL (AS N)"),(EagleGrNDD!$H:$H),("FINAL EFFLUENT"),(EagleGrNDD!$G:$G),("LBS/DAY"))</f>
        <v>549.25738799999999</v>
      </c>
      <c r="N12" s="50">
        <f>L12*365</f>
        <v>25059.8683275</v>
      </c>
      <c r="O12" s="51">
        <f>((D12-J12))/D12</f>
        <v>0.33136094674556221</v>
      </c>
      <c r="P12" s="52">
        <f>((F12-L12))/F12</f>
        <v>0.15921802330405957</v>
      </c>
      <c r="Q12" s="53">
        <f>(F12-L12)*365</f>
        <v>4745.5616437499984</v>
      </c>
    </row>
    <row r="13" spans="1:17" s="44" customFormat="1" ht="11.25" customHeight="1" x14ac:dyDescent="0.2">
      <c r="A13" s="217"/>
      <c r="B13" s="84" t="s">
        <v>52</v>
      </c>
      <c r="C13" s="55">
        <f>COUNTIFS(EagleGrNDD!$E:$E,"&gt;=5/1/2015",EagleGrNDD!$E:$E,"&lt;=4/30/2016",EagleGrNDD!$C:$C,"NITROGEN, TOTAL (AS N)",EagleGrNDD!$G:$G,"MG/L",EagleGrNDD!$H:$H,"RAW WASTE")</f>
        <v>25</v>
      </c>
      <c r="D13" s="56">
        <f>AVERAGEIFS(EagleGrNDD!$F:$F,EagleGrNDD!$E:$E,"&gt;=5/1/2015",EagleGrNDD!$E:$E,"&lt;=4/30/2016",(EagleGrNDD!$C:$C),("NITROGEN, TOTAL (AS N)"),(EagleGrNDD!$H:$H),("RAW WASTE"),(EagleGrNDD!$G:$G),("MG/L"))</f>
        <v>15.076000000000001</v>
      </c>
      <c r="E13" s="55">
        <f>COUNTIFS(EagleGrNDD!$E:$E,"&gt;=5/1/2015",EagleGrNDD!$E:$E,"&lt;=4/30/2016",EagleGrNDD!$C:$C,"NITROGEN, TOTAL (AS N)",EagleGrNDD!$G:$G,"LBS/DAY",EagleGrNDD!$H:$H,"RAW WASTE")</f>
        <v>25</v>
      </c>
      <c r="F13" s="133">
        <f>AVERAGEIFS(EagleGrNDD!$F:$F,EagleGrNDD!$E:$E,"&gt;=5/1/2015",EagleGrNDD!$E:$E,"&lt;=4/30/2016",(EagleGrNDD!$C:$C),("NITROGEN, TOTAL (AS N)"),(EagleGrNDD!$H:$H),("RAW WASTE"),(EagleGrNDD!$G:$G),("LBS/DAY"))</f>
        <v>105.84344040000002</v>
      </c>
      <c r="G13" s="57">
        <f>SUMIFS(EagleGrNDD!$F:$F,EagleGrNDD!$E:$E,"&gt;=5/1/2015",EagleGrNDD!$E:$E,"&lt;=4/30/2016",(EagleGrNDD!$C:$C),("NITROGEN, TOTAL (AS N)"),(EagleGrNDD!$H:$H),("RAW WASTE"),(EagleGrNDD!$G:$G),("LBS/DAY"))</f>
        <v>2646.0860100000004</v>
      </c>
      <c r="H13" s="58">
        <f>F13*365</f>
        <v>38632.855746000008</v>
      </c>
      <c r="I13" s="55">
        <f>COUNTIFS(EagleGrNDD!$E:$E,"&gt;=5/1/2015",EagleGrNDD!$E:$E,"&lt;=4/30/2016",EagleGrNDD!$C:$C,"NITROGEN, TOTAL (AS N)",EagleGrNDD!$G:$G,"MG/L",EagleGrNDD!$H:$H,"FINAL EFFLUENT")</f>
        <v>25</v>
      </c>
      <c r="J13" s="56">
        <f>AVERAGEIFS(EagleGrNDD!$F:$F,EagleGrNDD!$E:$E,"&gt;=5/1/2015",EagleGrNDD!$E:$E,"&lt;=4/30/2016",(EagleGrNDD!$C:$C),("NITROGEN, TOTAL (AS N)"),(EagleGrNDD!$H:$H),("FINAL EFFLUENT"),(EagleGrNDD!$G:$G),("MG/L"))</f>
        <v>9.876000000000003</v>
      </c>
      <c r="K13" s="55">
        <f>COUNTIFS(EagleGrNDD!$E:$E,"&gt;=5/1/2015",EagleGrNDD!$E:$E,"&lt;=4/30/2016",EagleGrNDD!$C:$C,"NITROGEN, TOTAL (AS N)",EagleGrNDD!$G:$G,"LBS/DAY",EagleGrNDD!$H:$H,"FINAL EFFLUENT")</f>
        <v>25</v>
      </c>
      <c r="L13" s="133">
        <f>AVERAGEIFS((EagleGrNDD!$F:$F),EagleGrNDD!$E:$E,"&gt;=5/1/2015",EagleGrNDD!$E:$E,"&lt;=4/30/2016",(EagleGrNDD!$C:$C),("NITROGEN, TOTAL (AS N)"),(EagleGrNDD!$H:$H),("FINAL EFFLUENT"),(EagleGrNDD!$G:$G),("LBS/DAY"))</f>
        <v>85.403534879999995</v>
      </c>
      <c r="M13" s="57">
        <f>SUMIFS(EagleGrNDD!$F:$F,EagleGrNDD!$E:$E,"&gt;=5/1/2015",EagleGrNDD!$E:$E,"&lt;=4/30/2016",(EagleGrNDD!$C:$C),("NITROGEN, TOTAL (AS N)"),(EagleGrNDD!$H:$H),("FINAL EFFLUENT"),(EagleGrNDD!$G:$G),("LBS/DAY"))</f>
        <v>2135.0883719999997</v>
      </c>
      <c r="N13" s="58">
        <f>L13*365</f>
        <v>31172.290231199997</v>
      </c>
      <c r="O13" s="59">
        <f>((D13-J13))/D13</f>
        <v>0.34491907667816379</v>
      </c>
      <c r="P13" s="60">
        <f>((F13-L13))/F13</f>
        <v>0.19311452313675945</v>
      </c>
      <c r="Q13" s="61">
        <f>(F13-L13)*365</f>
        <v>7460.5655148000087</v>
      </c>
    </row>
    <row r="14" spans="1:17" s="71" customFormat="1" ht="5.25" customHeight="1" x14ac:dyDescent="0.2">
      <c r="A14" s="217"/>
      <c r="B14" s="85"/>
      <c r="C14" s="62"/>
      <c r="D14" s="63"/>
      <c r="E14" s="62"/>
      <c r="F14" s="134"/>
      <c r="G14" s="64"/>
      <c r="H14" s="65"/>
      <c r="I14" s="62"/>
      <c r="J14" s="66"/>
      <c r="K14" s="62"/>
      <c r="L14" s="141"/>
      <c r="M14" s="64"/>
      <c r="N14" s="67"/>
      <c r="O14" s="68"/>
      <c r="P14" s="69"/>
      <c r="Q14" s="70"/>
    </row>
    <row r="15" spans="1:17" s="71" customFormat="1" ht="11.25" customHeight="1" x14ac:dyDescent="0.2">
      <c r="A15" s="217"/>
      <c r="B15" s="86" t="s">
        <v>49</v>
      </c>
      <c r="C15" s="22">
        <f>COUNTIFS(EagleGrNDD!$E:$E,"&gt;=1/1/2016",EagleGrNDD!$E:$E,"&lt;=12/31/2016",EagleGrNDD!$C:$C,"NITROGEN, TOTAL (AS N)",EagleGrNDD!$G:$G,"MG/L",EagleGrNDD!$H:$H,"RAW WASTE")</f>
        <v>51</v>
      </c>
      <c r="D15" s="23">
        <f>AVERAGEIFS(EagleGrNDD!$F:$F,EagleGrNDD!$E:$E,"&gt;=1/1/2016",EagleGrNDD!$E:$E,"&lt;=12/31/2016",(EagleGrNDD!$C:$C),("NITROGEN, TOTAL (AS N)"),(EagleGrNDD!$H:$H),("RAW WASTE"),(EagleGrNDD!$G:$G),("MG/L"))</f>
        <v>16.184901960784309</v>
      </c>
      <c r="E15" s="22">
        <f>COUNTIFS(EagleGrNDD!$E:$E,"&gt;=1/1/2016",EagleGrNDD!$E:$E,"&lt;=12/31/2016",EagleGrNDD!$C:$C,"NITROGEN, TOTAL (AS N)",EagleGrNDD!$G:$G,"LBS/DAY",EagleGrNDD!$H:$H,"RAW WASTE")</f>
        <v>51</v>
      </c>
      <c r="F15" s="135">
        <f>AVERAGEIFS(EagleGrNDD!$F:$F,EagleGrNDD!$E:$E,"&gt;=1/1/2016",EagleGrNDD!$E:$E,"&lt;=12/31/2016",(EagleGrNDD!$C:$C),("NITROGEN, TOTAL (AS N)"),(EagleGrNDD!$H:$H),("RAW WASTE"),(EagleGrNDD!$G:$G),("LBS/DAY"))</f>
        <v>119.51493421176467</v>
      </c>
      <c r="G15" s="24">
        <f>SUMIFS(EagleGrNDD!$F:$F,EagleGrNDD!$E:$E,"&gt;=1/1/2016",EagleGrNDD!$E:$E,"&lt;=12/31/2016",(EagleGrNDD!$C:$C),("NITROGEN, TOTAL (AS N)"),(EagleGrNDD!$H:$H),("RAW WASTE"),(EagleGrNDD!$G:$G),("LBS/DAY"))</f>
        <v>6095.2616447999981</v>
      </c>
      <c r="H15" s="25">
        <f>F15*365</f>
        <v>43622.950987294105</v>
      </c>
      <c r="I15" s="22">
        <f>COUNTIFS(EagleGrNDD!$E:$E,"&gt;=1/1/2016",EagleGrNDD!$E:$E,"&lt;=12/31/2016",EagleGrNDD!$C:$C,"NITROGEN, TOTAL (AS N)",EagleGrNDD!$G:$G,"MG/L",EagleGrNDD!$H:$H,"FINAL EFFLUENT")</f>
        <v>51</v>
      </c>
      <c r="J15" s="26">
        <f>AVERAGEIFS(EagleGrNDD!$F:$F,EagleGrNDD!$E:$E,"&gt;=1/1/2016",EagleGrNDD!$E:$E,"&lt;=12/31/2016",(EagleGrNDD!$C:$C),("NITROGEN, TOTAL (AS N)"),(EagleGrNDD!$H:$H),("FINAL EFFLUENT"),(EagleGrNDD!$G:$G),("MG/L"))</f>
        <v>10.333333333333334</v>
      </c>
      <c r="K15" s="22">
        <f>COUNTIFS(EagleGrNDD!$E:$E,"&gt;=1/1/2016",EagleGrNDD!$E:$E,"&lt;=12/31/2016",EagleGrNDD!$C:$C,"NITROGEN, TOTAL (AS N)",EagleGrNDD!$G:$G,"LBS/DAY",EagleGrNDD!$H:$H,"FINAL EFFLUENT")</f>
        <v>51</v>
      </c>
      <c r="L15" s="142">
        <f>AVERAGEIFS((EagleGrNDD!$F:$F),EagleGrNDD!$E:$E,"&gt;=1/1/2016",EagleGrNDD!$E:$E,"&lt;=12/31/2016",(EagleGrNDD!$C:$C),("NITROGEN, TOTAL (AS N)"),(EagleGrNDD!$H:$H),("FINAL EFFLUENT"),(EagleGrNDD!$G:$G),("LBS/DAY"))</f>
        <v>94.338256682352963</v>
      </c>
      <c r="M15" s="24">
        <f>SUMIFS(EagleGrNDD!$F:$F,EagleGrNDD!$E:$E,"&gt;=1/1/2016",EagleGrNDD!$E:$E,"&lt;=12/31/2016",(EagleGrNDD!$C:$C),("NITROGEN, TOTAL (AS N)"),(EagleGrNDD!$H:$H),("FINAL EFFLUENT"),(EagleGrNDD!$G:$G),("LBS/DAY"))</f>
        <v>4811.2510908000013</v>
      </c>
      <c r="N15" s="27">
        <f>L15*365</f>
        <v>34433.46368905883</v>
      </c>
      <c r="O15" s="28">
        <f>((D15-J15))/D15</f>
        <v>0.36154489175338894</v>
      </c>
      <c r="P15" s="29">
        <f>((F15-L15))/F15</f>
        <v>0.21065716762059175</v>
      </c>
      <c r="Q15" s="72">
        <f>(F15-L15)*365</f>
        <v>9189.4872982352717</v>
      </c>
    </row>
    <row r="16" spans="1:17" s="44" customFormat="1" ht="11.25" customHeight="1" x14ac:dyDescent="0.2">
      <c r="A16" s="217"/>
      <c r="B16" s="87" t="s">
        <v>53</v>
      </c>
      <c r="C16" s="88">
        <f>COUNTIFS(EagleGrNDD!$E:$E,"&gt;=5/1/2016",EagleGrNDD!$E:$E,"&lt;=4/30/2017",EagleGrNDD!$C:$C,"NITROGEN, TOTAL (AS N)",EagleGrNDD!$G:$G,"MG/L",EagleGrNDD!$H:$H,"RAW WASTE")</f>
        <v>51</v>
      </c>
      <c r="D16" s="89">
        <f>AVERAGEIFS(EagleGrNDD!$F:$F,EagleGrNDD!$E:$E,"&gt;=5/1/2016",EagleGrNDD!$E:$E,"&lt;=4/30/2017",(EagleGrNDD!$C:$C),("NITROGEN, TOTAL (AS N)"),(EagleGrNDD!$H:$H),("RAW WASTE"),(EagleGrNDD!$G:$G),("MG/L"))</f>
        <v>17.016666666666662</v>
      </c>
      <c r="E16" s="88">
        <f>COUNTIFS(EagleGrNDD!$E:$E,"&gt;=5/1/2016",EagleGrNDD!$E:$E,"&lt;=4/30/2017",EagleGrNDD!$C:$C,"NITROGEN, TOTAL (AS N)",EagleGrNDD!$G:$G,"LBS/DAY",EagleGrNDD!$H:$H,"RAW WASTE")</f>
        <v>51</v>
      </c>
      <c r="F16" s="136">
        <f>AVERAGEIFS(EagleGrNDD!$F:$F,EagleGrNDD!$E:$E,"&gt;=5/1/2016",EagleGrNDD!$E:$E,"&lt;=4/30/2017",(EagleGrNDD!$C:$C),("NITROGEN, TOTAL (AS N)"),(EagleGrNDD!$H:$H),("RAW WASTE"),(EagleGrNDD!$G:$G),("LBS/DAY"))</f>
        <v>129.48664876078433</v>
      </c>
      <c r="G16" s="90">
        <f>SUMIFS(EagleGrNDD!$F:$F,EagleGrNDD!$E:$E,"&gt;=5/1/2016",EagleGrNDD!$E:$E,"&lt;=4/30/2017",(EagleGrNDD!$C:$C),("NITROGEN, TOTAL (AS N)"),(EagleGrNDD!$H:$H),("RAW WASTE"),(EagleGrNDD!$G:$G),("LBS/DAY"))</f>
        <v>6603.8190868000011</v>
      </c>
      <c r="H16" s="91">
        <f>F16*365</f>
        <v>47262.62679768628</v>
      </c>
      <c r="I16" s="88">
        <f>COUNTIFS(EagleGrNDD!$E:$E,"&gt;=5/1/2016",EagleGrNDD!$E:$E,"&lt;=4/30/2017",EagleGrNDD!$C:$C,"NITROGEN, TOTAL (AS N)",EagleGrNDD!$G:$G,"MG/L",EagleGrNDD!$H:$H,"FINAL EFFLUENT")</f>
        <v>51</v>
      </c>
      <c r="J16" s="89">
        <f>AVERAGEIFS(EagleGrNDD!$F:$F,EagleGrNDD!$E:$E,"&gt;=5/1/2016",EagleGrNDD!$E:$E,"&lt;=4/30/2017",(EagleGrNDD!$C:$C),("NITROGEN, TOTAL (AS N)"),(EagleGrNDD!$H:$H),("FINAL EFFLUENT"),(EagleGrNDD!$G:$G),("MG/L"))</f>
        <v>11.256666666666666</v>
      </c>
      <c r="K16" s="88">
        <f>COUNTIFS(EagleGrNDD!$E:$E,"&gt;=5/1/2016",EagleGrNDD!$E:$E,"&lt;=4/30/2017",EagleGrNDD!$C:$C,"NITROGEN, TOTAL (AS N)",EagleGrNDD!$G:$G,"LBS/DAY",EagleGrNDD!$H:$H,"FINAL EFFLUENT")</f>
        <v>51</v>
      </c>
      <c r="L16" s="136">
        <f>AVERAGEIFS((EagleGrNDD!$F:$F),EagleGrNDD!$E:$E,"&gt;=5/1/2016",EagleGrNDD!$E:$E,"&lt;=4/30/2017",(EagleGrNDD!$C:$C),("NITROGEN, TOTAL (AS N)"),(EagleGrNDD!$H:$H),("FINAL EFFLUENT"),(EagleGrNDD!$G:$G),("LBS/DAY"))</f>
        <v>104.97169989803919</v>
      </c>
      <c r="M16" s="90">
        <f>SUMIFS(EagleGrNDD!$F:$F,EagleGrNDD!$E:$E,"&gt;=5/1/2016",EagleGrNDD!$E:$E,"&lt;=4/30/2017",(EagleGrNDD!$C:$C),("NITROGEN, TOTAL (AS N)"),(EagleGrNDD!$H:$H),("FINAL EFFLUENT"),(EagleGrNDD!$G:$G),("LBS/DAY"))</f>
        <v>5353.5566947999987</v>
      </c>
      <c r="N16" s="91">
        <f>L16*365</f>
        <v>38314.670462784306</v>
      </c>
      <c r="O16" s="92">
        <f>((D16-J16))/D16</f>
        <v>0.33849167482859926</v>
      </c>
      <c r="P16" s="93">
        <f>((F16-L16))/F16</f>
        <v>0.18932414343377166</v>
      </c>
      <c r="Q16" s="94">
        <f>(F16-L16)*365</f>
        <v>8947.9563349019772</v>
      </c>
    </row>
    <row r="17" spans="1:17" s="44" customFormat="1" ht="5.25" customHeight="1" x14ac:dyDescent="0.2">
      <c r="A17" s="217"/>
      <c r="B17" s="95"/>
      <c r="C17" s="96"/>
      <c r="D17" s="97"/>
      <c r="E17" s="96"/>
      <c r="F17" s="97"/>
      <c r="G17" s="99"/>
      <c r="H17" s="99"/>
      <c r="I17" s="96"/>
      <c r="J17" s="97"/>
      <c r="K17" s="96"/>
      <c r="L17" s="97"/>
      <c r="M17" s="99"/>
      <c r="N17" s="99"/>
      <c r="O17" s="100"/>
      <c r="P17" s="100"/>
      <c r="Q17" s="101"/>
    </row>
    <row r="18" spans="1:17" s="112" customFormat="1" ht="11.25" customHeight="1" x14ac:dyDescent="0.2">
      <c r="A18" s="217"/>
      <c r="B18" s="102" t="s">
        <v>54</v>
      </c>
      <c r="C18" s="103">
        <f>COUNTIFS(EagleGrNDD!$E:$E,"&gt;=1/1/2017",EagleGrNDD!$E:$E,"&lt;=12/31/2017",EagleGrNDD!$C:$C,"NITROGEN, TOTAL (AS N)",EagleGrNDD!$G:$G,"MG/L",EagleGrNDD!$H:$H,"RAW WASTE")</f>
        <v>52</v>
      </c>
      <c r="D18" s="104">
        <f>AVERAGEIFS(EagleGrNDD!$F:$F,EagleGrNDD!$E:$E,"&gt;=1/1/2017",EagleGrNDD!$E:$E,"&lt;=12/31/2017",(EagleGrNDD!$C:$C),("NITROGEN, TOTAL (AS N)"),(EagleGrNDD!$H:$H),("RAW WASTE"),(EagleGrNDD!$G:$G),("MG/L"))</f>
        <v>15.258557692307692</v>
      </c>
      <c r="E18" s="103">
        <f>COUNTIFS(EagleGrNDD!$E:$E,"&gt;=1/1/2017",EagleGrNDD!$E:$E,"&lt;=12/31/2017",EagleGrNDD!$C:$C,"NITROGEN, TOTAL (AS N)",EagleGrNDD!$G:$G,"LBS/DAY",EagleGrNDD!$H:$H,"RAW WASTE")</f>
        <v>52</v>
      </c>
      <c r="F18" s="138">
        <f>AVERAGEIFS(EagleGrNDD!$F:$F,EagleGrNDD!$E:$E,"&gt;=1/1/2017",EagleGrNDD!$E:$E,"&lt;=12/31/2017",(EagleGrNDD!$C:$C),("NITROGEN, TOTAL (AS N)"),(EagleGrNDD!$H:$H),("RAW WASTE"),(EagleGrNDD!$G:$G),("LBS/DAY"))</f>
        <v>102.76547751346155</v>
      </c>
      <c r="G18" s="105">
        <f>SUMIFS(EagleGrNDD!$F:$F,EagleGrNDD!$E:$E,"&gt;=1/1/2017",EagleGrNDD!$E:$E,"&lt;=12/31/2017",(EagleGrNDD!$C:$C),("NITROGEN, TOTAL (AS N)"),(EagleGrNDD!$H:$H),("RAW WASTE"),(EagleGrNDD!$G:$G),("LBS/DAY"))</f>
        <v>5343.8048307000008</v>
      </c>
      <c r="H18" s="106">
        <f>F18*365</f>
        <v>37509.399292413465</v>
      </c>
      <c r="I18" s="103">
        <f>COUNTIFS(EagleGrNDD!$E:$E,"&gt;=1/1/2017",EagleGrNDD!$E:$E,"&lt;=12/31/2017",EagleGrNDD!$C:$C,"NITROGEN, TOTAL (AS N)",EagleGrNDD!$G:$G,"MG/L",EagleGrNDD!$H:$H,"FINAL EFFLUENT")</f>
        <v>52</v>
      </c>
      <c r="J18" s="107">
        <f>AVERAGEIFS(EagleGrNDD!$F:$F,EagleGrNDD!$E:$E,"&gt;=1/1/2017",EagleGrNDD!$E:$E,"&lt;=12/31/2017",(EagleGrNDD!$C:$C),("NITROGEN, TOTAL (AS N)"),(EagleGrNDD!$H:$H),("FINAL EFFLUENT"),(EagleGrNDD!$G:$G),("MG/L"))</f>
        <v>9.5160096153846148</v>
      </c>
      <c r="K18" s="103">
        <f>COUNTIFS(EagleGrNDD!$E:$E,"&gt;=1/1/2017",EagleGrNDD!$E:$E,"&lt;=12/31/2017",EagleGrNDD!$C:$C,"NITROGEN, TOTAL (AS N)",EagleGrNDD!$G:$G,"LBS/DAY",EagleGrNDD!$H:$H,"FINAL EFFLUENT")</f>
        <v>52</v>
      </c>
      <c r="L18" s="143">
        <f>AVERAGEIFS((EagleGrNDD!$F:$F),EagleGrNDD!$E:$E,"&gt;=1/1/2017",EagleGrNDD!$E:$E,"&lt;=12/31/2017",(EagleGrNDD!$C:$C),("NITROGEN, TOTAL (AS N)"),(EagleGrNDD!$H:$H),("FINAL EFFLUENT"),(EagleGrNDD!$G:$G),("LBS/DAY"))</f>
        <v>79.06930586923076</v>
      </c>
      <c r="M18" s="105">
        <f>SUMIFS(EagleGrNDD!$F:$F,EagleGrNDD!$E:$E,"&gt;=1/1/2017",EagleGrNDD!$E:$E,"&lt;=12/31/2017",(EagleGrNDD!$C:$C),("NITROGEN, TOTAL (AS N)"),(EagleGrNDD!$H:$H),("FINAL EFFLUENT"),(EagleGrNDD!$G:$G),("LBS/DAY"))</f>
        <v>4111.6039051999996</v>
      </c>
      <c r="N18" s="108">
        <f>L18*365</f>
        <v>28860.296642269226</v>
      </c>
      <c r="O18" s="109">
        <f>((D18-J18))/D18</f>
        <v>0.37634933738318349</v>
      </c>
      <c r="P18" s="110">
        <f>((F18-L18))/F18</f>
        <v>0.23058494172935418</v>
      </c>
      <c r="Q18" s="111">
        <f>(F18-L18)*365</f>
        <v>8649.1026501442375</v>
      </c>
    </row>
    <row r="19" spans="1:17" s="44" customFormat="1" ht="11.25" customHeight="1" x14ac:dyDescent="0.2">
      <c r="A19" s="217"/>
      <c r="B19" s="169" t="s">
        <v>55</v>
      </c>
      <c r="C19" s="124">
        <f>COUNTIFS(EagleGrNDD!$E:$E,"&gt;=5/1/2017",EagleGrNDD!$E:$E,"&lt;=4/30/2018",EagleGrNDD!$C:$C,"NITROGEN, TOTAL (AS N)",EagleGrNDD!$G:$G,"MG/L",EagleGrNDD!$H:$H,"RAW WASTE")</f>
        <v>52</v>
      </c>
      <c r="D19" s="125">
        <f>AVERAGEIFS(EagleGrNDD!$F:$F,EagleGrNDD!$E:$E,"&gt;=5/1/2017",EagleGrNDD!$E:$E,"&lt;=4/30/2018",(EagleGrNDD!$C:$C),("NITROGEN, TOTAL (AS N)"),(EagleGrNDD!$H:$H),("RAW WASTE"),(EagleGrNDD!$G:$G),("MG/L"))</f>
        <v>16.773557692307687</v>
      </c>
      <c r="E19" s="124">
        <f>COUNTIFS(EagleGrNDD!$E:$E,"&gt;=5/1/2017",EagleGrNDD!$E:$E,"&lt;=4/30/2018",EagleGrNDD!$C:$C,"NITROGEN, TOTAL (AS N)",EagleGrNDD!$G:$G,"LBS/DAY",EagleGrNDD!$H:$H,"RAW WASTE")</f>
        <v>52</v>
      </c>
      <c r="F19" s="139">
        <f>AVERAGEIFS(EagleGrNDD!$F:$F,EagleGrNDD!$E:$E,"&gt;=5/1/2017",EagleGrNDD!$E:$E,"&lt;=4/30/2018",(EagleGrNDD!$C:$C),("NITROGEN, TOTAL (AS N)"),(EagleGrNDD!$H:$H),("RAW WASTE"),(EagleGrNDD!$G:$G),("LBS/DAY"))</f>
        <v>103.28497762884616</v>
      </c>
      <c r="G19" s="126">
        <f>SUMIFS(EagleGrNDD!$F:$F,EagleGrNDD!$E:$E,"&gt;=5/1/2017",EagleGrNDD!$E:$E,"&lt;=4/30/2018",(EagleGrNDD!$C:$C),("NITROGEN, TOTAL (AS N)"),(EagleGrNDD!$H:$H),("RAW WASTE"),(EagleGrNDD!$G:$G),("LBS/DAY"))</f>
        <v>5370.8188367000002</v>
      </c>
      <c r="H19" s="127">
        <f>F19*365</f>
        <v>37699.016834528848</v>
      </c>
      <c r="I19" s="124">
        <f>COUNTIFS(EagleGrNDD!$E:$E,"&gt;=5/1/2017",EagleGrNDD!$E:$E,"&lt;=4/30/2018",EagleGrNDD!$C:$C,"NITROGEN, TOTAL (AS N)",EagleGrNDD!$G:$G,"MG/L",EagleGrNDD!$H:$H,"FINAL EFFLUENT")</f>
        <v>52</v>
      </c>
      <c r="J19" s="125">
        <f>AVERAGEIFS(EagleGrNDD!$F:$F,EagleGrNDD!$E:$E,"&gt;=5/1/2017",EagleGrNDD!$E:$E,"&lt;=4/30/2018",(EagleGrNDD!$C:$C),("NITROGEN, TOTAL (AS N)"),(EagleGrNDD!$H:$H),("FINAL EFFLUENT"),(EagleGrNDD!$G:$G),("MG/L"))</f>
        <v>9.9787211538461538</v>
      </c>
      <c r="K19" s="124">
        <f>COUNTIFS(EagleGrNDD!$E:$E,"&gt;=5/1/2017",EagleGrNDD!$E:$E,"&lt;=4/30/2018",EagleGrNDD!$C:$C,"NITROGEN, TOTAL (AS N)",EagleGrNDD!$G:$G,"LBS/DAY",EagleGrNDD!$H:$H,"FINAL EFFLUENT")</f>
        <v>52</v>
      </c>
      <c r="L19" s="139">
        <f>AVERAGEIFS((EagleGrNDD!$F:$F),EagleGrNDD!$E:$E,"&gt;=5/1/2017",EagleGrNDD!$E:$E,"&lt;=4/30/2018",(EagleGrNDD!$C:$C),("NITROGEN, TOTAL (AS N)"),(EagleGrNDD!$H:$H),("FINAL EFFLUENT"),(EagleGrNDD!$G:$G),("LBS/DAY"))</f>
        <v>77.399681692307695</v>
      </c>
      <c r="M19" s="126">
        <f>SUMIFS(EagleGrNDD!$F:$F,EagleGrNDD!$E:$E,"&gt;=5/1/2017",EagleGrNDD!$E:$E,"&lt;=4/30/2018",(EagleGrNDD!$C:$C),("NITROGEN, TOTAL (AS N)"),(EagleGrNDD!$H:$H),("FINAL EFFLUENT"),(EagleGrNDD!$G:$G),("LBS/DAY"))</f>
        <v>4024.7834480000001</v>
      </c>
      <c r="N19" s="127">
        <f>L19*365</f>
        <v>28250.883817692309</v>
      </c>
      <c r="O19" s="128">
        <f>((D19-J19))/D19</f>
        <v>0.4050921493880591</v>
      </c>
      <c r="P19" s="129">
        <f>((F19-L19))/F19</f>
        <v>0.2506201437110932</v>
      </c>
      <c r="Q19" s="130">
        <f>(F19-L19)*365</f>
        <v>9448.1330168365421</v>
      </c>
    </row>
    <row r="20" spans="1:17" s="44" customFormat="1" ht="5.25" customHeight="1" x14ac:dyDescent="0.2">
      <c r="A20" s="217"/>
      <c r="B20" s="95"/>
      <c r="C20" s="96"/>
      <c r="D20" s="97"/>
      <c r="E20" s="96"/>
      <c r="F20" s="97"/>
      <c r="G20" s="99"/>
      <c r="H20" s="99"/>
      <c r="I20" s="96"/>
      <c r="J20" s="97"/>
      <c r="K20" s="96"/>
      <c r="L20" s="97"/>
      <c r="M20" s="99"/>
      <c r="N20" s="99"/>
      <c r="O20" s="100"/>
      <c r="P20" s="100"/>
      <c r="Q20" s="101"/>
    </row>
    <row r="21" spans="1:17" s="156" customFormat="1" ht="11.25" customHeight="1" x14ac:dyDescent="0.2">
      <c r="A21" s="217"/>
      <c r="B21" s="144" t="s">
        <v>60</v>
      </c>
      <c r="C21" s="145">
        <f>COUNTIFS(EagleGrNDD!$E:$E,"&gt;=1/1/2018",EagleGrNDD!$E:$E,"&lt;=12/31/2018",EagleGrNDD!$C:$C,"NITROGEN, TOTAL (AS N)",EagleGrNDD!$G:$G,"MG/L",EagleGrNDD!$H:$H,"RAW WASTE")</f>
        <v>17</v>
      </c>
      <c r="D21" s="146">
        <f>AVERAGEIFS(EagleGrNDD!$F:$F,EagleGrNDD!$E:$E,"&gt;=1/1/2018",EagleGrNDD!$E:$E,"&lt;=12/31/2018",(EagleGrNDD!$C:$C),("NITROGEN, TOTAL (AS N)"),(EagleGrNDD!$H:$H),("RAW WASTE"),(EagleGrNDD!$G:$G),("MG/L"))</f>
        <v>20.352941176470587</v>
      </c>
      <c r="E21" s="145">
        <f>COUNTIFS(EagleGrNDD!$E:$E,"&gt;=1/1/2018",EagleGrNDD!$E:$E,"&lt;=12/31/2018",EagleGrNDD!$C:$C,"NITROGEN, TOTAL (AS N)",EagleGrNDD!$G:$G,"LBS/DAY",EagleGrNDD!$H:$H,"RAW WASTE")</f>
        <v>17</v>
      </c>
      <c r="F21" s="147">
        <f>AVERAGEIFS(EagleGrNDD!$F:$F,EagleGrNDD!$E:$E,"&gt;=1/1/2018",EagleGrNDD!$E:$E,"&lt;=12/31/2018",(EagleGrNDD!$C:$C),("NITROGEN, TOTAL (AS N)"),(EagleGrNDD!$H:$H),("RAW WASTE"),(EagleGrNDD!$G:$G),("LBS/DAY"))</f>
        <v>148.7286917647059</v>
      </c>
      <c r="G21" s="148">
        <f>SUMIFS(EagleGrNDD!$F:$F,EagleGrNDD!$E:$E,"&gt;=1/1/2018",EagleGrNDD!$E:$E,"&lt;=12/31/2018",(EagleGrNDD!$C:$C),("NITROGEN, TOTAL (AS N)"),(EagleGrNDD!$H:$H),("RAW WASTE"),(EagleGrNDD!$G:$G),("LBS/DAY"))</f>
        <v>2528.3877600000005</v>
      </c>
      <c r="H21" s="149">
        <f>F21*365</f>
        <v>54285.972494117654</v>
      </c>
      <c r="I21" s="145">
        <f>COUNTIFS(EagleGrNDD!$E:$E,"&gt;=1/1/2018",EagleGrNDD!$E:$E,"&lt;=12/31/2018",EagleGrNDD!$C:$C,"NITROGEN, TOTAL (AS N)",EagleGrNDD!$G:$G,"MG/L",EagleGrNDD!$H:$H,"FINAL EFFLUENT")</f>
        <v>17</v>
      </c>
      <c r="J21" s="150">
        <f>AVERAGEIFS(EagleGrNDD!$F:$F,EagleGrNDD!$E:$E,"&gt;=1/1/2018",EagleGrNDD!$E:$E,"&lt;=12/31/2018",(EagleGrNDD!$C:$C),("NITROGEN, TOTAL (AS N)"),(EagleGrNDD!$H:$H),("FINAL EFFLUENT"),(EagleGrNDD!$G:$G),("MG/L"))</f>
        <v>12.726529411764705</v>
      </c>
      <c r="K21" s="145">
        <f>COUNTIFS(EagleGrNDD!$E:$E,"&gt;=1/1/2018",EagleGrNDD!$E:$E,"&lt;=12/31/2018",EagleGrNDD!$C:$C,"NITROGEN, TOTAL (AS N)",EagleGrNDD!$G:$G,"LBS/DAY",EagleGrNDD!$H:$H,"FINAL EFFLUENT")</f>
        <v>17</v>
      </c>
      <c r="L21" s="151">
        <f>AVERAGEIFS((EagleGrNDD!$F:$F),EagleGrNDD!$E:$E,"&gt;=1/1/2018",EagleGrNDD!$E:$E,"&lt;=12/31/2018",(EagleGrNDD!$C:$C),("NITROGEN, TOTAL (AS N)"),(EagleGrNDD!$H:$H),("FINAL EFFLUENT"),(EagleGrNDD!$G:$G),("LBS/DAY"))</f>
        <v>120.0774194588235</v>
      </c>
      <c r="M21" s="148">
        <f>SUMIFS(EagleGrNDD!$F:$F,EagleGrNDD!$E:$E,"&gt;=1/1/2018",EagleGrNDD!$E:$E,"&lt;=12/31/2018",(EagleGrNDD!$C:$C),("NITROGEN, TOTAL (AS N)"),(EagleGrNDD!$H:$H),("FINAL EFFLUENT"),(EagleGrNDD!$G:$G),("LBS/DAY"))</f>
        <v>2041.3161307999994</v>
      </c>
      <c r="N21" s="152">
        <f>L21*365</f>
        <v>43828.25810247058</v>
      </c>
      <c r="O21" s="153">
        <f>((D21-J21))/D21</f>
        <v>0.37470809248554915</v>
      </c>
      <c r="P21" s="154">
        <f>((F21-L21))/F21</f>
        <v>0.19264119092239268</v>
      </c>
      <c r="Q21" s="155">
        <f>(F21-L21)*365</f>
        <v>10457.714391647076</v>
      </c>
    </row>
    <row r="22" spans="1:17" s="44" customFormat="1" ht="11.25" customHeight="1" thickBot="1" x14ac:dyDescent="0.25">
      <c r="A22" s="218"/>
      <c r="B22" s="157" t="s">
        <v>61</v>
      </c>
      <c r="C22" s="158">
        <f>COUNTIFS(EagleGrNDD!$E:$E,"&gt;=5/1/2018",EagleGrNDD!$E:$E,"&lt;=4/30/2019",EagleGrNDD!$C:$C,"NITROGEN, TOTAL (AS N)",EagleGrNDD!$G:$G,"MG/L",EagleGrNDD!$H:$H,"RAW WASTE")</f>
        <v>0</v>
      </c>
      <c r="D22" s="159" t="e">
        <f>AVERAGEIFS(EagleGrNDD!$F:$F,EagleGrNDD!$E:$E,"&gt;=5/1/2018",EagleGrNDD!$E:$E,"&lt;=4/30/2019",(EagleGrNDD!$C:$C),("NITROGEN, TOTAL (AS N)"),(EagleGrNDD!$H:$H),("RAW WASTE"),(EagleGrNDD!$G:$G),("MG/L"))</f>
        <v>#DIV/0!</v>
      </c>
      <c r="E22" s="158">
        <f>COUNTIFS(EagleGrNDD!$E:$E,"&gt;=5/1/2018",EagleGrNDD!$E:$E,"&lt;=4/30/2019",EagleGrNDD!$C:$C,"NITROGEN, TOTAL (AS N)",EagleGrNDD!$G:$G,"LBS/DAY",EagleGrNDD!$H:$H,"RAW WASTE")</f>
        <v>0</v>
      </c>
      <c r="F22" s="160" t="e">
        <f>AVERAGEIFS(EagleGrNDD!$F:$F,EagleGrNDD!$E:$E,"&gt;=5/1/2018",EagleGrNDD!$E:$E,"&lt;=4/30/2019",(EagleGrNDD!$C:$C),("NITROGEN, TOTAL (AS N)"),(EagleGrNDD!$H:$H),("RAW WASTE"),(EagleGrNDD!$G:$G),("LBS/DAY"))</f>
        <v>#DIV/0!</v>
      </c>
      <c r="G22" s="161">
        <f>SUMIFS(EagleGrNDD!$F:$F,EagleGrNDD!$E:$E,"&gt;=5/1/2018",EagleGrNDD!$E:$E,"&lt;=4/30/2019",(EagleGrNDD!$C:$C),("NITROGEN, TOTAL (AS N)"),(EagleGrNDD!$H:$H),("RAW WASTE"),(EagleGrNDD!$G:$G),("LBS/DAY"))</f>
        <v>0</v>
      </c>
      <c r="H22" s="162" t="e">
        <f>F22*365</f>
        <v>#DIV/0!</v>
      </c>
      <c r="I22" s="158" t="s">
        <v>79</v>
      </c>
      <c r="J22" s="159" t="e">
        <f>AVERAGEIFS(EagleGrNDD!$F:$F,EagleGrNDD!$E:$E,"&gt;=5/1/2018",EagleGrNDD!$E:$E,"&lt;=4/30/2019",(EagleGrNDD!$C:$C),("NITROGEN, TOTAL (AS N)"),(EagleGrNDD!$H:$H),("FINAL EFFLUENT"),(EagleGrNDD!$G:$G),("MG/L"))</f>
        <v>#DIV/0!</v>
      </c>
      <c r="K22" s="158">
        <f>COUNTIFS(EagleGrNDD!$E:$E,"&gt;=5/1/2018",EagleGrNDD!$E:$E,"&lt;=4/30/2019",EagleGrNDD!$C:$C,"NITROGEN, TOTAL (AS N)",EagleGrNDD!$G:$G,"LBS/DAY",EagleGrNDD!$H:$H,"FINAL EFFLUENT")</f>
        <v>0</v>
      </c>
      <c r="L22" s="160" t="e">
        <f>AVERAGEIFS((EagleGrNDD!$F:$F),EagleGrNDD!$E:$E,"&gt;=5/1/2018",EagleGrNDD!$E:$E,"&lt;=4/30/2019",(EagleGrNDD!$C:$C),("NITROGEN, TOTAL (AS N)"),(EagleGrNDD!$H:$H),("FINAL EFFLUENT"),(EagleGrNDD!$G:$G),("LBS/DAY"))</f>
        <v>#DIV/0!</v>
      </c>
      <c r="M22" s="161">
        <f>SUMIFS(EagleGrNDD!$F:$F,EagleGrNDD!$E:$E,"&gt;=5/1/2018",EagleGrNDD!$E:$E,"&lt;=4/30/2019",(EagleGrNDD!$C:$C),("NITROGEN, TOTAL (AS N)"),(EagleGrNDD!$H:$H),("FINAL EFFLUENT"),(EagleGrNDD!$G:$G),("LBS/DAY"))</f>
        <v>0</v>
      </c>
      <c r="N22" s="162" t="e">
        <f>L22*365</f>
        <v>#DIV/0!</v>
      </c>
      <c r="O22" s="163" t="e">
        <f>((D22-J22))/D22</f>
        <v>#DIV/0!</v>
      </c>
      <c r="P22" s="164" t="e">
        <f>((F22-L22))/F22</f>
        <v>#DIV/0!</v>
      </c>
      <c r="Q22" s="165" t="e">
        <f>(F22-L22)*365</f>
        <v>#DIV/0!</v>
      </c>
    </row>
    <row r="23" spans="1:17" s="44" customFormat="1" ht="11.25" customHeight="1" x14ac:dyDescent="0.2">
      <c r="A23" s="119"/>
      <c r="B23" s="95"/>
      <c r="C23" s="96"/>
      <c r="D23" s="97"/>
      <c r="E23" s="96"/>
      <c r="F23" s="97"/>
      <c r="G23" s="99"/>
      <c r="H23" s="99"/>
      <c r="I23" s="96"/>
      <c r="J23" s="97"/>
      <c r="K23" s="96"/>
      <c r="L23" s="97"/>
      <c r="M23" s="99"/>
      <c r="N23" s="99"/>
      <c r="O23" s="100"/>
      <c r="P23" s="166" t="s">
        <v>63</v>
      </c>
      <c r="Q23" s="99">
        <f>_xlfn.STDEV.P(Q16,Q19)</f>
        <v>250.08834096728242</v>
      </c>
    </row>
    <row r="24" spans="1:17" s="44" customFormat="1" ht="11.25" customHeight="1" x14ac:dyDescent="0.2">
      <c r="A24" s="119"/>
      <c r="B24" s="95"/>
      <c r="C24" s="96"/>
      <c r="D24" s="97"/>
      <c r="E24" s="96"/>
      <c r="F24" s="97"/>
      <c r="G24" s="99"/>
      <c r="H24" s="99"/>
      <c r="I24" s="96"/>
      <c r="J24" s="97"/>
      <c r="K24" s="96"/>
      <c r="L24" s="97"/>
      <c r="M24" s="99"/>
      <c r="N24" s="99"/>
      <c r="O24" s="100"/>
      <c r="P24" s="166" t="s">
        <v>64</v>
      </c>
      <c r="Q24" s="167">
        <f>(Q23/(AVERAGE(Q16,Q19)))</f>
        <v>2.7189294005429243E-2</v>
      </c>
    </row>
    <row r="25" spans="1:17" s="44" customFormat="1" ht="11.25" customHeight="1" x14ac:dyDescent="0.2">
      <c r="A25" s="119"/>
      <c r="B25" s="95"/>
      <c r="C25" s="96"/>
      <c r="D25" s="97"/>
      <c r="E25" s="96"/>
      <c r="F25" s="97"/>
      <c r="G25" s="99"/>
      <c r="H25" s="99"/>
      <c r="I25" s="96"/>
      <c r="J25" s="97"/>
      <c r="K25" s="96"/>
      <c r="L25" s="97"/>
      <c r="M25" s="99"/>
      <c r="N25" s="99"/>
      <c r="O25" s="100"/>
      <c r="P25" s="166" t="s">
        <v>65</v>
      </c>
      <c r="Q25" s="99">
        <f>_xlfn.STDEV.P(Q15,Q18)</f>
        <v>270.19232404551713</v>
      </c>
    </row>
    <row r="26" spans="1:17" s="44" customFormat="1" ht="11.25" customHeight="1" x14ac:dyDescent="0.2">
      <c r="A26" s="119"/>
      <c r="B26" s="95"/>
      <c r="C26" s="96"/>
      <c r="D26" s="97"/>
      <c r="E26" s="96"/>
      <c r="F26" s="97"/>
      <c r="G26" s="99"/>
      <c r="H26" s="99"/>
      <c r="I26" s="96"/>
      <c r="J26" s="97"/>
      <c r="K26" s="96"/>
      <c r="L26" s="97"/>
      <c r="M26" s="99"/>
      <c r="N26" s="99"/>
      <c r="O26" s="100"/>
      <c r="P26" s="166" t="s">
        <v>66</v>
      </c>
      <c r="Q26" s="167">
        <f>Q25/(AVERAGE(Q15,Q18))</f>
        <v>3.029301361008771E-2</v>
      </c>
    </row>
    <row r="27" spans="1:17" s="44" customFormat="1" ht="11.25" customHeight="1" x14ac:dyDescent="0.2">
      <c r="A27" s="119"/>
      <c r="B27" s="95"/>
      <c r="C27" s="96"/>
      <c r="D27" s="97"/>
      <c r="E27" s="96"/>
      <c r="F27" s="97"/>
      <c r="G27" s="99"/>
      <c r="H27" s="99"/>
      <c r="I27" s="96"/>
      <c r="J27" s="97"/>
      <c r="K27" s="96"/>
      <c r="L27" s="97"/>
      <c r="M27" s="99"/>
      <c r="N27" s="99"/>
      <c r="O27" s="100"/>
      <c r="P27" s="166" t="s">
        <v>67</v>
      </c>
      <c r="Q27" s="168">
        <f>_xlfn.STDEV.P(Q15:Q19)</f>
        <v>295.29541848299306</v>
      </c>
    </row>
    <row r="28" spans="1:17" s="44" customFormat="1" ht="11.25" customHeight="1" x14ac:dyDescent="0.2">
      <c r="A28" s="119"/>
      <c r="B28" s="95"/>
      <c r="C28" s="96"/>
      <c r="D28" s="97"/>
      <c r="E28" s="96"/>
      <c r="F28" s="97"/>
      <c r="G28" s="99"/>
      <c r="H28" s="99"/>
      <c r="I28" s="96"/>
      <c r="J28" s="97"/>
      <c r="K28" s="96"/>
      <c r="L28" s="97"/>
      <c r="M28" s="99"/>
      <c r="N28" s="99"/>
      <c r="O28" s="100"/>
      <c r="P28" s="166" t="s">
        <v>68</v>
      </c>
      <c r="Q28" s="100">
        <f>Q27/(AVERAGE(Q15:Q19))</f>
        <v>3.2598099300084726E-2</v>
      </c>
    </row>
    <row r="29" spans="1:17" s="44" customFormat="1" ht="11.25" customHeight="1" x14ac:dyDescent="0.2">
      <c r="A29" s="119"/>
      <c r="B29" s="95"/>
      <c r="C29" s="96"/>
      <c r="D29" s="97"/>
      <c r="E29" s="96"/>
      <c r="F29" s="97"/>
      <c r="G29" s="99"/>
      <c r="H29" s="99"/>
      <c r="I29" s="96"/>
      <c r="J29" s="97"/>
      <c r="K29" s="96"/>
      <c r="L29" s="97"/>
      <c r="M29" s="99"/>
      <c r="N29" s="99"/>
      <c r="O29" s="100"/>
      <c r="P29" s="100"/>
      <c r="Q29" s="99"/>
    </row>
    <row r="30" spans="1:17" ht="11.25" customHeight="1" thickBot="1" x14ac:dyDescent="0.25"/>
    <row r="31" spans="1:17" ht="11.25" customHeight="1" x14ac:dyDescent="0.2">
      <c r="A31" s="216" t="s">
        <v>39</v>
      </c>
      <c r="B31" s="210" t="s">
        <v>39</v>
      </c>
      <c r="C31" s="213" t="s">
        <v>40</v>
      </c>
      <c r="D31" s="214"/>
      <c r="E31" s="214"/>
      <c r="F31" s="214"/>
      <c r="G31" s="214"/>
      <c r="H31" s="214"/>
      <c r="I31" s="215" t="s">
        <v>50</v>
      </c>
      <c r="J31" s="215"/>
      <c r="K31" s="215"/>
      <c r="L31" s="215"/>
      <c r="M31" s="215"/>
      <c r="N31" s="215"/>
      <c r="O31" s="204" t="s">
        <v>41</v>
      </c>
      <c r="P31" s="205"/>
      <c r="Q31" s="199" t="s">
        <v>80</v>
      </c>
    </row>
    <row r="32" spans="1:17" ht="11.25" customHeight="1" x14ac:dyDescent="0.2">
      <c r="A32" s="217"/>
      <c r="B32" s="211"/>
      <c r="C32" s="201" t="s">
        <v>29</v>
      </c>
      <c r="D32" s="202"/>
      <c r="E32" s="201" t="s">
        <v>30</v>
      </c>
      <c r="F32" s="203"/>
      <c r="G32" s="203"/>
      <c r="H32" s="202"/>
      <c r="I32" s="201" t="s">
        <v>29</v>
      </c>
      <c r="J32" s="202"/>
      <c r="K32" s="201" t="s">
        <v>30</v>
      </c>
      <c r="L32" s="203"/>
      <c r="M32" s="203"/>
      <c r="N32" s="203"/>
      <c r="O32" s="206"/>
      <c r="P32" s="207"/>
      <c r="Q32" s="200"/>
    </row>
    <row r="33" spans="1:17" ht="11.25" customHeight="1" x14ac:dyDescent="0.2">
      <c r="A33" s="217"/>
      <c r="B33" s="212"/>
      <c r="C33" s="6" t="s">
        <v>31</v>
      </c>
      <c r="D33" s="7" t="s">
        <v>32</v>
      </c>
      <c r="E33" s="6" t="s">
        <v>31</v>
      </c>
      <c r="F33" s="8" t="s">
        <v>33</v>
      </c>
      <c r="G33" s="9" t="s">
        <v>34</v>
      </c>
      <c r="H33" s="10" t="s">
        <v>45</v>
      </c>
      <c r="I33" s="6" t="s">
        <v>31</v>
      </c>
      <c r="J33" s="7" t="s">
        <v>32</v>
      </c>
      <c r="K33" s="6" t="s">
        <v>31</v>
      </c>
      <c r="L33" s="8" t="s">
        <v>33</v>
      </c>
      <c r="M33" s="11" t="s">
        <v>35</v>
      </c>
      <c r="N33" s="10" t="s">
        <v>46</v>
      </c>
      <c r="O33" s="12" t="s">
        <v>36</v>
      </c>
      <c r="P33" s="171" t="s">
        <v>37</v>
      </c>
      <c r="Q33" s="33" t="s">
        <v>47</v>
      </c>
    </row>
    <row r="34" spans="1:17" s="21" customFormat="1" ht="11.25" customHeight="1" x14ac:dyDescent="0.2">
      <c r="A34" s="217"/>
      <c r="B34" s="73" t="s">
        <v>38</v>
      </c>
      <c r="C34" s="34">
        <f>COUNTIFS(EagleGrNDD!C:C,"PHOSPHORUS, TOTAL (AS P)",EagleGrNDD!G:G,"MG/L",EagleGrNDD!H:H,"RAW WASTE")</f>
        <v>128</v>
      </c>
      <c r="D34" s="35">
        <f>AVERAGEIFS(EagleGrNDD!F:F,(EagleGrNDD!C:C),("PHOSPHORUS, TOTAL (AS P)"),(EagleGrNDD!H:H),("RAW WASTE"),(EagleGrNDD!G:G),("MG/L"))</f>
        <v>2.0226875</v>
      </c>
      <c r="E34" s="36">
        <f>COUNTIFS(EagleGrNDD!C:C,"PHOSPHORUS, TOTAL (AS P)",EagleGrNDD!G:G,"LBS/DAY",EagleGrNDD!H:H,"RAW WASTE")</f>
        <v>128</v>
      </c>
      <c r="F34" s="37">
        <f>AVERAGEIFS(EagleGrNDD!F:F,(EagleGrNDD!C:C),("PHOSPHORUS, TOTAL (AS P)"),(EagleGrNDD!H:H),("RAW WASTE"),(EagleGrNDD!G:G),("LBS/DAY"))</f>
        <v>12.610490842187502</v>
      </c>
      <c r="G34" s="38">
        <f>(SUMIFS(EagleGrNDD!F:F,(EagleGrNDD!C:C),("PHOSPHORUS, TOTAL (AS P)"),(EagleGrNDD!H:H),("RAW WASTE"),(EagleGrNDD!G:G),("LBS/DAY")))</f>
        <v>1614.1428278000003</v>
      </c>
      <c r="H34" s="39">
        <f>F34*365</f>
        <v>4602.8291573984379</v>
      </c>
      <c r="I34" s="36">
        <f>COUNTIFS(EagleGrNDD!C:C,"PHOSPHORUS, TOTAL (AS P)",EagleGrNDD!G:G,"MG/L",EagleGrNDD!H:H,"FINAL EFFLUENT")</f>
        <v>128</v>
      </c>
      <c r="J34" s="35">
        <f>(AVERAGEIFS(EagleGrNDD!F:F,(EagleGrNDD!C:C),("PHOSPHORUS, TOTAL (AS P)"),(EagleGrNDD!H:H),("FINAL EFFLUENT"),(EagleGrNDD!G:G),("MG/L")))</f>
        <v>1.4124296875000002</v>
      </c>
      <c r="K34" s="36">
        <f>COUNTIFS(EagleGrNDD!C:C,"PHOSPHORUS, TOTAL (AS P)",EagleGrNDD!G:G,"LBS/DAY",EagleGrNDD!H:H,"FINAL EFFLUENT")</f>
        <v>128</v>
      </c>
      <c r="L34" s="37">
        <f>AVERAGEIFS(EagleGrNDD!F:F,(EagleGrNDD!C:C),("PHOSPHORUS, TOTAL (AS P)"),(EagleGrNDD!H:H),("FINAL EFFLUENT"),(EagleGrNDD!G:G),("LBS/DAY"))</f>
        <v>10.919930563281252</v>
      </c>
      <c r="M34" s="38">
        <f>SUMIFS(EagleGrNDD!F:F,(EagleGrNDD!C:C),("PHOSPHORUS, TOTAL (AS P)"),(EagleGrNDD!H:H),("FINAL EFFLUENT"),(EagleGrNDD!G:G),("LBS/DAY"))</f>
        <v>1397.7511121000002</v>
      </c>
      <c r="N34" s="39">
        <f>L34*365</f>
        <v>3985.7746555976569</v>
      </c>
      <c r="O34" s="40">
        <f>((D34-J34))/D34</f>
        <v>0.30170642400271902</v>
      </c>
      <c r="P34" s="41">
        <f>((F34-L34))/F34</f>
        <v>0.13405983161659346</v>
      </c>
      <c r="Q34" s="42">
        <f>(F34-L34)*365</f>
        <v>617.05450180078151</v>
      </c>
    </row>
    <row r="35" spans="1:17" s="21" customFormat="1" ht="5.25" customHeight="1" x14ac:dyDescent="0.2">
      <c r="A35" s="217"/>
      <c r="B35" s="73"/>
      <c r="C35" s="13"/>
      <c r="D35" s="14"/>
      <c r="E35" s="15"/>
      <c r="F35" s="16"/>
      <c r="G35" s="17"/>
      <c r="H35" s="18"/>
      <c r="I35" s="15"/>
      <c r="J35" s="14"/>
      <c r="K35" s="15"/>
      <c r="L35" s="16"/>
      <c r="M35" s="16"/>
      <c r="N35" s="18"/>
      <c r="O35" s="19"/>
      <c r="P35" s="20"/>
      <c r="Q35" s="43"/>
    </row>
    <row r="36" spans="1:17" s="44" customFormat="1" ht="11.25" customHeight="1" x14ac:dyDescent="0.2">
      <c r="A36" s="217"/>
      <c r="B36" s="74" t="s">
        <v>51</v>
      </c>
      <c r="C36" s="75">
        <f>COUNTIFS(EagleGrNDD!$E:$E,"&gt;=5/1/2014",EagleGrNDD!$E:$E,"&lt;=4/30/2015",EagleGrNDD!$C:$C,"PHOSPHORUS, TOTAL (AS P)",EagleGrNDD!$G:$G,"MG/L",EagleGrNDD!$H:$H,"RAW WASTE")</f>
        <v>0</v>
      </c>
      <c r="D36" s="76" t="e">
        <f>AVERAGEIFS(EagleGrNDD!$F:$F,EagleGrNDD!$E:$E,"&gt;=5/1/2014",EagleGrNDD!$E:$E,"&lt;=4/30/2015",(EagleGrNDD!$C:$C),("PHOSPHORUS, TOTAL (AS P)"),(EagleGrNDD!$H:$H),("RAW WASTE"),(EagleGrNDD!$G:$G),("MG/L"))</f>
        <v>#DIV/0!</v>
      </c>
      <c r="E36" s="77">
        <f>COUNTIFS(EagleGrNDD!$E:$E,"&gt;=5/1/2014",EagleGrNDD!$E:$E,"&lt;=4/30/2015",EagleGrNDD!$C:$C,"PHOSPHORUS, TOTAL (AS P)",EagleGrNDD!$G:$G,"LBS/DAY",EagleGrNDD!$H:$H,"RAW WASTE")</f>
        <v>0</v>
      </c>
      <c r="F36" s="131" t="e">
        <f>AVERAGEIFS(EagleGrNDD!$F:$F,EagleGrNDD!$E:$E,"&gt;=5/1/2014",EagleGrNDD!$E:$E,"&lt;=4/30/2015",(EagleGrNDD!$C:$C),("PHOSPHORUS, TOTAL (AS P)"),(EagleGrNDD!$H:$H),("RAW WASTE"),(EagleGrNDD!$G:$G),("LBS/DAY"))</f>
        <v>#DIV/0!</v>
      </c>
      <c r="G36" s="78">
        <f>SUMIFS(EagleGrNDD!$F:$F,EagleGrNDD!$E:$E,"&gt;=5/1/2014",EagleGrNDD!$E:$E,"&lt;=4/30/2015",(EagleGrNDD!$C:$C),("PHOSPHORUS, TOTAL (AS P)"),(EagleGrNDD!$H:$H),("RAW WASTE"),(EagleGrNDD!$G:$G),("LBS/DAY"))</f>
        <v>0</v>
      </c>
      <c r="H36" s="79" t="e">
        <f>F36*365</f>
        <v>#DIV/0!</v>
      </c>
      <c r="I36" s="77">
        <f>COUNTIFS(EagleGrNDD!$E:$E,"&gt;=5/1/2014",EagleGrNDD!$E:$E,"&lt;=4/30/2015",EagleGrNDD!$C:$C,"PHOSPHORUS, TOTAL (AS P)",EagleGrNDD!$G:$G,"MG/L",EagleGrNDD!$H:$H,"FINAL EFFLUENT")</f>
        <v>0</v>
      </c>
      <c r="J36" s="76" t="e">
        <f>AVERAGEIFS(EagleGrNDD!$F:$F,EagleGrNDD!$E:$E,"&gt;=5/1/2014",EagleGrNDD!$E:$E,"&lt;=4/30/2015",(EagleGrNDD!$C:$C),("PHOSPHORUS, TOTAL (AS P)"),(EagleGrNDD!$H:$H),("FINAL EFFLUENT"),(EagleGrNDD!$G:$G),("MG/L"))</f>
        <v>#DIV/0!</v>
      </c>
      <c r="K36" s="77">
        <f>COUNTIFS(EagleGrNDD!$E:$E,"&gt;=5/1/2014",EagleGrNDD!$E:$E,"&lt;=4/30/2015",EagleGrNDD!$C:$C,"PHOSPHORUS, TOTAL (AS P)",EagleGrNDD!$G:$G,"LBS/DAY",EagleGrNDD!$H:$H,"FINAL EFFLUENT")</f>
        <v>0</v>
      </c>
      <c r="L36" s="131" t="e">
        <f>AVERAGEIFS((EagleGrNDD!$F:$F),EagleGrNDD!$E:$E,"&gt;=5/1/2014",EagleGrNDD!$E:$E,"&lt;=4/30/2015",(EagleGrNDD!$C:$C),("PHOSPHORUS, TOTAL (AS P)"),(EagleGrNDD!$H:$H),("FINAL EFFLUENT"),(EagleGrNDD!$G:$G),("LBS/DAY"))</f>
        <v>#DIV/0!</v>
      </c>
      <c r="M36" s="78">
        <f>SUMIFS(EagleGrNDD!$F:$F,EagleGrNDD!$E:$E,"&gt;=5/1/2014",EagleGrNDD!$E:$E,"&lt;=4/30/2015",(EagleGrNDD!$C:$C),("PHOSPHORUS, TOTAL (AS P)"),(EagleGrNDD!$H:$H),("FINAL EFFLUENT"),(EagleGrNDD!$G:$G),("LBS/DAY"))</f>
        <v>0</v>
      </c>
      <c r="N36" s="79" t="e">
        <f>L36*365</f>
        <v>#DIV/0!</v>
      </c>
      <c r="O36" s="80" t="e">
        <f>((D36-J36))/D36</f>
        <v>#DIV/0!</v>
      </c>
      <c r="P36" s="81" t="e">
        <f>((F36-L36))/F36</f>
        <v>#DIV/0!</v>
      </c>
      <c r="Q36" s="82" t="s">
        <v>69</v>
      </c>
    </row>
    <row r="37" spans="1:17" s="21" customFormat="1" ht="5.25" customHeight="1" x14ac:dyDescent="0.2">
      <c r="A37" s="217"/>
      <c r="B37" s="73"/>
      <c r="C37" s="13"/>
      <c r="D37" s="14"/>
      <c r="E37" s="15"/>
      <c r="F37" s="16"/>
      <c r="G37" s="17"/>
      <c r="H37" s="18"/>
      <c r="I37" s="15"/>
      <c r="J37" s="14"/>
      <c r="K37" s="15"/>
      <c r="L37" s="16"/>
      <c r="M37" s="16"/>
      <c r="N37" s="18"/>
      <c r="O37" s="19"/>
      <c r="P37" s="20"/>
      <c r="Q37" s="43"/>
    </row>
    <row r="38" spans="1:17" s="54" customFormat="1" ht="11.25" customHeight="1" x14ac:dyDescent="0.2">
      <c r="A38" s="217"/>
      <c r="B38" s="83" t="s">
        <v>48</v>
      </c>
      <c r="C38" s="45">
        <f>COUNTIFS(EagleGrNDD!$E:$E,"&gt;=1/1/2015",EagleGrNDD!$E:$E,"&lt;=12/31/2015",EagleGrNDD!$C:$C,"PHOSPHORUS, TOTAL (AS P)",EagleGrNDD!$G:$G,"MG/L",EagleGrNDD!$H:$H,"RAW WASTE")</f>
        <v>8</v>
      </c>
      <c r="D38" s="46">
        <f>AVERAGEIFS(EagleGrNDD!$F:$F,EagleGrNDD!$E:$E,"&gt;=1/1/2015",EagleGrNDD!$E:$E,"&lt;=12/31/2015",(EagleGrNDD!$C:$C),("PHOSPHORUS, TOTAL (AS P)"),(EagleGrNDD!$H:$H),("RAW WASTE"),(EagleGrNDD!$G:$G),("MG/L"))</f>
        <v>2.5474999999999999</v>
      </c>
      <c r="E38" s="45">
        <f>COUNTIFS(EagleGrNDD!$E:$E,"&gt;=1/1/2015",EagleGrNDD!$E:$E,"&lt;=12/31/2015",EagleGrNDD!$C:$C,"PHOSPHORUS, TOTAL (AS P)",EagleGrNDD!$G:$G,"LBS/DAY",EagleGrNDD!$H:$H,"RAW WASTE")</f>
        <v>8</v>
      </c>
      <c r="F38" s="132">
        <f>AVERAGEIFS(EagleGrNDD!$F:$F,EagleGrNDD!$E:$E,"&gt;=1/1/2015",EagleGrNDD!$E:$E,"&lt;=12/31/2015",(EagleGrNDD!$C:$C),("PHOSPHORUS, TOTAL (AS P)"),(EagleGrNDD!$H:$H),("RAW WASTE"),(EagleGrNDD!$G:$G),("LBS/DAY"))</f>
        <v>10.888474650000001</v>
      </c>
      <c r="G38" s="47">
        <f>SUMIFS(EagleGrNDD!$F:$F,EagleGrNDD!$E:$E,"&gt;=1/1/2015",EagleGrNDD!$E:$E,"&lt;=12/31/2015",(EagleGrNDD!$C:$C),("PHOSPHORUS, TOTAL (AS P)"),(EagleGrNDD!$H:$H),("RAW WASTE"),(EagleGrNDD!$G:$G),("LBS/DAY"))</f>
        <v>87.107797200000007</v>
      </c>
      <c r="H38" s="48">
        <f>F38*365</f>
        <v>3974.2932472500001</v>
      </c>
      <c r="I38" s="45">
        <f>COUNTIFS(EagleGrNDD!$E:$E,"&gt;=1/1/2015",EagleGrNDD!$E:$E,"&lt;=12/31/2015",EagleGrNDD!$C:$C,"PHOSPHORUS, TOTAL (AS P)",EagleGrNDD!$G:$G,"MG/L",EagleGrNDD!$H:$H,"FINAL EFFLUENT")</f>
        <v>8</v>
      </c>
      <c r="J38" s="49">
        <f>AVERAGEIFS(EagleGrNDD!$F:$F,EagleGrNDD!$E:$E,"&gt;=1/1/2015",EagleGrNDD!$E:$E,"&lt;=12/31/2015",(EagleGrNDD!$C:$C),("PHOSPHORUS, TOTAL (AS P)"),(EagleGrNDD!$H:$H),("FINAL EFFLUENT"),(EagleGrNDD!$G:$G),("MG/L"))</f>
        <v>1.7475000000000003</v>
      </c>
      <c r="K38" s="45">
        <f>COUNTIFS(EagleGrNDD!$E:$E,"&gt;=1/1/2015",EagleGrNDD!$E:$E,"&lt;=12/31/2015",EagleGrNDD!$C:$C,"PHOSPHORUS, TOTAL (AS P)",EagleGrNDD!$G:$G,"LBS/DAY",EagleGrNDD!$H:$H,"FINAL EFFLUENT")</f>
        <v>8</v>
      </c>
      <c r="L38" s="140">
        <f>AVERAGEIFS((EagleGrNDD!$F:$F),EagleGrNDD!$E:$E,"&gt;=1/1/2015",EagleGrNDD!$E:$E,"&lt;=12/31/2015",(EagleGrNDD!$C:$C),("PHOSPHORUS, TOTAL (AS P)"),(EagleGrNDD!$H:$H),("FINAL EFFLUENT"),(EagleGrNDD!$G:$G),("LBS/DAY"))</f>
        <v>9.4489906499999989</v>
      </c>
      <c r="M38" s="47">
        <f>SUMIFS(EagleGrNDD!$F:$F,EagleGrNDD!$E:$E,"&gt;=1/1/2015",EagleGrNDD!$E:$E,"&lt;=12/31/2015",(EagleGrNDD!$C:$C),("PHOSPHORUS, TOTAL (AS P)"),(EagleGrNDD!$H:$H),("FINAL EFFLUENT"),(EagleGrNDD!$G:$G),("LBS/DAY"))</f>
        <v>75.591925199999991</v>
      </c>
      <c r="N38" s="50">
        <f>L38*365</f>
        <v>3448.8815872499995</v>
      </c>
      <c r="O38" s="51">
        <f>((D38-J38))/D38</f>
        <v>0.31403336604514215</v>
      </c>
      <c r="P38" s="52">
        <f>((F38-L38))/F38</f>
        <v>0.13220253949895561</v>
      </c>
      <c r="Q38" s="53">
        <f>(F38-L38)*365</f>
        <v>525.41166000000078</v>
      </c>
    </row>
    <row r="39" spans="1:17" s="44" customFormat="1" ht="12" customHeight="1" x14ac:dyDescent="0.2">
      <c r="A39" s="217"/>
      <c r="B39" s="84" t="s">
        <v>52</v>
      </c>
      <c r="C39" s="55">
        <f>COUNTIFS(EagleGrNDD!$E:$E,"&gt;=5/1/2015",EagleGrNDD!$E:$E,"&lt;=4/30/2016",EagleGrNDD!$C:$C,"PHOSPHORUS, TOTAL (AS P)",EagleGrNDD!$G:$G,"MG/L",EagleGrNDD!$H:$H,"RAW WASTE")</f>
        <v>25</v>
      </c>
      <c r="D39" s="56">
        <f>AVERAGEIFS(EagleGrNDD!$F:$F,EagleGrNDD!$E:$E,"&gt;=5/1/2015",EagleGrNDD!$E:$E,"&lt;=4/30/2016",(EagleGrNDD!$C:$C),("PHOSPHORUS, TOTAL (AS P)"),(EagleGrNDD!$H:$H),("RAW WASTE"),(EagleGrNDD!$G:$G),("MG/L"))</f>
        <v>1.8554799999999994</v>
      </c>
      <c r="E39" s="55">
        <f>COUNTIFS(EagleGrNDD!$E:$E,"&gt;=5/1/2015",EagleGrNDD!$E:$E,"&lt;=4/30/2016",EagleGrNDD!$C:$C,"PHOSPHORUS, TOTAL (AS P)",EagleGrNDD!$G:$G,"LBS/DAY",EagleGrNDD!$H:$H,"RAW WASTE")</f>
        <v>25</v>
      </c>
      <c r="F39" s="133">
        <f>AVERAGEIFS(EagleGrNDD!$F:$F,EagleGrNDD!$E:$E,"&gt;=5/1/2015",EagleGrNDD!$E:$E,"&lt;=4/30/2016",(EagleGrNDD!$C:$C),("PHOSPHORUS, TOTAL (AS P)"),(EagleGrNDD!$H:$H),("RAW WASTE"),(EagleGrNDD!$G:$G),("LBS/DAY"))</f>
        <v>12.172512223999997</v>
      </c>
      <c r="G39" s="57">
        <f>SUMIFS(EagleGrNDD!$F:$F,EagleGrNDD!$E:$E,"&gt;=5/1/2015",EagleGrNDD!$E:$E,"&lt;=4/30/2016",(EagleGrNDD!$C:$C),("PHOSPHORUS, TOTAL (AS P)"),(EagleGrNDD!$H:$H),("RAW WASTE"),(EagleGrNDD!$G:$G),("LBS/DAY"))</f>
        <v>304.31280559999993</v>
      </c>
      <c r="H39" s="58">
        <f>F39*365</f>
        <v>4442.9669617599984</v>
      </c>
      <c r="I39" s="55">
        <f>COUNTIFS(EagleGrNDD!$E:$E,"&gt;=5/1/2015",EagleGrNDD!$E:$E,"&lt;=4/30/2016",EagleGrNDD!$C:$C,"PHOSPHORUS, TOTAL (AS P)",EagleGrNDD!$G:$G,"MG/L",EagleGrNDD!$H:$H,"FINAL EFFLUENT")</f>
        <v>25</v>
      </c>
      <c r="J39" s="56">
        <f>AVERAGEIFS(EagleGrNDD!$F:$F,EagleGrNDD!$E:$E,"&gt;=5/1/2015",EagleGrNDD!$E:$E,"&lt;=4/30/2016",(EagleGrNDD!$C:$C),("PHOSPHORUS, TOTAL (AS P)"),(EagleGrNDD!$H:$H),("FINAL EFFLUENT"),(EagleGrNDD!$G:$G),("MG/L"))</f>
        <v>1.2814800000000002</v>
      </c>
      <c r="K39" s="55">
        <f>COUNTIFS(EagleGrNDD!$E:$E,"&gt;=5/1/2015",EagleGrNDD!$E:$E,"&lt;=4/30/2016",EagleGrNDD!$C:$C,"PHOSPHORUS, TOTAL (AS P)",EagleGrNDD!$G:$G,"LBS/DAY",EagleGrNDD!$H:$H,"FINAL EFFLUENT")</f>
        <v>25</v>
      </c>
      <c r="L39" s="133">
        <f>AVERAGEIFS((EagleGrNDD!$F:$F),EagleGrNDD!$E:$E,"&gt;=5/1/2015",EagleGrNDD!$E:$E,"&lt;=4/30/2016",(EagleGrNDD!$C:$C),("PHOSPHORUS, TOTAL (AS P)"),(EagleGrNDD!$H:$H),("FINAL EFFLUENT"),(EagleGrNDD!$G:$G),("LBS/DAY"))</f>
        <v>10.743422856</v>
      </c>
      <c r="M39" s="57">
        <f>SUMIFS(EagleGrNDD!$F:$F,EagleGrNDD!$E:$E,"&gt;=5/1/2015",EagleGrNDD!$E:$E,"&lt;=4/30/2016",(EagleGrNDD!$C:$C),("PHOSPHORUS, TOTAL (AS P)"),(EagleGrNDD!$H:$H),("FINAL EFFLUENT"),(EagleGrNDD!$G:$G),("LBS/DAY"))</f>
        <v>268.58557139999999</v>
      </c>
      <c r="N39" s="58">
        <f>L39*365</f>
        <v>3921.3493424400003</v>
      </c>
      <c r="O39" s="59">
        <f>((D39-J39))/D39</f>
        <v>0.30935391381205907</v>
      </c>
      <c r="P39" s="60">
        <f>((F39-L39))/F39</f>
        <v>0.11740299304709875</v>
      </c>
      <c r="Q39" s="61">
        <f>(F39-L39)*365</f>
        <v>521.61761931999854</v>
      </c>
    </row>
    <row r="40" spans="1:17" s="71" customFormat="1" ht="5.25" customHeight="1" x14ac:dyDescent="0.2">
      <c r="A40" s="217"/>
      <c r="B40" s="85"/>
      <c r="C40" s="62"/>
      <c r="D40" s="63"/>
      <c r="E40" s="62"/>
      <c r="F40" s="134"/>
      <c r="G40" s="64"/>
      <c r="H40" s="65"/>
      <c r="I40" s="62"/>
      <c r="J40" s="66"/>
      <c r="K40" s="62"/>
      <c r="L40" s="141"/>
      <c r="M40" s="64"/>
      <c r="N40" s="67"/>
      <c r="O40" s="68"/>
      <c r="P40" s="69"/>
      <c r="Q40" s="70"/>
    </row>
    <row r="41" spans="1:17" s="71" customFormat="1" ht="11.25" customHeight="1" x14ac:dyDescent="0.2">
      <c r="A41" s="217"/>
      <c r="B41" s="86" t="s">
        <v>49</v>
      </c>
      <c r="C41" s="22">
        <f>COUNTIFS(EagleGrNDD!$E:$E,"&gt;=1/1/2016",EagleGrNDD!$E:$E,"&lt;=12/31/2016",EagleGrNDD!$C:$C,"PHOSPHORUS, TOTAL (AS P)",EagleGrNDD!$G:$G,"MG/L",EagleGrNDD!$H:$H,"RAW WASTE")</f>
        <v>51</v>
      </c>
      <c r="D41" s="23">
        <f>AVERAGEIFS(EagleGrNDD!$F:$F,EagleGrNDD!$E:$E,"&gt;=1/1/2016",EagleGrNDD!$E:$E,"&lt;=12/31/2016",(EagleGrNDD!$C:$C),("PHOSPHORUS, TOTAL (AS P)"),(EagleGrNDD!$H:$H),("RAW WASTE"),(EagleGrNDD!$G:$G),("MG/L"))</f>
        <v>1.8555294117647056</v>
      </c>
      <c r="E41" s="22">
        <f>COUNTIFS(EagleGrNDD!$E:$E,"&gt;=1/1/2016",EagleGrNDD!$E:$E,"&lt;=12/31/2016",EagleGrNDD!$C:$C,"PHOSPHORUS, TOTAL (AS P)",EagleGrNDD!$G:$G,"LBS/DAY",EagleGrNDD!$H:$H,"RAW WASTE")</f>
        <v>51</v>
      </c>
      <c r="F41" s="135">
        <f>AVERAGEIFS(EagleGrNDD!$F:$F,EagleGrNDD!$E:$E,"&gt;=1/1/2016",EagleGrNDD!$E:$E,"&lt;=12/31/2016",(EagleGrNDD!$C:$C),("PHOSPHORUS, TOTAL (AS P)"),(EagleGrNDD!$H:$H),("RAW WASTE"),(EagleGrNDD!$G:$G),("LBS/DAY"))</f>
        <v>12.851442215686269</v>
      </c>
      <c r="G41" s="24">
        <f>SUMIFS(EagleGrNDD!$F:$F,EagleGrNDD!$E:$E,"&gt;=1/1/2016",EagleGrNDD!$E:$E,"&lt;=12/31/2016",(EagleGrNDD!$C:$C),("PHOSPHORUS, TOTAL (AS P)"),(EagleGrNDD!$H:$H),("RAW WASTE"),(EagleGrNDD!$G:$G),("LBS/DAY"))</f>
        <v>655.42355299999974</v>
      </c>
      <c r="H41" s="25">
        <f>F41*365</f>
        <v>4690.7764087254882</v>
      </c>
      <c r="I41" s="22">
        <f>COUNTIFS(EagleGrNDD!$E:$E,"&gt;=1/1/2016",EagleGrNDD!$E:$E,"&lt;=12/31/2016",EagleGrNDD!$C:$C,"PHOSPHORUS, TOTAL (AS P)",EagleGrNDD!$G:$G,"MG/L",EagleGrNDD!$H:$H,"FINAL EFFLUENT")</f>
        <v>51</v>
      </c>
      <c r="J41" s="26">
        <f>AVERAGEIFS(EagleGrNDD!$F:$F,EagleGrNDD!$E:$E,"&gt;=1/1/2016",EagleGrNDD!$E:$E,"&lt;=12/31/2016",(EagleGrNDD!$C:$C),("PHOSPHORUS, TOTAL (AS P)"),(EagleGrNDD!$H:$H),("FINAL EFFLUENT"),(EagleGrNDD!$G:$G),("MG/L"))</f>
        <v>1.2008823529411765</v>
      </c>
      <c r="K41" s="22">
        <f>COUNTIFS(EagleGrNDD!$E:$E,"&gt;=1/1/2016",EagleGrNDD!$E:$E,"&lt;=12/31/2016",EagleGrNDD!$C:$C,"PHOSPHORUS, TOTAL (AS P)",EagleGrNDD!$G:$G,"LBS/DAY",EagleGrNDD!$H:$H,"FINAL EFFLUENT")</f>
        <v>51</v>
      </c>
      <c r="L41" s="142">
        <f>AVERAGEIFS((EagleGrNDD!$F:$F),EagleGrNDD!$E:$E,"&gt;=1/1/2016",EagleGrNDD!$E:$E,"&lt;=12/31/2016",(EagleGrNDD!$C:$C),("PHOSPHORUS, TOTAL (AS P)"),(EagleGrNDD!$H:$H),("FINAL EFFLUENT"),(EagleGrNDD!$G:$G),("LBS/DAY"))</f>
        <v>10.6422481627451</v>
      </c>
      <c r="M41" s="24">
        <f>SUMIFS(EagleGrNDD!$F:$F,EagleGrNDD!$E:$E,"&gt;=1/1/2016",EagleGrNDD!$E:$E,"&lt;=12/31/2016",(EagleGrNDD!$C:$C),("PHOSPHORUS, TOTAL (AS P)"),(EagleGrNDD!$H:$H),("FINAL EFFLUENT"),(EagleGrNDD!$G:$G),("LBS/DAY"))</f>
        <v>542.75465630000008</v>
      </c>
      <c r="N41" s="27">
        <f>L41*365</f>
        <v>3884.4205794019613</v>
      </c>
      <c r="O41" s="28">
        <f>((D41-J41))/D41</f>
        <v>0.35280877504438235</v>
      </c>
      <c r="P41" s="29">
        <f>((F41-L41))/F41</f>
        <v>0.17190242276813586</v>
      </c>
      <c r="Q41" s="72">
        <f>(F41-L41)*365</f>
        <v>806.35582932352702</v>
      </c>
    </row>
    <row r="42" spans="1:17" s="44" customFormat="1" ht="11.25" customHeight="1" x14ac:dyDescent="0.2">
      <c r="A42" s="217"/>
      <c r="B42" s="87" t="s">
        <v>53</v>
      </c>
      <c r="C42" s="88">
        <f>COUNTIFS(EagleGrNDD!$E:$E,"&gt;=5/1/2016",EagleGrNDD!$E:$E,"&lt;=4/30/2017",EagleGrNDD!$C:$C,"PHOSPHORUS, TOTAL (AS P)",EagleGrNDD!$G:$G,"MG/L",EagleGrNDD!$H:$H,"RAW WASTE")</f>
        <v>51</v>
      </c>
      <c r="D42" s="89">
        <f>AVERAGEIFS(EagleGrNDD!$F:$F,EagleGrNDD!$E:$E,"&gt;=5/1/2016",EagleGrNDD!$E:$E,"&lt;=4/30/2017",(EagleGrNDD!$C:$C),("PHOSPHORUS, TOTAL (AS P)"),(EagleGrNDD!$H:$H),("RAW WASTE"),(EagleGrNDD!$G:$G),("MG/L"))</f>
        <v>1.8672352941176478</v>
      </c>
      <c r="E42" s="88">
        <f>COUNTIFS(EagleGrNDD!$E:$E,"&gt;=5/1/2016",EagleGrNDD!$E:$E,"&lt;=4/30/2017",EagleGrNDD!$C:$C,"PHOSPHORUS, TOTAL (AS P)",EagleGrNDD!$G:$G,"LBS/DAY",EagleGrNDD!$H:$H,"RAW WASTE")</f>
        <v>51</v>
      </c>
      <c r="F42" s="136">
        <f>AVERAGEIFS(EagleGrNDD!$F:$F,EagleGrNDD!$E:$E,"&gt;=5/1/2016",EagleGrNDD!$E:$E,"&lt;=4/30/2017",(EagleGrNDD!$C:$C),("PHOSPHORUS, TOTAL (AS P)"),(EagleGrNDD!$H:$H),("RAW WASTE"),(EagleGrNDD!$G:$G),("LBS/DAY"))</f>
        <v>13.333037074509802</v>
      </c>
      <c r="G42" s="90">
        <f>SUMIFS(EagleGrNDD!$F:$F,EagleGrNDD!$E:$E,"&gt;=5/1/2016",EagleGrNDD!$E:$E,"&lt;=4/30/2017",(EagleGrNDD!$C:$C),("PHOSPHORUS, TOTAL (AS P)"),(EagleGrNDD!$H:$H),("RAW WASTE"),(EagleGrNDD!$G:$G),("LBS/DAY"))</f>
        <v>679.9848907999999</v>
      </c>
      <c r="H42" s="91">
        <f>F42*365</f>
        <v>4866.558532196078</v>
      </c>
      <c r="I42" s="88">
        <f>COUNTIFS(EagleGrNDD!$E:$E,"&gt;=5/1/2016",EagleGrNDD!$E:$E,"&lt;=4/30/2017",EagleGrNDD!$C:$C,"PHOSPHORUS, TOTAL (AS P)",EagleGrNDD!$G:$G,"MG/L",EagleGrNDD!$H:$H,"FINAL EFFLUENT")</f>
        <v>51</v>
      </c>
      <c r="J42" s="89">
        <f>AVERAGEIFS(EagleGrNDD!$F:$F,EagleGrNDD!$E:$E,"&gt;=5/1/2016",EagleGrNDD!$E:$E,"&lt;=4/30/2017",(EagleGrNDD!$C:$C),("PHOSPHORUS, TOTAL (AS P)"),(EagleGrNDD!$H:$H),("FINAL EFFLUENT"),(EagleGrNDD!$G:$G),("MG/L"))</f>
        <v>1.2112941176470591</v>
      </c>
      <c r="K42" s="88">
        <f>COUNTIFS(EagleGrNDD!$E:$E,"&gt;=5/1/2016",EagleGrNDD!$E:$E,"&lt;=4/30/2017",EagleGrNDD!$C:$C,"PHOSPHORUS, TOTAL (AS P)",EagleGrNDD!$G:$G,"LBS/DAY",EagleGrNDD!$H:$H,"FINAL EFFLUENT")</f>
        <v>51</v>
      </c>
      <c r="L42" s="136">
        <f>AVERAGEIFS((EagleGrNDD!$F:$F),EagleGrNDD!$E:$E,"&gt;=5/1/2016",EagleGrNDD!$E:$E,"&lt;=4/30/2017",(EagleGrNDD!$C:$C),("PHOSPHORUS, TOTAL (AS P)"),(EagleGrNDD!$H:$H),("FINAL EFFLUENT"),(EagleGrNDD!$G:$G),("LBS/DAY"))</f>
        <v>10.713978660784319</v>
      </c>
      <c r="M42" s="90">
        <f>SUMIFS(EagleGrNDD!$F:$F,EagleGrNDD!$E:$E,"&gt;=5/1/2016",EagleGrNDD!$E:$E,"&lt;=4/30/2017",(EagleGrNDD!$C:$C),("PHOSPHORUS, TOTAL (AS P)"),(EagleGrNDD!$H:$H),("FINAL EFFLUENT"),(EagleGrNDD!$G:$G),("LBS/DAY"))</f>
        <v>546.41291170000022</v>
      </c>
      <c r="N42" s="91">
        <f>L42*365</f>
        <v>3910.6022111862762</v>
      </c>
      <c r="O42" s="92">
        <f>((D42-J42))/D42</f>
        <v>0.35129004819960319</v>
      </c>
      <c r="P42" s="93">
        <f>((F42-L42))/F42</f>
        <v>0.19643374567169083</v>
      </c>
      <c r="Q42" s="94">
        <f>(F42-L42)*365</f>
        <v>955.95632100980129</v>
      </c>
    </row>
    <row r="43" spans="1:17" ht="5.25" customHeight="1" x14ac:dyDescent="0.2">
      <c r="A43" s="217"/>
      <c r="F43" s="137"/>
      <c r="L43" s="137"/>
      <c r="Q43" s="113"/>
    </row>
    <row r="44" spans="1:17" s="112" customFormat="1" ht="11.25" customHeight="1" x14ac:dyDescent="0.2">
      <c r="A44" s="217"/>
      <c r="B44" s="102" t="s">
        <v>54</v>
      </c>
      <c r="C44" s="103">
        <f>COUNTIFS(EagleGrNDD!$E:$E,"&gt;=1/1/2017",EagleGrNDD!$E:$E,"&lt;=12/31/2017",EagleGrNDD!$C:$C,"PHOSPHORUS, TOTAL (AS P)",EagleGrNDD!$G:$G,"MG/L",EagleGrNDD!$H:$H,"RAW WASTE")</f>
        <v>52</v>
      </c>
      <c r="D44" s="104">
        <f>AVERAGEIFS(EagleGrNDD!$F:$F,EagleGrNDD!$E:$E,"&gt;=1/1/2017",EagleGrNDD!$E:$E,"&lt;=12/31/2017",(EagleGrNDD!$C:$C),("PHOSPHORUS, TOTAL (AS P)"),(EagleGrNDD!$H:$H),("RAW WASTE"),(EagleGrNDD!$G:$G),("MG/L"))</f>
        <v>2.2781346153846145</v>
      </c>
      <c r="E44" s="103">
        <f>COUNTIFS(EagleGrNDD!$E:$E,"&gt;=1/1/2017",EagleGrNDD!$E:$E,"&lt;=12/31/2017",EagleGrNDD!$C:$C,"PHOSPHORUS, TOTAL (AS P)",EagleGrNDD!$G:$G,"LBS/DAY",EagleGrNDD!$H:$H,"RAW WASTE")</f>
        <v>52</v>
      </c>
      <c r="F44" s="138">
        <f>AVERAGEIFS(EagleGrNDD!$F:$F,EagleGrNDD!$E:$E,"&gt;=1/1/2017",EagleGrNDD!$E:$E,"&lt;=12/31/2017",(EagleGrNDD!$C:$C),("PHOSPHORUS, TOTAL (AS P)"),(EagleGrNDD!$H:$H),("RAW WASTE"),(EagleGrNDD!$G:$G),("LBS/DAY"))</f>
        <v>13.585918301923073</v>
      </c>
      <c r="G44" s="105">
        <f>SUMIFS(EagleGrNDD!$F:$F,EagleGrNDD!$E:$E,"&gt;=1/1/2017",EagleGrNDD!$E:$E,"&lt;=12/31/2017",(EagleGrNDD!$C:$C),("PHOSPHORUS, TOTAL (AS P)"),(EagleGrNDD!$H:$H),("RAW WASTE"),(EagleGrNDD!$G:$G),("LBS/DAY"))</f>
        <v>706.46775169999978</v>
      </c>
      <c r="H44" s="106">
        <f>F44*365</f>
        <v>4958.8601802019211</v>
      </c>
      <c r="I44" s="103">
        <f>COUNTIFS(EagleGrNDD!$E:$E,"&gt;=1/1/2017",EagleGrNDD!$E:$E,"&lt;=12/31/2017",EagleGrNDD!$C:$C,"PHOSPHORUS, TOTAL (AS P)",EagleGrNDD!$G:$G,"MG/L",EagleGrNDD!$H:$H,"FINAL EFFLUENT")</f>
        <v>52</v>
      </c>
      <c r="J44" s="107">
        <f>AVERAGEIFS(EagleGrNDD!$F:$F,EagleGrNDD!$E:$E,"&gt;=1/1/2017",EagleGrNDD!$E:$E,"&lt;=12/31/2017",(EagleGrNDD!$C:$C),("PHOSPHORUS, TOTAL (AS P)"),(EagleGrNDD!$H:$H),("FINAL EFFLUENT"),(EagleGrNDD!$G:$G),("MG/L"))</f>
        <v>1.6584038461538464</v>
      </c>
      <c r="K44" s="103">
        <f>COUNTIFS(EagleGrNDD!$E:$E,"&gt;=1/1/2017",EagleGrNDD!$E:$E,"&lt;=12/31/2017",EagleGrNDD!$C:$C,"PHOSPHORUS, TOTAL (AS P)",EagleGrNDD!$G:$G,"LBS/DAY",EagleGrNDD!$H:$H,"FINAL EFFLUENT")</f>
        <v>52</v>
      </c>
      <c r="L44" s="143">
        <f>AVERAGEIFS((EagleGrNDD!$F:$F),EagleGrNDD!$E:$E,"&gt;=1/1/2017",EagleGrNDD!$E:$E,"&lt;=12/31/2017",(EagleGrNDD!$C:$C),("PHOSPHORUS, TOTAL (AS P)"),(EagleGrNDD!$H:$H),("FINAL EFFLUENT"),(EagleGrNDD!$G:$G),("LBS/DAY"))</f>
        <v>11.682861365384612</v>
      </c>
      <c r="M44" s="105">
        <f>SUMIFS(EagleGrNDD!$F:$F,EagleGrNDD!$E:$E,"&gt;=1/1/2017",EagleGrNDD!$E:$E,"&lt;=12/31/2017",(EagleGrNDD!$C:$C),("PHOSPHORUS, TOTAL (AS P)"),(EagleGrNDD!$H:$H),("FINAL EFFLUENT"),(EagleGrNDD!$G:$G),("LBS/DAY"))</f>
        <v>607.50879099999986</v>
      </c>
      <c r="N44" s="108">
        <f>L44*365</f>
        <v>4264.2443983653839</v>
      </c>
      <c r="O44" s="109">
        <f>((D44-J44))/D44</f>
        <v>0.27203430607024937</v>
      </c>
      <c r="P44" s="110">
        <f>((F44-L44))/F44</f>
        <v>0.1400756941302293</v>
      </c>
      <c r="Q44" s="111">
        <f>(F44-L44)*365</f>
        <v>694.61578183653808</v>
      </c>
    </row>
    <row r="45" spans="1:17" s="44" customFormat="1" ht="12" customHeight="1" x14ac:dyDescent="0.2">
      <c r="A45" s="217"/>
      <c r="B45" s="169" t="s">
        <v>55</v>
      </c>
      <c r="C45" s="124">
        <f>COUNTIFS(EagleGrNDD!$E:$E,"&gt;=5/1/2017",EagleGrNDD!$E:$E,"&lt;=4/30/2018",EagleGrNDD!$C:$C,"PHOSPHORUS, TOTAL (AS P)",EagleGrNDD!$G:$G,"MG/L",EagleGrNDD!$H:$H,"RAW WASTE")</f>
        <v>52</v>
      </c>
      <c r="D45" s="125">
        <f>AVERAGEIFS(EagleGrNDD!$F:$F,EagleGrNDD!$E:$E,"&gt;=5/1/2017",EagleGrNDD!$E:$E,"&lt;=4/30/2018",(EagleGrNDD!$C:$C),("PHOSPHORUS, TOTAL (AS P)"),(EagleGrNDD!$H:$H),("RAW WASTE"),(EagleGrNDD!$G:$G),("MG/L"))</f>
        <v>2.2555384615384613</v>
      </c>
      <c r="E45" s="124">
        <f>COUNTIFS(EagleGrNDD!$E:$E,"&gt;=5/1/2017",EagleGrNDD!$E:$E,"&lt;=4/30/2018",EagleGrNDD!$C:$C,"PHOSPHORUS, TOTAL (AS P)",EagleGrNDD!$G:$G,"LBS/DAY",EagleGrNDD!$H:$H,"RAW WASTE")</f>
        <v>52</v>
      </c>
      <c r="F45" s="139">
        <f>AVERAGEIFS(EagleGrNDD!$F:$F,EagleGrNDD!$E:$E,"&gt;=5/1/2017",EagleGrNDD!$E:$E,"&lt;=4/30/2018",(EagleGrNDD!$C:$C),("PHOSPHORUS, TOTAL (AS P)"),(EagleGrNDD!$H:$H),("RAW WASTE"),(EagleGrNDD!$G:$G),("LBS/DAY"))</f>
        <v>12.112406373076928</v>
      </c>
      <c r="G45" s="126">
        <f>SUMIFS(EagleGrNDD!$F:$F,EagleGrNDD!$E:$E,"&gt;=5/1/2017",EagleGrNDD!$E:$E,"&lt;=4/30/2018",(EagleGrNDD!$C:$C),("PHOSPHORUS, TOTAL (AS P)"),(EagleGrNDD!$H:$H),("RAW WASTE"),(EagleGrNDD!$G:$G),("LBS/DAY"))</f>
        <v>629.84513140000024</v>
      </c>
      <c r="H45" s="127">
        <f>F45*365</f>
        <v>4421.0283261730783</v>
      </c>
      <c r="I45" s="124">
        <f>COUNTIFS(EagleGrNDD!$E:$E,"&gt;=5/1/2017",EagleGrNDD!$E:$E,"&lt;=4/30/2018",EagleGrNDD!$C:$C,"PHOSPHORUS, TOTAL (AS P)",EagleGrNDD!$G:$G,"MG/L",EagleGrNDD!$H:$H,"FINAL EFFLUENT")</f>
        <v>52</v>
      </c>
      <c r="J45" s="125">
        <f>AVERAGEIFS(EagleGrNDD!$F:$F,EagleGrNDD!$E:$E,"&gt;=5/1/2017",EagleGrNDD!$E:$E,"&lt;=4/30/2018",(EagleGrNDD!$C:$C),("PHOSPHORUS, TOTAL (AS P)"),(EagleGrNDD!$H:$H),("FINAL EFFLUENT"),(EagleGrNDD!$G:$G),("MG/L"))</f>
        <v>1.672653846153846</v>
      </c>
      <c r="K45" s="124">
        <f>COUNTIFS(EagleGrNDD!$E:$E,"&gt;=5/1/2017",EagleGrNDD!$E:$E,"&lt;=4/30/2018",EagleGrNDD!$C:$C,"PHOSPHORUS, TOTAL (AS P)",EagleGrNDD!$G:$G,"LBS/DAY",EagleGrNDD!$H:$H,"FINAL EFFLUENT")</f>
        <v>52</v>
      </c>
      <c r="L45" s="139">
        <f>AVERAGEIFS((EagleGrNDD!$F:$F),EagleGrNDD!$E:$E,"&gt;=5/1/2017",EagleGrNDD!$E:$E,"&lt;=4/30/2018",(EagleGrNDD!$C:$C),("PHOSPHORUS, TOTAL (AS P)"),(EagleGrNDD!$H:$H),("FINAL EFFLUENT"),(EagleGrNDD!$G:$G),("LBS/DAY"))</f>
        <v>11.206781326923076</v>
      </c>
      <c r="M45" s="126">
        <f>SUMIFS(EagleGrNDD!$F:$F,EagleGrNDD!$E:$E,"&gt;=5/1/2017",EagleGrNDD!$E:$E,"&lt;=4/30/2018",(EagleGrNDD!$C:$C),("PHOSPHORUS, TOTAL (AS P)"),(EagleGrNDD!$H:$H),("FINAL EFFLUENT"),(EagleGrNDD!$G:$G),("LBS/DAY"))</f>
        <v>582.75262899999996</v>
      </c>
      <c r="N45" s="127">
        <f>L45*365</f>
        <v>4090.4751843269228</v>
      </c>
      <c r="O45" s="128">
        <f>((D45-J45))/D45</f>
        <v>0.2584237091603574</v>
      </c>
      <c r="P45" s="129">
        <f>((F45-L45))/F45</f>
        <v>7.4768383610943373E-2</v>
      </c>
      <c r="Q45" s="130">
        <f>(F45-L45)*365</f>
        <v>330.55314184615565</v>
      </c>
    </row>
    <row r="46" spans="1:17" s="44" customFormat="1" ht="5.25" customHeight="1" x14ac:dyDescent="0.2">
      <c r="A46" s="217"/>
      <c r="B46" s="95"/>
      <c r="C46" s="96"/>
      <c r="D46" s="97"/>
      <c r="E46" s="96"/>
      <c r="F46" s="97"/>
      <c r="G46" s="99"/>
      <c r="H46" s="99"/>
      <c r="I46" s="96"/>
      <c r="J46" s="97"/>
      <c r="K46" s="96"/>
      <c r="L46" s="97"/>
      <c r="M46" s="99"/>
      <c r="N46" s="99"/>
      <c r="O46" s="100"/>
      <c r="P46" s="100"/>
      <c r="Q46" s="101"/>
    </row>
    <row r="47" spans="1:17" s="156" customFormat="1" ht="11.25" customHeight="1" x14ac:dyDescent="0.2">
      <c r="A47" s="217"/>
      <c r="B47" s="144" t="s">
        <v>60</v>
      </c>
      <c r="C47" s="145">
        <f>COUNTIFS(EagleGrNDD!$E:$E,"&gt;=1/1/2018",EagleGrNDD!$E:$E,"&lt;=12/31/2018",EagleGrNDD!$C:$C,"PHOSPHORUS, TOTAL (AS P)",EagleGrNDD!$G:$G,"MG/L",EagleGrNDD!$H:$H,"RAW WASTE")</f>
        <v>17</v>
      </c>
      <c r="D47" s="146">
        <f>AVERAGEIFS(EagleGrNDD!$F:$F,EagleGrNDD!$E:$E,"&gt;=1/1/2018",EagleGrNDD!$E:$E,"&lt;=12/31/2018",(EagleGrNDD!$C:$C),("PHOSPHORUS, TOTAL (AS P)"),(EagleGrNDD!$H:$H),("RAW WASTE"),(EagleGrNDD!$G:$G),("MG/L"))</f>
        <v>1.4958235294117646</v>
      </c>
      <c r="E47" s="145">
        <f>COUNTIFS(EagleGrNDD!$E:$E,"&gt;=1/1/2018",EagleGrNDD!$E:$E,"&lt;=12/31/2018",EagleGrNDD!$C:$C,"PHOSPHORUS, TOTAL (AS P)",EagleGrNDD!$G:$G,"LBS/DAY",EagleGrNDD!$H:$H,"RAW WASTE")</f>
        <v>17</v>
      </c>
      <c r="F47" s="147">
        <f>AVERAGEIFS(EagleGrNDD!$F:$F,EagleGrNDD!$E:$E,"&gt;=1/1/2018",EagleGrNDD!$E:$E,"&lt;=12/31/2018",(EagleGrNDD!$C:$C),("PHOSPHORUS, TOTAL (AS P)"),(EagleGrNDD!$H:$H),("RAW WASTE"),(EagleGrNDD!$G:$G),("LBS/DAY"))</f>
        <v>9.7143368176470624</v>
      </c>
      <c r="G47" s="148">
        <f>SUMIFS(EagleGrNDD!$F:$F,EagleGrNDD!$E:$E,"&gt;=1/1/2018",EagleGrNDD!$E:$E,"&lt;=12/31/2018",(EagleGrNDD!$C:$C),("PHOSPHORUS, TOTAL (AS P)"),(EagleGrNDD!$H:$H),("RAW WASTE"),(EagleGrNDD!$G:$G),("LBS/DAY"))</f>
        <v>165.14372590000005</v>
      </c>
      <c r="H47" s="149">
        <f>F47*365</f>
        <v>3545.7329384411778</v>
      </c>
      <c r="I47" s="145">
        <f>COUNTIFS(EagleGrNDD!$E:$E,"&gt;=1/1/2018",EagleGrNDD!$E:$E,"&lt;=12/31/2018",EagleGrNDD!$C:$C,"PHOSPHORUS, TOTAL (AS P)",EagleGrNDD!$G:$G,"MG/L",EagleGrNDD!$H:$H,"FINAL EFFLUENT")</f>
        <v>17</v>
      </c>
      <c r="J47" s="150">
        <f>AVERAGEIFS(EagleGrNDD!$F:$F,EagleGrNDD!$E:$E,"&gt;=1/1/2018",EagleGrNDD!$E:$E,"&lt;=12/31/2018",(EagleGrNDD!$C:$C),("PHOSPHORUS, TOTAL (AS P)"),(EagleGrNDD!$H:$H),("FINAL EFFLUENT"),(EagleGrNDD!$G:$G),("MG/L"))</f>
        <v>1.137</v>
      </c>
      <c r="K47" s="145">
        <f>COUNTIFS(EagleGrNDD!$E:$E,"&gt;=1/1/2018",EagleGrNDD!$E:$E,"&lt;=12/31/2018",EagleGrNDD!$C:$C,"PHOSPHORUS, TOTAL (AS P)",EagleGrNDD!$G:$G,"LBS/DAY",EagleGrNDD!$H:$H,"FINAL EFFLUENT")</f>
        <v>17</v>
      </c>
      <c r="L47" s="151">
        <f>AVERAGEIFS((EagleGrNDD!$F:$F),EagleGrNDD!$E:$E,"&gt;=1/1/2018",EagleGrNDD!$E:$E,"&lt;=12/31/2018",(EagleGrNDD!$C:$C),("PHOSPHORUS, TOTAL (AS P)"),(EagleGrNDD!$H:$H),("FINAL EFFLUENT"),(EagleGrNDD!$G:$G),("LBS/DAY"))</f>
        <v>10.11151409411765</v>
      </c>
      <c r="M47" s="148">
        <f>SUMIFS(EagleGrNDD!$F:$F,EagleGrNDD!$E:$E,"&gt;=1/1/2018",EagleGrNDD!$E:$E,"&lt;=12/31/2018",(EagleGrNDD!$C:$C),("PHOSPHORUS, TOTAL (AS P)"),(EagleGrNDD!$H:$H),("FINAL EFFLUENT"),(EagleGrNDD!$G:$G),("LBS/DAY"))</f>
        <v>171.89573960000004</v>
      </c>
      <c r="N47" s="152">
        <f>L47*365</f>
        <v>3690.7026443529421</v>
      </c>
      <c r="O47" s="153">
        <f>((D47-J47))/D47</f>
        <v>0.23988359746745833</v>
      </c>
      <c r="P47" s="154">
        <f>((F47-L47))/F47</f>
        <v>-4.0885681022411711E-2</v>
      </c>
      <c r="Q47" s="155">
        <f>(F47-L47)*365</f>
        <v>-144.96970591176458</v>
      </c>
    </row>
    <row r="48" spans="1:17" s="44" customFormat="1" ht="11.25" customHeight="1" thickBot="1" x14ac:dyDescent="0.25">
      <c r="A48" s="218"/>
      <c r="B48" s="157" t="s">
        <v>61</v>
      </c>
      <c r="C48" s="158">
        <f>COUNTIFS(EagleGrNDD!$E:$E,"&gt;=5/1/2018",EagleGrNDD!$E:$E,"&lt;=4/30/2019",EagleGrNDD!$C:$C,"PHOSPHORUS, TOTAL (AS P)",EagleGrNDD!$G:$G,"MG/L",EagleGrNDD!$H:$H,"RAW WASTE")</f>
        <v>0</v>
      </c>
      <c r="D48" s="159" t="e">
        <f>AVERAGEIFS(EagleGrNDD!$F:$F,EagleGrNDD!$E:$E,"&gt;=5/1/2018",EagleGrNDD!$E:$E,"&lt;=4/30/2019",(EagleGrNDD!$C:$C),("PHOSPHORUS, TOTAL (AS P)"),(EagleGrNDD!$H:$H),("RAW WASTE"),(EagleGrNDD!$G:$G),("MG/L"))</f>
        <v>#DIV/0!</v>
      </c>
      <c r="E48" s="158" t="s">
        <v>81</v>
      </c>
      <c r="F48" s="160" t="e">
        <f>AVERAGEIFS(EagleGrNDD!$F:$F,EagleGrNDD!$E:$E,"&gt;=5/1/2018",EagleGrNDD!$E:$E,"&lt;=4/30/2019",(EagleGrNDD!$C:$C),("PHOSPHORUS, TOTAL (AS P)"),(EagleGrNDD!$H:$H),("RAW WASTE"),(EagleGrNDD!$G:$G),("LBS/DAY"))</f>
        <v>#DIV/0!</v>
      </c>
      <c r="G48" s="161">
        <f>SUMIFS(EagleGrNDD!$F:$F,EagleGrNDD!$E:$E,"&gt;=5/1/2018",EagleGrNDD!$E:$E,"&lt;=4/30/2019",(EagleGrNDD!$C:$C),("PHOSPHORUS, TOTAL (AS P)"),(EagleGrNDD!$H:$H),("RAW WASTE"),(EagleGrNDD!$G:$G),("LBS/DAY"))</f>
        <v>0</v>
      </c>
      <c r="H48" s="162" t="e">
        <f>F48*365</f>
        <v>#DIV/0!</v>
      </c>
      <c r="I48" s="158">
        <f>COUNTIFS(EagleGrNDD!$E:$E,"&gt;=5/1/2018",EagleGrNDD!$E:$E,"&lt;=4/30/2019",EagleGrNDD!$C:$C,"PHOSPHORUS, TOTAL (AS P)",EagleGrNDD!$G:$G,"MG/L",EagleGrNDD!$H:$H,"FINAL EFFLUENT")</f>
        <v>0</v>
      </c>
      <c r="J48" s="159" t="e">
        <f>AVERAGEIFS(EagleGrNDD!$F:$F,EagleGrNDD!$E:$E,"&gt;=5/1/2018",EagleGrNDD!$E:$E,"&lt;=4/30/2019",(EagleGrNDD!$C:$C),("PHOSPHORUS, TOTAL (AS P)"),(EagleGrNDD!$H:$H),("FINAL EFFLUENT"),(EagleGrNDD!$G:$G),("MG/L"))</f>
        <v>#DIV/0!</v>
      </c>
      <c r="K48" s="158">
        <f>COUNTIFS(EagleGrNDD!$E:$E,"&gt;=5/1/2018",EagleGrNDD!$E:$E,"&lt;=4/30/2019",EagleGrNDD!$C:$C,"PHOSPHORUS, TOTAL (AS P)",EagleGrNDD!$G:$G,"LBS/DAY",EagleGrNDD!$H:$H,"FINAL EFFLUENT")</f>
        <v>0</v>
      </c>
      <c r="L48" s="160" t="e">
        <f>AVERAGEIFS((EagleGrNDD!$F:$F),EagleGrNDD!$E:$E,"&gt;=5/1/2018",EagleGrNDD!$E:$E,"&lt;=4/30/2019",(EagleGrNDD!$C:$C),("PHOSPHORUS, TOTAL (AS P)"),(EagleGrNDD!$H:$H),("FINAL EFFLUENT"),(EagleGrNDD!$G:$G),("LBS/DAY"))</f>
        <v>#DIV/0!</v>
      </c>
      <c r="M48" s="161" t="s">
        <v>82</v>
      </c>
      <c r="N48" s="162" t="e">
        <f>L48*365</f>
        <v>#DIV/0!</v>
      </c>
      <c r="O48" s="163" t="e">
        <f>((D48-J48))/D48</f>
        <v>#DIV/0!</v>
      </c>
      <c r="P48" s="164" t="e">
        <f>((F48-L48))/F48</f>
        <v>#DIV/0!</v>
      </c>
      <c r="Q48" s="165" t="e">
        <f>(F48-L48)*365</f>
        <v>#DIV/0!</v>
      </c>
    </row>
    <row r="49" spans="16:17" x14ac:dyDescent="0.2">
      <c r="P49" s="166" t="s">
        <v>63</v>
      </c>
      <c r="Q49" s="99">
        <f>_xlfn.STDEV.P(Q42,Q45)</f>
        <v>312.70158958182287</v>
      </c>
    </row>
    <row r="50" spans="16:17" x14ac:dyDescent="0.2">
      <c r="P50" s="166" t="s">
        <v>64</v>
      </c>
      <c r="Q50" s="167">
        <f>(Q49/(AVERAGE(Q42,Q45)))</f>
        <v>0.48612404122958913</v>
      </c>
    </row>
    <row r="51" spans="16:17" x14ac:dyDescent="0.2">
      <c r="P51" s="166" t="s">
        <v>65</v>
      </c>
      <c r="Q51" s="99">
        <f>_xlfn.STDEV.P(Q41,Q44)</f>
        <v>55.870023743494471</v>
      </c>
    </row>
    <row r="52" spans="16:17" x14ac:dyDescent="0.2">
      <c r="P52" s="166" t="s">
        <v>66</v>
      </c>
      <c r="Q52" s="167">
        <f>Q51/(AVERAGE(Q41,Q44))</f>
        <v>7.4445143836283312E-2</v>
      </c>
    </row>
    <row r="53" spans="16:17" x14ac:dyDescent="0.2">
      <c r="P53" s="166" t="s">
        <v>67</v>
      </c>
      <c r="Q53" s="168">
        <f>_xlfn.STDEV.P(Q41:Q45)</f>
        <v>230.92530752604725</v>
      </c>
    </row>
    <row r="54" spans="16:17" x14ac:dyDescent="0.2">
      <c r="P54" s="166" t="s">
        <v>68</v>
      </c>
      <c r="Q54" s="100">
        <f>Q53/(AVERAGE(Q41:Q45))</f>
        <v>0.33137488850224917</v>
      </c>
    </row>
  </sheetData>
  <mergeCells count="26">
    <mergeCell ref="C3:F3"/>
    <mergeCell ref="A1:B1"/>
    <mergeCell ref="C1:D1"/>
    <mergeCell ref="E1:F1"/>
    <mergeCell ref="C2:D2"/>
    <mergeCell ref="E2:F2"/>
    <mergeCell ref="A5:A22"/>
    <mergeCell ref="B5:B7"/>
    <mergeCell ref="C5:H5"/>
    <mergeCell ref="I5:N5"/>
    <mergeCell ref="O5:P6"/>
    <mergeCell ref="O31:P32"/>
    <mergeCell ref="Q31:Q32"/>
    <mergeCell ref="C6:D6"/>
    <mergeCell ref="E6:H6"/>
    <mergeCell ref="I6:J6"/>
    <mergeCell ref="K6:N6"/>
    <mergeCell ref="Q5:Q6"/>
    <mergeCell ref="C32:D32"/>
    <mergeCell ref="E32:H32"/>
    <mergeCell ref="I32:J32"/>
    <mergeCell ref="K32:N32"/>
    <mergeCell ref="A31:A48"/>
    <mergeCell ref="B31:B33"/>
    <mergeCell ref="C31:H31"/>
    <mergeCell ref="I31:N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9"/>
  <sheetViews>
    <sheetView topLeftCell="C1" workbookViewId="0">
      <selection activeCell="N1" sqref="N1"/>
    </sheetView>
  </sheetViews>
  <sheetFormatPr defaultRowHeight="11.25" x14ac:dyDescent="0.2"/>
  <cols>
    <col min="1" max="1" width="7.42578125" style="115" customWidth="1"/>
    <col min="2" max="2" width="18.7109375" style="115" customWidth="1"/>
    <col min="3" max="3" width="22.42578125" style="115" customWidth="1"/>
    <col min="4" max="4" width="15.42578125" style="115" customWidth="1"/>
    <col min="5" max="5" width="10" style="115" customWidth="1"/>
    <col min="6" max="6" width="7.5703125" style="115" customWidth="1"/>
    <col min="7" max="7" width="7.85546875" style="115" customWidth="1"/>
    <col min="8" max="8" width="14.42578125" style="115" customWidth="1"/>
    <col min="9" max="9" width="5" style="115" customWidth="1"/>
    <col min="10" max="10" width="16" style="115" customWidth="1"/>
    <col min="11" max="11" width="7.28515625" style="115" customWidth="1"/>
    <col min="12" max="12" width="28.28515625" style="115" customWidth="1"/>
    <col min="13" max="13" width="26.42578125" style="115" customWidth="1"/>
    <col min="14" max="16384" width="9.140625" style="115"/>
  </cols>
  <sheetData>
    <row r="1" spans="1:14" s="185" customFormat="1" ht="21" x14ac:dyDescent="0.2">
      <c r="A1" s="117" t="s">
        <v>0</v>
      </c>
      <c r="B1" s="117" t="s">
        <v>1</v>
      </c>
      <c r="C1" s="117" t="s">
        <v>2</v>
      </c>
      <c r="D1" s="117" t="s">
        <v>3</v>
      </c>
      <c r="E1" s="117" t="s">
        <v>4</v>
      </c>
      <c r="F1" s="117" t="s">
        <v>5</v>
      </c>
      <c r="G1" s="117" t="s">
        <v>6</v>
      </c>
      <c r="H1" s="117" t="s">
        <v>7</v>
      </c>
      <c r="I1" s="184" t="s">
        <v>8</v>
      </c>
      <c r="J1" s="184" t="s">
        <v>9</v>
      </c>
      <c r="K1" s="184" t="s">
        <v>10</v>
      </c>
      <c r="L1" s="117" t="s">
        <v>11</v>
      </c>
      <c r="M1" s="117" t="s">
        <v>58</v>
      </c>
      <c r="N1" s="117" t="s">
        <v>59</v>
      </c>
    </row>
    <row r="2" spans="1:14" x14ac:dyDescent="0.2">
      <c r="A2" s="172" t="s">
        <v>83</v>
      </c>
      <c r="B2" s="172" t="s">
        <v>84</v>
      </c>
      <c r="C2" s="172" t="s">
        <v>14</v>
      </c>
      <c r="D2" s="172" t="s">
        <v>15</v>
      </c>
      <c r="E2" s="173">
        <v>43215</v>
      </c>
      <c r="F2" s="174">
        <v>18.7</v>
      </c>
      <c r="G2" s="175" t="s">
        <v>16</v>
      </c>
      <c r="H2" s="172" t="s">
        <v>17</v>
      </c>
      <c r="I2" s="175">
        <v>1</v>
      </c>
      <c r="J2" s="175" t="s">
        <v>18</v>
      </c>
      <c r="K2" s="175" t="s">
        <v>85</v>
      </c>
      <c r="L2" s="172" t="s">
        <v>86</v>
      </c>
      <c r="M2" s="172" t="s">
        <v>17</v>
      </c>
      <c r="N2" s="186"/>
    </row>
    <row r="3" spans="1:14" x14ac:dyDescent="0.2">
      <c r="A3" s="172" t="s">
        <v>83</v>
      </c>
      <c r="B3" s="172" t="s">
        <v>84</v>
      </c>
      <c r="C3" s="172" t="s">
        <v>14</v>
      </c>
      <c r="D3" s="172" t="s">
        <v>15</v>
      </c>
      <c r="E3" s="173">
        <v>43215</v>
      </c>
      <c r="F3" s="174">
        <v>105.27164999999999</v>
      </c>
      <c r="G3" s="175" t="s">
        <v>19</v>
      </c>
      <c r="H3" s="172" t="s">
        <v>17</v>
      </c>
      <c r="I3" s="175">
        <v>1</v>
      </c>
      <c r="J3" s="175" t="s">
        <v>18</v>
      </c>
      <c r="K3" s="175" t="s">
        <v>85</v>
      </c>
      <c r="L3" s="172" t="s">
        <v>86</v>
      </c>
      <c r="M3" s="172" t="s">
        <v>17</v>
      </c>
      <c r="N3" s="186"/>
    </row>
    <row r="4" spans="1:14" x14ac:dyDescent="0.2">
      <c r="A4" s="172" t="s">
        <v>83</v>
      </c>
      <c r="B4" s="172" t="s">
        <v>84</v>
      </c>
      <c r="C4" s="172" t="s">
        <v>14</v>
      </c>
      <c r="D4" s="172" t="s">
        <v>15</v>
      </c>
      <c r="E4" s="173">
        <v>43215</v>
      </c>
      <c r="F4" s="174">
        <v>6.98</v>
      </c>
      <c r="G4" s="175" t="s">
        <v>16</v>
      </c>
      <c r="H4" s="172" t="s">
        <v>20</v>
      </c>
      <c r="I4" s="175">
        <v>1</v>
      </c>
      <c r="J4" s="175" t="s">
        <v>18</v>
      </c>
      <c r="K4" s="175" t="s">
        <v>85</v>
      </c>
      <c r="L4" s="172" t="s">
        <v>86</v>
      </c>
      <c r="M4" s="172" t="s">
        <v>76</v>
      </c>
      <c r="N4" s="186"/>
    </row>
    <row r="5" spans="1:14" x14ac:dyDescent="0.2">
      <c r="A5" s="172" t="s">
        <v>83</v>
      </c>
      <c r="B5" s="172" t="s">
        <v>84</v>
      </c>
      <c r="C5" s="172" t="s">
        <v>14</v>
      </c>
      <c r="D5" s="172" t="s">
        <v>15</v>
      </c>
      <c r="E5" s="173">
        <v>43215</v>
      </c>
      <c r="F5" s="174">
        <v>39.293909999999997</v>
      </c>
      <c r="G5" s="175" t="s">
        <v>19</v>
      </c>
      <c r="H5" s="172" t="s">
        <v>20</v>
      </c>
      <c r="I5" s="175">
        <v>1</v>
      </c>
      <c r="J5" s="175" t="s">
        <v>18</v>
      </c>
      <c r="K5" s="175" t="s">
        <v>85</v>
      </c>
      <c r="L5" s="172" t="s">
        <v>86</v>
      </c>
      <c r="M5" s="172" t="s">
        <v>76</v>
      </c>
      <c r="N5" s="186"/>
    </row>
    <row r="6" spans="1:14" x14ac:dyDescent="0.2">
      <c r="A6" s="172" t="s">
        <v>83</v>
      </c>
      <c r="B6" s="172" t="s">
        <v>84</v>
      </c>
      <c r="C6" s="172" t="s">
        <v>14</v>
      </c>
      <c r="D6" s="172" t="s">
        <v>15</v>
      </c>
      <c r="E6" s="173">
        <v>43208</v>
      </c>
      <c r="F6" s="174">
        <v>16.7</v>
      </c>
      <c r="G6" s="175" t="s">
        <v>16</v>
      </c>
      <c r="H6" s="172" t="s">
        <v>17</v>
      </c>
      <c r="I6" s="175">
        <v>1</v>
      </c>
      <c r="J6" s="175" t="s">
        <v>18</v>
      </c>
      <c r="K6" s="175" t="s">
        <v>85</v>
      </c>
      <c r="L6" s="172" t="s">
        <v>86</v>
      </c>
      <c r="M6" s="172" t="s">
        <v>17</v>
      </c>
      <c r="N6" s="186"/>
    </row>
    <row r="7" spans="1:14" x14ac:dyDescent="0.2">
      <c r="A7" s="172" t="s">
        <v>83</v>
      </c>
      <c r="B7" s="172" t="s">
        <v>84</v>
      </c>
      <c r="C7" s="172" t="s">
        <v>14</v>
      </c>
      <c r="D7" s="172" t="s">
        <v>15</v>
      </c>
      <c r="E7" s="173">
        <v>43208</v>
      </c>
      <c r="F7" s="174">
        <v>107.104782</v>
      </c>
      <c r="G7" s="175" t="s">
        <v>19</v>
      </c>
      <c r="H7" s="172" t="s">
        <v>17</v>
      </c>
      <c r="I7" s="175">
        <v>1</v>
      </c>
      <c r="J7" s="175" t="s">
        <v>18</v>
      </c>
      <c r="K7" s="175" t="s">
        <v>85</v>
      </c>
      <c r="L7" s="172" t="s">
        <v>86</v>
      </c>
      <c r="M7" s="172" t="s">
        <v>17</v>
      </c>
      <c r="N7" s="186"/>
    </row>
    <row r="8" spans="1:14" x14ac:dyDescent="0.2">
      <c r="A8" s="172" t="s">
        <v>83</v>
      </c>
      <c r="B8" s="172" t="s">
        <v>84</v>
      </c>
      <c r="C8" s="172" t="s">
        <v>14</v>
      </c>
      <c r="D8" s="172" t="s">
        <v>15</v>
      </c>
      <c r="E8" s="173">
        <v>43208</v>
      </c>
      <c r="F8" s="174">
        <v>7.52</v>
      </c>
      <c r="G8" s="175" t="s">
        <v>16</v>
      </c>
      <c r="H8" s="172" t="s">
        <v>20</v>
      </c>
      <c r="I8" s="175">
        <v>1</v>
      </c>
      <c r="J8" s="175" t="s">
        <v>18</v>
      </c>
      <c r="K8" s="175" t="s">
        <v>85</v>
      </c>
      <c r="L8" s="172" t="s">
        <v>86</v>
      </c>
      <c r="M8" s="172" t="s">
        <v>76</v>
      </c>
      <c r="N8" s="186"/>
    </row>
    <row r="9" spans="1:14" x14ac:dyDescent="0.2">
      <c r="A9" s="172" t="s">
        <v>83</v>
      </c>
      <c r="B9" s="172" t="s">
        <v>84</v>
      </c>
      <c r="C9" s="172" t="s">
        <v>14</v>
      </c>
      <c r="D9" s="172" t="s">
        <v>15</v>
      </c>
      <c r="E9" s="173">
        <v>43208</v>
      </c>
      <c r="F9" s="174">
        <v>48.229219200000003</v>
      </c>
      <c r="G9" s="175" t="s">
        <v>19</v>
      </c>
      <c r="H9" s="172" t="s">
        <v>20</v>
      </c>
      <c r="I9" s="175">
        <v>1</v>
      </c>
      <c r="J9" s="175" t="s">
        <v>18</v>
      </c>
      <c r="K9" s="175" t="s">
        <v>85</v>
      </c>
      <c r="L9" s="172" t="s">
        <v>86</v>
      </c>
      <c r="M9" s="172" t="s">
        <v>76</v>
      </c>
      <c r="N9" s="186"/>
    </row>
    <row r="10" spans="1:14" x14ac:dyDescent="0.2">
      <c r="A10" s="172" t="s">
        <v>83</v>
      </c>
      <c r="B10" s="172" t="s">
        <v>84</v>
      </c>
      <c r="C10" s="172" t="s">
        <v>14</v>
      </c>
      <c r="D10" s="172" t="s">
        <v>15</v>
      </c>
      <c r="E10" s="173">
        <v>43201</v>
      </c>
      <c r="F10" s="174">
        <v>23.2</v>
      </c>
      <c r="G10" s="175" t="s">
        <v>16</v>
      </c>
      <c r="H10" s="172" t="s">
        <v>17</v>
      </c>
      <c r="I10" s="175">
        <v>1</v>
      </c>
      <c r="J10" s="175" t="s">
        <v>18</v>
      </c>
      <c r="K10" s="175" t="s">
        <v>85</v>
      </c>
      <c r="L10" s="172" t="s">
        <v>86</v>
      </c>
      <c r="M10" s="172" t="s">
        <v>17</v>
      </c>
      <c r="N10" s="186"/>
    </row>
    <row r="11" spans="1:14" x14ac:dyDescent="0.2">
      <c r="A11" s="172" t="s">
        <v>83</v>
      </c>
      <c r="B11" s="172" t="s">
        <v>84</v>
      </c>
      <c r="C11" s="172" t="s">
        <v>14</v>
      </c>
      <c r="D11" s="172" t="s">
        <v>15</v>
      </c>
      <c r="E11" s="173">
        <v>43201</v>
      </c>
      <c r="F11" s="174">
        <v>106.41840000000001</v>
      </c>
      <c r="G11" s="175" t="s">
        <v>19</v>
      </c>
      <c r="H11" s="172" t="s">
        <v>17</v>
      </c>
      <c r="I11" s="175">
        <v>1</v>
      </c>
      <c r="J11" s="175" t="s">
        <v>18</v>
      </c>
      <c r="K11" s="175" t="s">
        <v>85</v>
      </c>
      <c r="L11" s="172" t="s">
        <v>86</v>
      </c>
      <c r="M11" s="172" t="s">
        <v>17</v>
      </c>
      <c r="N11" s="186"/>
    </row>
    <row r="12" spans="1:14" x14ac:dyDescent="0.2">
      <c r="A12" s="172" t="s">
        <v>83</v>
      </c>
      <c r="B12" s="172" t="s">
        <v>84</v>
      </c>
      <c r="C12" s="172" t="s">
        <v>14</v>
      </c>
      <c r="D12" s="172" t="s">
        <v>15</v>
      </c>
      <c r="E12" s="173">
        <v>43201</v>
      </c>
      <c r="F12" s="174">
        <v>7.26</v>
      </c>
      <c r="G12" s="175" t="s">
        <v>16</v>
      </c>
      <c r="H12" s="172" t="s">
        <v>20</v>
      </c>
      <c r="I12" s="175">
        <v>1</v>
      </c>
      <c r="J12" s="175" t="s">
        <v>18</v>
      </c>
      <c r="K12" s="175" t="s">
        <v>85</v>
      </c>
      <c r="L12" s="172" t="s">
        <v>86</v>
      </c>
      <c r="M12" s="172" t="s">
        <v>76</v>
      </c>
      <c r="N12" s="186"/>
    </row>
    <row r="13" spans="1:14" x14ac:dyDescent="0.2">
      <c r="A13" s="172" t="s">
        <v>83</v>
      </c>
      <c r="B13" s="172" t="s">
        <v>84</v>
      </c>
      <c r="C13" s="172" t="s">
        <v>14</v>
      </c>
      <c r="D13" s="172" t="s">
        <v>15</v>
      </c>
      <c r="E13" s="173">
        <v>43201</v>
      </c>
      <c r="F13" s="174">
        <v>33.30162</v>
      </c>
      <c r="G13" s="175" t="s">
        <v>19</v>
      </c>
      <c r="H13" s="172" t="s">
        <v>20</v>
      </c>
      <c r="I13" s="175">
        <v>1</v>
      </c>
      <c r="J13" s="175" t="s">
        <v>18</v>
      </c>
      <c r="K13" s="175" t="s">
        <v>85</v>
      </c>
      <c r="L13" s="172" t="s">
        <v>86</v>
      </c>
      <c r="M13" s="172" t="s">
        <v>76</v>
      </c>
      <c r="N13" s="186"/>
    </row>
    <row r="14" spans="1:14" x14ac:dyDescent="0.2">
      <c r="A14" s="172" t="s">
        <v>83</v>
      </c>
      <c r="B14" s="172" t="s">
        <v>84</v>
      </c>
      <c r="C14" s="172" t="s">
        <v>14</v>
      </c>
      <c r="D14" s="172" t="s">
        <v>15</v>
      </c>
      <c r="E14" s="173">
        <v>43194</v>
      </c>
      <c r="F14" s="174">
        <v>20.100000000000001</v>
      </c>
      <c r="G14" s="175" t="s">
        <v>16</v>
      </c>
      <c r="H14" s="172" t="s">
        <v>17</v>
      </c>
      <c r="I14" s="175">
        <v>1</v>
      </c>
      <c r="J14" s="175" t="s">
        <v>18</v>
      </c>
      <c r="K14" s="175" t="s">
        <v>85</v>
      </c>
      <c r="L14" s="172" t="s">
        <v>86</v>
      </c>
      <c r="M14" s="172" t="s">
        <v>17</v>
      </c>
      <c r="N14" s="186"/>
    </row>
    <row r="15" spans="1:14" x14ac:dyDescent="0.2">
      <c r="A15" s="172" t="s">
        <v>83</v>
      </c>
      <c r="B15" s="172" t="s">
        <v>84</v>
      </c>
      <c r="C15" s="172" t="s">
        <v>14</v>
      </c>
      <c r="D15" s="172" t="s">
        <v>15</v>
      </c>
      <c r="E15" s="173">
        <v>43194</v>
      </c>
      <c r="F15" s="174">
        <v>96.892452000000006</v>
      </c>
      <c r="G15" s="175" t="s">
        <v>19</v>
      </c>
      <c r="H15" s="172" t="s">
        <v>17</v>
      </c>
      <c r="I15" s="175">
        <v>1</v>
      </c>
      <c r="J15" s="175" t="s">
        <v>18</v>
      </c>
      <c r="K15" s="175" t="s">
        <v>85</v>
      </c>
      <c r="L15" s="172" t="s">
        <v>86</v>
      </c>
      <c r="M15" s="172" t="s">
        <v>17</v>
      </c>
      <c r="N15" s="186"/>
    </row>
    <row r="16" spans="1:14" x14ac:dyDescent="0.2">
      <c r="A16" s="172" t="s">
        <v>83</v>
      </c>
      <c r="B16" s="172" t="s">
        <v>84</v>
      </c>
      <c r="C16" s="172" t="s">
        <v>14</v>
      </c>
      <c r="D16" s="172" t="s">
        <v>15</v>
      </c>
      <c r="E16" s="173">
        <v>43194</v>
      </c>
      <c r="F16" s="174">
        <v>7.87</v>
      </c>
      <c r="G16" s="175" t="s">
        <v>16</v>
      </c>
      <c r="H16" s="172" t="s">
        <v>20</v>
      </c>
      <c r="I16" s="175">
        <v>1</v>
      </c>
      <c r="J16" s="175" t="s">
        <v>18</v>
      </c>
      <c r="K16" s="175" t="s">
        <v>85</v>
      </c>
      <c r="L16" s="172" t="s">
        <v>86</v>
      </c>
      <c r="M16" s="172" t="s">
        <v>76</v>
      </c>
      <c r="N16" s="186"/>
    </row>
    <row r="17" spans="1:14" x14ac:dyDescent="0.2">
      <c r="A17" s="172" t="s">
        <v>83</v>
      </c>
      <c r="B17" s="172" t="s">
        <v>84</v>
      </c>
      <c r="C17" s="172" t="s">
        <v>14</v>
      </c>
      <c r="D17" s="172" t="s">
        <v>15</v>
      </c>
      <c r="E17" s="173">
        <v>43194</v>
      </c>
      <c r="F17" s="174">
        <v>37.937492399999996</v>
      </c>
      <c r="G17" s="175" t="s">
        <v>19</v>
      </c>
      <c r="H17" s="172" t="s">
        <v>20</v>
      </c>
      <c r="I17" s="175">
        <v>1</v>
      </c>
      <c r="J17" s="175" t="s">
        <v>18</v>
      </c>
      <c r="K17" s="175" t="s">
        <v>85</v>
      </c>
      <c r="L17" s="172" t="s">
        <v>86</v>
      </c>
      <c r="M17" s="172" t="s">
        <v>76</v>
      </c>
      <c r="N17" s="186"/>
    </row>
    <row r="18" spans="1:14" x14ac:dyDescent="0.2">
      <c r="A18" s="172" t="s">
        <v>83</v>
      </c>
      <c r="B18" s="172" t="s">
        <v>84</v>
      </c>
      <c r="C18" s="172" t="s">
        <v>14</v>
      </c>
      <c r="D18" s="172" t="s">
        <v>15</v>
      </c>
      <c r="E18" s="173">
        <v>43185</v>
      </c>
      <c r="F18" s="174">
        <v>29.5</v>
      </c>
      <c r="G18" s="175" t="s">
        <v>16</v>
      </c>
      <c r="H18" s="172" t="s">
        <v>17</v>
      </c>
      <c r="I18" s="175">
        <v>1</v>
      </c>
      <c r="J18" s="175" t="s">
        <v>18</v>
      </c>
      <c r="K18" s="175" t="s">
        <v>85</v>
      </c>
      <c r="L18" s="172" t="s">
        <v>86</v>
      </c>
      <c r="M18" s="172" t="s">
        <v>17</v>
      </c>
      <c r="N18" s="186"/>
    </row>
    <row r="19" spans="1:14" x14ac:dyDescent="0.2">
      <c r="A19" s="172" t="s">
        <v>83</v>
      </c>
      <c r="B19" s="172" t="s">
        <v>84</v>
      </c>
      <c r="C19" s="172" t="s">
        <v>14</v>
      </c>
      <c r="D19" s="172" t="s">
        <v>15</v>
      </c>
      <c r="E19" s="173">
        <v>43185</v>
      </c>
      <c r="F19" s="174">
        <v>106.28496</v>
      </c>
      <c r="G19" s="175" t="s">
        <v>19</v>
      </c>
      <c r="H19" s="172" t="s">
        <v>17</v>
      </c>
      <c r="I19" s="175">
        <v>1</v>
      </c>
      <c r="J19" s="175" t="s">
        <v>18</v>
      </c>
      <c r="K19" s="175" t="s">
        <v>85</v>
      </c>
      <c r="L19" s="172" t="s">
        <v>86</v>
      </c>
      <c r="M19" s="172" t="s">
        <v>17</v>
      </c>
      <c r="N19" s="186"/>
    </row>
    <row r="20" spans="1:14" x14ac:dyDescent="0.2">
      <c r="A20" s="172" t="s">
        <v>83</v>
      </c>
      <c r="B20" s="172" t="s">
        <v>84</v>
      </c>
      <c r="C20" s="172" t="s">
        <v>14</v>
      </c>
      <c r="D20" s="172" t="s">
        <v>15</v>
      </c>
      <c r="E20" s="173">
        <v>43185</v>
      </c>
      <c r="F20" s="174">
        <v>9.3800000000000008</v>
      </c>
      <c r="G20" s="175" t="s">
        <v>16</v>
      </c>
      <c r="H20" s="172" t="s">
        <v>20</v>
      </c>
      <c r="I20" s="175">
        <v>1</v>
      </c>
      <c r="J20" s="175" t="s">
        <v>18</v>
      </c>
      <c r="K20" s="175" t="s">
        <v>85</v>
      </c>
      <c r="L20" s="172" t="s">
        <v>86</v>
      </c>
      <c r="M20" s="172" t="s">
        <v>76</v>
      </c>
      <c r="N20" s="186"/>
    </row>
    <row r="21" spans="1:14" x14ac:dyDescent="0.2">
      <c r="A21" s="172" t="s">
        <v>83</v>
      </c>
      <c r="B21" s="172" t="s">
        <v>84</v>
      </c>
      <c r="C21" s="172" t="s">
        <v>14</v>
      </c>
      <c r="D21" s="172" t="s">
        <v>15</v>
      </c>
      <c r="E21" s="173">
        <v>43185</v>
      </c>
      <c r="F21" s="174">
        <v>33.795014399999999</v>
      </c>
      <c r="G21" s="175" t="s">
        <v>19</v>
      </c>
      <c r="H21" s="172" t="s">
        <v>20</v>
      </c>
      <c r="I21" s="175">
        <v>1</v>
      </c>
      <c r="J21" s="175" t="s">
        <v>18</v>
      </c>
      <c r="K21" s="175" t="s">
        <v>85</v>
      </c>
      <c r="L21" s="172" t="s">
        <v>86</v>
      </c>
      <c r="M21" s="172" t="s">
        <v>76</v>
      </c>
      <c r="N21" s="186"/>
    </row>
    <row r="22" spans="1:14" x14ac:dyDescent="0.2">
      <c r="A22" s="172" t="s">
        <v>83</v>
      </c>
      <c r="B22" s="172" t="s">
        <v>84</v>
      </c>
      <c r="C22" s="172" t="s">
        <v>14</v>
      </c>
      <c r="D22" s="172" t="s">
        <v>15</v>
      </c>
      <c r="E22" s="173">
        <v>43180</v>
      </c>
      <c r="F22" s="174">
        <v>26.7</v>
      </c>
      <c r="G22" s="175" t="s">
        <v>16</v>
      </c>
      <c r="H22" s="172" t="s">
        <v>17</v>
      </c>
      <c r="I22" s="175">
        <v>1</v>
      </c>
      <c r="J22" s="175" t="s">
        <v>18</v>
      </c>
      <c r="K22" s="175" t="s">
        <v>85</v>
      </c>
      <c r="L22" s="172" t="s">
        <v>86</v>
      </c>
      <c r="M22" s="172" t="s">
        <v>17</v>
      </c>
      <c r="N22" s="186"/>
    </row>
    <row r="23" spans="1:14" x14ac:dyDescent="0.2">
      <c r="A23" s="172" t="s">
        <v>83</v>
      </c>
      <c r="B23" s="172" t="s">
        <v>84</v>
      </c>
      <c r="C23" s="172" t="s">
        <v>14</v>
      </c>
      <c r="D23" s="172" t="s">
        <v>15</v>
      </c>
      <c r="E23" s="173">
        <v>43180</v>
      </c>
      <c r="F23" s="174">
        <v>88.848522000000003</v>
      </c>
      <c r="G23" s="175" t="s">
        <v>19</v>
      </c>
      <c r="H23" s="172" t="s">
        <v>17</v>
      </c>
      <c r="I23" s="175">
        <v>1</v>
      </c>
      <c r="J23" s="175" t="s">
        <v>18</v>
      </c>
      <c r="K23" s="175" t="s">
        <v>85</v>
      </c>
      <c r="L23" s="172" t="s">
        <v>86</v>
      </c>
      <c r="M23" s="172" t="s">
        <v>17</v>
      </c>
      <c r="N23" s="186"/>
    </row>
    <row r="24" spans="1:14" x14ac:dyDescent="0.2">
      <c r="A24" s="172" t="s">
        <v>83</v>
      </c>
      <c r="B24" s="172" t="s">
        <v>84</v>
      </c>
      <c r="C24" s="172" t="s">
        <v>14</v>
      </c>
      <c r="D24" s="172" t="s">
        <v>15</v>
      </c>
      <c r="E24" s="173">
        <v>43180</v>
      </c>
      <c r="F24" s="174">
        <v>10.6</v>
      </c>
      <c r="G24" s="175" t="s">
        <v>16</v>
      </c>
      <c r="H24" s="172" t="s">
        <v>20</v>
      </c>
      <c r="I24" s="175">
        <v>1</v>
      </c>
      <c r="J24" s="175" t="s">
        <v>18</v>
      </c>
      <c r="K24" s="175" t="s">
        <v>85</v>
      </c>
      <c r="L24" s="172" t="s">
        <v>86</v>
      </c>
      <c r="M24" s="172" t="s">
        <v>76</v>
      </c>
      <c r="N24" s="186"/>
    </row>
    <row r="25" spans="1:14" x14ac:dyDescent="0.2">
      <c r="A25" s="172" t="s">
        <v>83</v>
      </c>
      <c r="B25" s="172" t="s">
        <v>84</v>
      </c>
      <c r="C25" s="172" t="s">
        <v>14</v>
      </c>
      <c r="D25" s="172" t="s">
        <v>15</v>
      </c>
      <c r="E25" s="173">
        <v>43180</v>
      </c>
      <c r="F25" s="174">
        <v>35.273195999999999</v>
      </c>
      <c r="G25" s="175" t="s">
        <v>19</v>
      </c>
      <c r="H25" s="172" t="s">
        <v>20</v>
      </c>
      <c r="I25" s="175">
        <v>1</v>
      </c>
      <c r="J25" s="175" t="s">
        <v>18</v>
      </c>
      <c r="K25" s="175" t="s">
        <v>85</v>
      </c>
      <c r="L25" s="172" t="s">
        <v>86</v>
      </c>
      <c r="M25" s="172" t="s">
        <v>76</v>
      </c>
      <c r="N25" s="186"/>
    </row>
    <row r="26" spans="1:14" x14ac:dyDescent="0.2">
      <c r="A26" s="172" t="s">
        <v>83</v>
      </c>
      <c r="B26" s="172" t="s">
        <v>84</v>
      </c>
      <c r="C26" s="172" t="s">
        <v>14</v>
      </c>
      <c r="D26" s="172" t="s">
        <v>15</v>
      </c>
      <c r="E26" s="173">
        <v>43173</v>
      </c>
      <c r="F26" s="174">
        <v>28.3</v>
      </c>
      <c r="G26" s="175" t="s">
        <v>16</v>
      </c>
      <c r="H26" s="172" t="s">
        <v>17</v>
      </c>
      <c r="I26" s="175">
        <v>1</v>
      </c>
      <c r="J26" s="175" t="s">
        <v>18</v>
      </c>
      <c r="K26" s="175" t="s">
        <v>85</v>
      </c>
      <c r="L26" s="172" t="s">
        <v>86</v>
      </c>
      <c r="M26" s="172" t="s">
        <v>17</v>
      </c>
      <c r="N26" s="186"/>
    </row>
    <row r="27" spans="1:14" x14ac:dyDescent="0.2">
      <c r="A27" s="172" t="s">
        <v>83</v>
      </c>
      <c r="B27" s="172" t="s">
        <v>84</v>
      </c>
      <c r="C27" s="172" t="s">
        <v>14</v>
      </c>
      <c r="D27" s="172" t="s">
        <v>15</v>
      </c>
      <c r="E27" s="173">
        <v>43173</v>
      </c>
      <c r="F27" s="174">
        <v>89.216316000000006</v>
      </c>
      <c r="G27" s="175" t="s">
        <v>19</v>
      </c>
      <c r="H27" s="172" t="s">
        <v>17</v>
      </c>
      <c r="I27" s="175">
        <v>1</v>
      </c>
      <c r="J27" s="175" t="s">
        <v>18</v>
      </c>
      <c r="K27" s="175" t="s">
        <v>85</v>
      </c>
      <c r="L27" s="172" t="s">
        <v>86</v>
      </c>
      <c r="M27" s="172" t="s">
        <v>17</v>
      </c>
      <c r="N27" s="186"/>
    </row>
    <row r="28" spans="1:14" x14ac:dyDescent="0.2">
      <c r="A28" s="172" t="s">
        <v>83</v>
      </c>
      <c r="B28" s="172" t="s">
        <v>84</v>
      </c>
      <c r="C28" s="172" t="s">
        <v>14</v>
      </c>
      <c r="D28" s="172" t="s">
        <v>15</v>
      </c>
      <c r="E28" s="173">
        <v>43173</v>
      </c>
      <c r="F28" s="174">
        <v>9.9700000000000006</v>
      </c>
      <c r="G28" s="175" t="s">
        <v>16</v>
      </c>
      <c r="H28" s="172" t="s">
        <v>20</v>
      </c>
      <c r="I28" s="175">
        <v>1</v>
      </c>
      <c r="J28" s="175" t="s">
        <v>18</v>
      </c>
      <c r="K28" s="175" t="s">
        <v>85</v>
      </c>
      <c r="L28" s="172" t="s">
        <v>86</v>
      </c>
      <c r="M28" s="172" t="s">
        <v>76</v>
      </c>
      <c r="N28" s="186"/>
    </row>
    <row r="29" spans="1:14" x14ac:dyDescent="0.2">
      <c r="A29" s="172" t="s">
        <v>83</v>
      </c>
      <c r="B29" s="172" t="s">
        <v>84</v>
      </c>
      <c r="C29" s="172" t="s">
        <v>14</v>
      </c>
      <c r="D29" s="172" t="s">
        <v>15</v>
      </c>
      <c r="E29" s="173">
        <v>43173</v>
      </c>
      <c r="F29" s="174">
        <v>31.430624399999999</v>
      </c>
      <c r="G29" s="175" t="s">
        <v>19</v>
      </c>
      <c r="H29" s="172" t="s">
        <v>20</v>
      </c>
      <c r="I29" s="175">
        <v>1</v>
      </c>
      <c r="J29" s="175" t="s">
        <v>18</v>
      </c>
      <c r="K29" s="175" t="s">
        <v>85</v>
      </c>
      <c r="L29" s="172" t="s">
        <v>86</v>
      </c>
      <c r="M29" s="172" t="s">
        <v>76</v>
      </c>
      <c r="N29" s="186"/>
    </row>
    <row r="30" spans="1:14" x14ac:dyDescent="0.2">
      <c r="A30" s="172" t="s">
        <v>83</v>
      </c>
      <c r="B30" s="172" t="s">
        <v>84</v>
      </c>
      <c r="C30" s="172" t="s">
        <v>14</v>
      </c>
      <c r="D30" s="172" t="s">
        <v>15</v>
      </c>
      <c r="E30" s="173">
        <v>43166</v>
      </c>
      <c r="F30" s="174">
        <v>26.1</v>
      </c>
      <c r="G30" s="175" t="s">
        <v>16</v>
      </c>
      <c r="H30" s="172" t="s">
        <v>17</v>
      </c>
      <c r="I30" s="175">
        <v>1</v>
      </c>
      <c r="J30" s="175" t="s">
        <v>18</v>
      </c>
      <c r="K30" s="175" t="s">
        <v>85</v>
      </c>
      <c r="L30" s="172" t="s">
        <v>86</v>
      </c>
      <c r="M30" s="172" t="s">
        <v>17</v>
      </c>
      <c r="N30" s="186"/>
    </row>
    <row r="31" spans="1:14" x14ac:dyDescent="0.2">
      <c r="A31" s="172" t="s">
        <v>83</v>
      </c>
      <c r="B31" s="172" t="s">
        <v>84</v>
      </c>
      <c r="C31" s="172" t="s">
        <v>14</v>
      </c>
      <c r="D31" s="172" t="s">
        <v>15</v>
      </c>
      <c r="E31" s="173">
        <v>43166</v>
      </c>
      <c r="F31" s="174">
        <v>87.504947999999999</v>
      </c>
      <c r="G31" s="175" t="s">
        <v>19</v>
      </c>
      <c r="H31" s="172" t="s">
        <v>17</v>
      </c>
      <c r="I31" s="175">
        <v>1</v>
      </c>
      <c r="J31" s="175" t="s">
        <v>18</v>
      </c>
      <c r="K31" s="175" t="s">
        <v>85</v>
      </c>
      <c r="L31" s="172" t="s">
        <v>86</v>
      </c>
      <c r="M31" s="172" t="s">
        <v>17</v>
      </c>
      <c r="N31" s="186"/>
    </row>
    <row r="32" spans="1:14" x14ac:dyDescent="0.2">
      <c r="A32" s="172" t="s">
        <v>83</v>
      </c>
      <c r="B32" s="172" t="s">
        <v>84</v>
      </c>
      <c r="C32" s="172" t="s">
        <v>14</v>
      </c>
      <c r="D32" s="172" t="s">
        <v>15</v>
      </c>
      <c r="E32" s="173">
        <v>43166</v>
      </c>
      <c r="F32" s="174">
        <v>9.1</v>
      </c>
      <c r="G32" s="175" t="s">
        <v>16</v>
      </c>
      <c r="H32" s="172" t="s">
        <v>20</v>
      </c>
      <c r="I32" s="175">
        <v>1</v>
      </c>
      <c r="J32" s="175" t="s">
        <v>18</v>
      </c>
      <c r="K32" s="175" t="s">
        <v>85</v>
      </c>
      <c r="L32" s="172" t="s">
        <v>86</v>
      </c>
      <c r="M32" s="172" t="s">
        <v>76</v>
      </c>
      <c r="N32" s="186"/>
    </row>
    <row r="33" spans="1:14" x14ac:dyDescent="0.2">
      <c r="A33" s="172" t="s">
        <v>83</v>
      </c>
      <c r="B33" s="172" t="s">
        <v>84</v>
      </c>
      <c r="C33" s="172" t="s">
        <v>14</v>
      </c>
      <c r="D33" s="172" t="s">
        <v>15</v>
      </c>
      <c r="E33" s="173">
        <v>43166</v>
      </c>
      <c r="F33" s="174">
        <v>30.509388000000001</v>
      </c>
      <c r="G33" s="175" t="s">
        <v>19</v>
      </c>
      <c r="H33" s="172" t="s">
        <v>20</v>
      </c>
      <c r="I33" s="175">
        <v>1</v>
      </c>
      <c r="J33" s="175" t="s">
        <v>18</v>
      </c>
      <c r="K33" s="175" t="s">
        <v>85</v>
      </c>
      <c r="L33" s="172" t="s">
        <v>86</v>
      </c>
      <c r="M33" s="172" t="s">
        <v>76</v>
      </c>
      <c r="N33" s="186"/>
    </row>
    <row r="34" spans="1:14" x14ac:dyDescent="0.2">
      <c r="A34" s="172" t="s">
        <v>83</v>
      </c>
      <c r="B34" s="172" t="s">
        <v>84</v>
      </c>
      <c r="C34" s="172" t="s">
        <v>14</v>
      </c>
      <c r="D34" s="172" t="s">
        <v>15</v>
      </c>
      <c r="E34" s="173">
        <v>43157</v>
      </c>
      <c r="F34" s="174">
        <v>27</v>
      </c>
      <c r="G34" s="175" t="s">
        <v>16</v>
      </c>
      <c r="H34" s="172" t="s">
        <v>17</v>
      </c>
      <c r="I34" s="175">
        <v>1</v>
      </c>
      <c r="J34" s="175" t="s">
        <v>18</v>
      </c>
      <c r="K34" s="175" t="s">
        <v>85</v>
      </c>
      <c r="L34" s="172" t="s">
        <v>86</v>
      </c>
      <c r="M34" s="172" t="s">
        <v>17</v>
      </c>
      <c r="N34" s="186"/>
    </row>
    <row r="35" spans="1:14" x14ac:dyDescent="0.2">
      <c r="A35" s="172" t="s">
        <v>83</v>
      </c>
      <c r="B35" s="172" t="s">
        <v>84</v>
      </c>
      <c r="C35" s="172" t="s">
        <v>14</v>
      </c>
      <c r="D35" s="172" t="s">
        <v>15</v>
      </c>
      <c r="E35" s="173">
        <v>43157</v>
      </c>
      <c r="F35" s="174">
        <v>91.873440000000002</v>
      </c>
      <c r="G35" s="175" t="s">
        <v>19</v>
      </c>
      <c r="H35" s="172" t="s">
        <v>17</v>
      </c>
      <c r="I35" s="175">
        <v>1</v>
      </c>
      <c r="J35" s="175" t="s">
        <v>18</v>
      </c>
      <c r="K35" s="175" t="s">
        <v>85</v>
      </c>
      <c r="L35" s="172" t="s">
        <v>86</v>
      </c>
      <c r="M35" s="172" t="s">
        <v>17</v>
      </c>
      <c r="N35" s="186"/>
    </row>
    <row r="36" spans="1:14" x14ac:dyDescent="0.2">
      <c r="A36" s="172" t="s">
        <v>83</v>
      </c>
      <c r="B36" s="172" t="s">
        <v>84</v>
      </c>
      <c r="C36" s="172" t="s">
        <v>14</v>
      </c>
      <c r="D36" s="172" t="s">
        <v>15</v>
      </c>
      <c r="E36" s="173">
        <v>43157</v>
      </c>
      <c r="F36" s="174">
        <v>8.14</v>
      </c>
      <c r="G36" s="175" t="s">
        <v>16</v>
      </c>
      <c r="H36" s="172" t="s">
        <v>20</v>
      </c>
      <c r="I36" s="175">
        <v>1</v>
      </c>
      <c r="J36" s="175" t="s">
        <v>18</v>
      </c>
      <c r="K36" s="175" t="s">
        <v>85</v>
      </c>
      <c r="L36" s="172" t="s">
        <v>86</v>
      </c>
      <c r="M36" s="172" t="s">
        <v>76</v>
      </c>
      <c r="N36" s="186"/>
    </row>
    <row r="37" spans="1:14" x14ac:dyDescent="0.2">
      <c r="A37" s="172" t="s">
        <v>83</v>
      </c>
      <c r="B37" s="172" t="s">
        <v>84</v>
      </c>
      <c r="C37" s="172" t="s">
        <v>14</v>
      </c>
      <c r="D37" s="172" t="s">
        <v>15</v>
      </c>
      <c r="E37" s="173">
        <v>43157</v>
      </c>
      <c r="F37" s="174">
        <v>27.698140800000001</v>
      </c>
      <c r="G37" s="175" t="s">
        <v>19</v>
      </c>
      <c r="H37" s="172" t="s">
        <v>20</v>
      </c>
      <c r="I37" s="175">
        <v>1</v>
      </c>
      <c r="J37" s="175" t="s">
        <v>18</v>
      </c>
      <c r="K37" s="175" t="s">
        <v>85</v>
      </c>
      <c r="L37" s="172" t="s">
        <v>86</v>
      </c>
      <c r="M37" s="172" t="s">
        <v>76</v>
      </c>
      <c r="N37" s="186"/>
    </row>
    <row r="38" spans="1:14" x14ac:dyDescent="0.2">
      <c r="A38" s="172" t="s">
        <v>83</v>
      </c>
      <c r="B38" s="172" t="s">
        <v>84</v>
      </c>
      <c r="C38" s="172" t="s">
        <v>14</v>
      </c>
      <c r="D38" s="172" t="s">
        <v>15</v>
      </c>
      <c r="E38" s="173">
        <v>43152</v>
      </c>
      <c r="F38" s="174">
        <v>23.9</v>
      </c>
      <c r="G38" s="175" t="s">
        <v>16</v>
      </c>
      <c r="H38" s="172" t="s">
        <v>17</v>
      </c>
      <c r="I38" s="175">
        <v>1</v>
      </c>
      <c r="J38" s="175" t="s">
        <v>18</v>
      </c>
      <c r="K38" s="175" t="s">
        <v>85</v>
      </c>
      <c r="L38" s="172" t="s">
        <v>86</v>
      </c>
      <c r="M38" s="172" t="s">
        <v>17</v>
      </c>
      <c r="N38" s="186"/>
    </row>
    <row r="39" spans="1:14" x14ac:dyDescent="0.2">
      <c r="A39" s="172" t="s">
        <v>83</v>
      </c>
      <c r="B39" s="172" t="s">
        <v>84</v>
      </c>
      <c r="C39" s="172" t="s">
        <v>14</v>
      </c>
      <c r="D39" s="172" t="s">
        <v>15</v>
      </c>
      <c r="E39" s="173">
        <v>43152</v>
      </c>
      <c r="F39" s="174">
        <v>86.507484000000005</v>
      </c>
      <c r="G39" s="175" t="s">
        <v>19</v>
      </c>
      <c r="H39" s="172" t="s">
        <v>17</v>
      </c>
      <c r="I39" s="175">
        <v>1</v>
      </c>
      <c r="J39" s="175" t="s">
        <v>18</v>
      </c>
      <c r="K39" s="175" t="s">
        <v>85</v>
      </c>
      <c r="L39" s="172" t="s">
        <v>86</v>
      </c>
      <c r="M39" s="172" t="s">
        <v>17</v>
      </c>
      <c r="N39" s="186"/>
    </row>
    <row r="40" spans="1:14" x14ac:dyDescent="0.2">
      <c r="A40" s="172" t="s">
        <v>83</v>
      </c>
      <c r="B40" s="172" t="s">
        <v>84</v>
      </c>
      <c r="C40" s="172" t="s">
        <v>14</v>
      </c>
      <c r="D40" s="172" t="s">
        <v>15</v>
      </c>
      <c r="E40" s="173">
        <v>43152</v>
      </c>
      <c r="F40" s="174">
        <v>7.69</v>
      </c>
      <c r="G40" s="175" t="s">
        <v>16</v>
      </c>
      <c r="H40" s="172" t="s">
        <v>20</v>
      </c>
      <c r="I40" s="175">
        <v>1</v>
      </c>
      <c r="J40" s="175" t="s">
        <v>18</v>
      </c>
      <c r="K40" s="175" t="s">
        <v>85</v>
      </c>
      <c r="L40" s="172" t="s">
        <v>86</v>
      </c>
      <c r="M40" s="172" t="s">
        <v>76</v>
      </c>
      <c r="N40" s="186"/>
    </row>
    <row r="41" spans="1:14" x14ac:dyDescent="0.2">
      <c r="A41" s="172" t="s">
        <v>83</v>
      </c>
      <c r="B41" s="172" t="s">
        <v>84</v>
      </c>
      <c r="C41" s="172" t="s">
        <v>14</v>
      </c>
      <c r="D41" s="172" t="s">
        <v>15</v>
      </c>
      <c r="E41" s="173">
        <v>43152</v>
      </c>
      <c r="F41" s="174">
        <v>27.834416399999999</v>
      </c>
      <c r="G41" s="175" t="s">
        <v>19</v>
      </c>
      <c r="H41" s="172" t="s">
        <v>20</v>
      </c>
      <c r="I41" s="175">
        <v>1</v>
      </c>
      <c r="J41" s="175" t="s">
        <v>18</v>
      </c>
      <c r="K41" s="175" t="s">
        <v>85</v>
      </c>
      <c r="L41" s="172" t="s">
        <v>86</v>
      </c>
      <c r="M41" s="172" t="s">
        <v>76</v>
      </c>
      <c r="N41" s="186"/>
    </row>
    <row r="42" spans="1:14" x14ac:dyDescent="0.2">
      <c r="A42" s="172" t="s">
        <v>83</v>
      </c>
      <c r="B42" s="172" t="s">
        <v>84</v>
      </c>
      <c r="C42" s="172" t="s">
        <v>14</v>
      </c>
      <c r="D42" s="172" t="s">
        <v>15</v>
      </c>
      <c r="E42" s="173">
        <v>43145</v>
      </c>
      <c r="F42" s="174">
        <v>34.799999999999997</v>
      </c>
      <c r="G42" s="175" t="s">
        <v>16</v>
      </c>
      <c r="H42" s="172" t="s">
        <v>17</v>
      </c>
      <c r="I42" s="175">
        <v>1</v>
      </c>
      <c r="J42" s="175" t="s">
        <v>18</v>
      </c>
      <c r="K42" s="175" t="s">
        <v>85</v>
      </c>
      <c r="L42" s="172" t="s">
        <v>86</v>
      </c>
      <c r="M42" s="172" t="s">
        <v>17</v>
      </c>
      <c r="N42" s="186"/>
    </row>
    <row r="43" spans="1:14" x14ac:dyDescent="0.2">
      <c r="A43" s="172" t="s">
        <v>83</v>
      </c>
      <c r="B43" s="172" t="s">
        <v>84</v>
      </c>
      <c r="C43" s="172" t="s">
        <v>14</v>
      </c>
      <c r="D43" s="172" t="s">
        <v>15</v>
      </c>
      <c r="E43" s="173">
        <v>43145</v>
      </c>
      <c r="F43" s="174">
        <v>88.230528000000007</v>
      </c>
      <c r="G43" s="175" t="s">
        <v>19</v>
      </c>
      <c r="H43" s="172" t="s">
        <v>17</v>
      </c>
      <c r="I43" s="175">
        <v>1</v>
      </c>
      <c r="J43" s="175" t="s">
        <v>18</v>
      </c>
      <c r="K43" s="175" t="s">
        <v>85</v>
      </c>
      <c r="L43" s="172" t="s">
        <v>86</v>
      </c>
      <c r="M43" s="172" t="s">
        <v>17</v>
      </c>
      <c r="N43" s="186"/>
    </row>
    <row r="44" spans="1:14" x14ac:dyDescent="0.2">
      <c r="A44" s="172" t="s">
        <v>83</v>
      </c>
      <c r="B44" s="172" t="s">
        <v>84</v>
      </c>
      <c r="C44" s="172" t="s">
        <v>14</v>
      </c>
      <c r="D44" s="172" t="s">
        <v>15</v>
      </c>
      <c r="E44" s="173">
        <v>43145</v>
      </c>
      <c r="F44" s="174">
        <v>15.4</v>
      </c>
      <c r="G44" s="175" t="s">
        <v>16</v>
      </c>
      <c r="H44" s="172" t="s">
        <v>20</v>
      </c>
      <c r="I44" s="175">
        <v>1</v>
      </c>
      <c r="J44" s="175" t="s">
        <v>18</v>
      </c>
      <c r="K44" s="175" t="s">
        <v>85</v>
      </c>
      <c r="L44" s="172" t="s">
        <v>86</v>
      </c>
      <c r="M44" s="172" t="s">
        <v>76</v>
      </c>
      <c r="N44" s="186"/>
    </row>
    <row r="45" spans="1:14" x14ac:dyDescent="0.2">
      <c r="A45" s="172" t="s">
        <v>83</v>
      </c>
      <c r="B45" s="172" t="s">
        <v>84</v>
      </c>
      <c r="C45" s="172" t="s">
        <v>14</v>
      </c>
      <c r="D45" s="172" t="s">
        <v>15</v>
      </c>
      <c r="E45" s="173">
        <v>43145</v>
      </c>
      <c r="F45" s="174">
        <v>39.044544000000002</v>
      </c>
      <c r="G45" s="175" t="s">
        <v>19</v>
      </c>
      <c r="H45" s="172" t="s">
        <v>20</v>
      </c>
      <c r="I45" s="175">
        <v>1</v>
      </c>
      <c r="J45" s="175" t="s">
        <v>18</v>
      </c>
      <c r="K45" s="175" t="s">
        <v>85</v>
      </c>
      <c r="L45" s="172" t="s">
        <v>86</v>
      </c>
      <c r="M45" s="172" t="s">
        <v>76</v>
      </c>
      <c r="N45" s="186"/>
    </row>
    <row r="46" spans="1:14" x14ac:dyDescent="0.2">
      <c r="A46" s="172" t="s">
        <v>83</v>
      </c>
      <c r="B46" s="172" t="s">
        <v>84</v>
      </c>
      <c r="C46" s="172" t="s">
        <v>14</v>
      </c>
      <c r="D46" s="172" t="s">
        <v>15</v>
      </c>
      <c r="E46" s="173">
        <v>43138</v>
      </c>
      <c r="F46" s="174">
        <v>32.9</v>
      </c>
      <c r="G46" s="175" t="s">
        <v>16</v>
      </c>
      <c r="H46" s="172" t="s">
        <v>17</v>
      </c>
      <c r="I46" s="175">
        <v>1</v>
      </c>
      <c r="J46" s="175" t="s">
        <v>18</v>
      </c>
      <c r="K46" s="175" t="s">
        <v>85</v>
      </c>
      <c r="L46" s="172" t="s">
        <v>86</v>
      </c>
      <c r="M46" s="172" t="s">
        <v>17</v>
      </c>
      <c r="N46" s="186"/>
    </row>
    <row r="47" spans="1:14" x14ac:dyDescent="0.2">
      <c r="A47" s="172" t="s">
        <v>83</v>
      </c>
      <c r="B47" s="172" t="s">
        <v>84</v>
      </c>
      <c r="C47" s="172" t="s">
        <v>14</v>
      </c>
      <c r="D47" s="172" t="s">
        <v>15</v>
      </c>
      <c r="E47" s="173">
        <v>43138</v>
      </c>
      <c r="F47" s="174">
        <v>83.962115999999995</v>
      </c>
      <c r="G47" s="175" t="s">
        <v>19</v>
      </c>
      <c r="H47" s="172" t="s">
        <v>17</v>
      </c>
      <c r="I47" s="175">
        <v>1</v>
      </c>
      <c r="J47" s="175" t="s">
        <v>18</v>
      </c>
      <c r="K47" s="175" t="s">
        <v>85</v>
      </c>
      <c r="L47" s="172" t="s">
        <v>86</v>
      </c>
      <c r="M47" s="172" t="s">
        <v>17</v>
      </c>
      <c r="N47" s="186"/>
    </row>
    <row r="48" spans="1:14" x14ac:dyDescent="0.2">
      <c r="A48" s="172" t="s">
        <v>83</v>
      </c>
      <c r="B48" s="172" t="s">
        <v>84</v>
      </c>
      <c r="C48" s="172" t="s">
        <v>14</v>
      </c>
      <c r="D48" s="172" t="s">
        <v>15</v>
      </c>
      <c r="E48" s="173">
        <v>43138</v>
      </c>
      <c r="F48" s="174">
        <v>14</v>
      </c>
      <c r="G48" s="175" t="s">
        <v>16</v>
      </c>
      <c r="H48" s="172" t="s">
        <v>20</v>
      </c>
      <c r="I48" s="175">
        <v>1</v>
      </c>
      <c r="J48" s="175" t="s">
        <v>18</v>
      </c>
      <c r="K48" s="175" t="s">
        <v>85</v>
      </c>
      <c r="L48" s="172" t="s">
        <v>86</v>
      </c>
      <c r="M48" s="172" t="s">
        <v>76</v>
      </c>
      <c r="N48" s="186"/>
    </row>
    <row r="49" spans="1:14" x14ac:dyDescent="0.2">
      <c r="A49" s="172" t="s">
        <v>83</v>
      </c>
      <c r="B49" s="172" t="s">
        <v>84</v>
      </c>
      <c r="C49" s="172" t="s">
        <v>14</v>
      </c>
      <c r="D49" s="172" t="s">
        <v>15</v>
      </c>
      <c r="E49" s="173">
        <v>43138</v>
      </c>
      <c r="F49" s="174">
        <v>35.728560000000002</v>
      </c>
      <c r="G49" s="175" t="s">
        <v>19</v>
      </c>
      <c r="H49" s="172" t="s">
        <v>20</v>
      </c>
      <c r="I49" s="175">
        <v>1</v>
      </c>
      <c r="J49" s="175" t="s">
        <v>18</v>
      </c>
      <c r="K49" s="175" t="s">
        <v>85</v>
      </c>
      <c r="L49" s="172" t="s">
        <v>86</v>
      </c>
      <c r="M49" s="172" t="s">
        <v>76</v>
      </c>
      <c r="N49" s="186"/>
    </row>
    <row r="50" spans="1:14" x14ac:dyDescent="0.2">
      <c r="A50" s="172" t="s">
        <v>83</v>
      </c>
      <c r="B50" s="172" t="s">
        <v>84</v>
      </c>
      <c r="C50" s="172" t="s">
        <v>14</v>
      </c>
      <c r="D50" s="172" t="s">
        <v>15</v>
      </c>
      <c r="E50" s="173">
        <v>43129</v>
      </c>
      <c r="F50" s="174">
        <v>32.700000000000003</v>
      </c>
      <c r="G50" s="175" t="s">
        <v>16</v>
      </c>
      <c r="H50" s="172" t="s">
        <v>17</v>
      </c>
      <c r="I50" s="175">
        <v>1</v>
      </c>
      <c r="J50" s="175" t="s">
        <v>18</v>
      </c>
      <c r="K50" s="175" t="s">
        <v>85</v>
      </c>
      <c r="L50" s="172" t="s">
        <v>86</v>
      </c>
      <c r="M50" s="172" t="s">
        <v>17</v>
      </c>
    </row>
    <row r="51" spans="1:14" x14ac:dyDescent="0.2">
      <c r="A51" s="172" t="s">
        <v>83</v>
      </c>
      <c r="B51" s="172" t="s">
        <v>84</v>
      </c>
      <c r="C51" s="172" t="s">
        <v>14</v>
      </c>
      <c r="D51" s="172" t="s">
        <v>15</v>
      </c>
      <c r="E51" s="173">
        <v>43129</v>
      </c>
      <c r="F51" s="174">
        <v>82.906272000000001</v>
      </c>
      <c r="G51" s="175" t="s">
        <v>19</v>
      </c>
      <c r="H51" s="172" t="s">
        <v>17</v>
      </c>
      <c r="I51" s="175">
        <v>1</v>
      </c>
      <c r="J51" s="175" t="s">
        <v>18</v>
      </c>
      <c r="K51" s="175" t="s">
        <v>85</v>
      </c>
      <c r="L51" s="172" t="s">
        <v>86</v>
      </c>
      <c r="M51" s="172" t="s">
        <v>17</v>
      </c>
    </row>
    <row r="52" spans="1:14" x14ac:dyDescent="0.2">
      <c r="A52" s="172" t="s">
        <v>83</v>
      </c>
      <c r="B52" s="172" t="s">
        <v>84</v>
      </c>
      <c r="C52" s="172" t="s">
        <v>14</v>
      </c>
      <c r="D52" s="172" t="s">
        <v>15</v>
      </c>
      <c r="E52" s="173">
        <v>43129</v>
      </c>
      <c r="F52" s="174">
        <v>7.5</v>
      </c>
      <c r="G52" s="175" t="s">
        <v>16</v>
      </c>
      <c r="H52" s="172" t="s">
        <v>20</v>
      </c>
      <c r="I52" s="175">
        <v>1</v>
      </c>
      <c r="J52" s="175" t="s">
        <v>18</v>
      </c>
      <c r="K52" s="175" t="s">
        <v>85</v>
      </c>
      <c r="L52" s="172" t="s">
        <v>86</v>
      </c>
      <c r="M52" s="172" t="s">
        <v>76</v>
      </c>
    </row>
    <row r="53" spans="1:14" x14ac:dyDescent="0.2">
      <c r="A53" s="172" t="s">
        <v>83</v>
      </c>
      <c r="B53" s="172" t="s">
        <v>84</v>
      </c>
      <c r="C53" s="172" t="s">
        <v>14</v>
      </c>
      <c r="D53" s="172" t="s">
        <v>15</v>
      </c>
      <c r="E53" s="173">
        <v>43129</v>
      </c>
      <c r="F53" s="174">
        <v>19.0152</v>
      </c>
      <c r="G53" s="175" t="s">
        <v>19</v>
      </c>
      <c r="H53" s="172" t="s">
        <v>20</v>
      </c>
      <c r="I53" s="175">
        <v>1</v>
      </c>
      <c r="J53" s="175" t="s">
        <v>18</v>
      </c>
      <c r="K53" s="175" t="s">
        <v>85</v>
      </c>
      <c r="L53" s="172" t="s">
        <v>86</v>
      </c>
      <c r="M53" s="172" t="s">
        <v>76</v>
      </c>
    </row>
    <row r="54" spans="1:14" x14ac:dyDescent="0.2">
      <c r="A54" s="172" t="s">
        <v>83</v>
      </c>
      <c r="B54" s="172" t="s">
        <v>84</v>
      </c>
      <c r="C54" s="172" t="s">
        <v>14</v>
      </c>
      <c r="D54" s="172" t="s">
        <v>15</v>
      </c>
      <c r="E54" s="173">
        <v>43124</v>
      </c>
      <c r="F54" s="174">
        <v>26.5</v>
      </c>
      <c r="G54" s="175" t="s">
        <v>16</v>
      </c>
      <c r="H54" s="172" t="s">
        <v>17</v>
      </c>
      <c r="I54" s="175">
        <v>1</v>
      </c>
      <c r="J54" s="175" t="s">
        <v>18</v>
      </c>
      <c r="K54" s="175" t="s">
        <v>85</v>
      </c>
      <c r="L54" s="172" t="s">
        <v>86</v>
      </c>
      <c r="M54" s="172" t="s">
        <v>17</v>
      </c>
    </row>
    <row r="55" spans="1:14" x14ac:dyDescent="0.2">
      <c r="A55" s="172" t="s">
        <v>83</v>
      </c>
      <c r="B55" s="172" t="s">
        <v>84</v>
      </c>
      <c r="C55" s="172" t="s">
        <v>14</v>
      </c>
      <c r="D55" s="172" t="s">
        <v>15</v>
      </c>
      <c r="E55" s="173">
        <v>43124</v>
      </c>
      <c r="F55" s="174">
        <v>85.972890000000007</v>
      </c>
      <c r="G55" s="175" t="s">
        <v>19</v>
      </c>
      <c r="H55" s="172" t="s">
        <v>17</v>
      </c>
      <c r="I55" s="175">
        <v>1</v>
      </c>
      <c r="J55" s="175" t="s">
        <v>18</v>
      </c>
      <c r="K55" s="175" t="s">
        <v>85</v>
      </c>
      <c r="L55" s="172" t="s">
        <v>86</v>
      </c>
      <c r="M55" s="172" t="s">
        <v>17</v>
      </c>
    </row>
    <row r="56" spans="1:14" x14ac:dyDescent="0.2">
      <c r="A56" s="172" t="s">
        <v>83</v>
      </c>
      <c r="B56" s="172" t="s">
        <v>84</v>
      </c>
      <c r="C56" s="172" t="s">
        <v>14</v>
      </c>
      <c r="D56" s="172" t="s">
        <v>15</v>
      </c>
      <c r="E56" s="173">
        <v>43124</v>
      </c>
      <c r="F56" s="174">
        <v>9.81</v>
      </c>
      <c r="G56" s="175" t="s">
        <v>16</v>
      </c>
      <c r="H56" s="172" t="s">
        <v>20</v>
      </c>
      <c r="I56" s="175">
        <v>1</v>
      </c>
      <c r="J56" s="175" t="s">
        <v>18</v>
      </c>
      <c r="K56" s="175" t="s">
        <v>85</v>
      </c>
      <c r="L56" s="172" t="s">
        <v>86</v>
      </c>
      <c r="M56" s="172" t="s">
        <v>76</v>
      </c>
    </row>
    <row r="57" spans="1:14" x14ac:dyDescent="0.2">
      <c r="A57" s="172" t="s">
        <v>83</v>
      </c>
      <c r="B57" s="172" t="s">
        <v>84</v>
      </c>
      <c r="C57" s="172" t="s">
        <v>14</v>
      </c>
      <c r="D57" s="172" t="s">
        <v>15</v>
      </c>
      <c r="E57" s="173">
        <v>43124</v>
      </c>
      <c r="F57" s="174">
        <v>31.8261906</v>
      </c>
      <c r="G57" s="175" t="s">
        <v>19</v>
      </c>
      <c r="H57" s="172" t="s">
        <v>20</v>
      </c>
      <c r="I57" s="175">
        <v>1</v>
      </c>
      <c r="J57" s="175" t="s">
        <v>18</v>
      </c>
      <c r="K57" s="175" t="s">
        <v>85</v>
      </c>
      <c r="L57" s="172" t="s">
        <v>86</v>
      </c>
      <c r="M57" s="172" t="s">
        <v>76</v>
      </c>
    </row>
    <row r="58" spans="1:14" x14ac:dyDescent="0.2">
      <c r="A58" s="172" t="s">
        <v>83</v>
      </c>
      <c r="B58" s="172" t="s">
        <v>84</v>
      </c>
      <c r="C58" s="172" t="s">
        <v>14</v>
      </c>
      <c r="D58" s="172" t="s">
        <v>15</v>
      </c>
      <c r="E58" s="173">
        <v>43117</v>
      </c>
      <c r="F58" s="174">
        <v>36.1</v>
      </c>
      <c r="G58" s="175" t="s">
        <v>16</v>
      </c>
      <c r="H58" s="172" t="s">
        <v>17</v>
      </c>
      <c r="I58" s="175">
        <v>1</v>
      </c>
      <c r="J58" s="175" t="s">
        <v>18</v>
      </c>
      <c r="K58" s="175" t="s">
        <v>85</v>
      </c>
      <c r="L58" s="172" t="s">
        <v>86</v>
      </c>
      <c r="M58" s="172" t="s">
        <v>17</v>
      </c>
    </row>
    <row r="59" spans="1:14" x14ac:dyDescent="0.2">
      <c r="A59" s="172" t="s">
        <v>83</v>
      </c>
      <c r="B59" s="172" t="s">
        <v>84</v>
      </c>
      <c r="C59" s="172" t="s">
        <v>14</v>
      </c>
      <c r="D59" s="172" t="s">
        <v>15</v>
      </c>
      <c r="E59" s="173">
        <v>43117</v>
      </c>
      <c r="F59" s="174">
        <v>87.612533999999997</v>
      </c>
      <c r="G59" s="175" t="s">
        <v>19</v>
      </c>
      <c r="H59" s="172" t="s">
        <v>17</v>
      </c>
      <c r="I59" s="175">
        <v>1</v>
      </c>
      <c r="J59" s="175" t="s">
        <v>18</v>
      </c>
      <c r="K59" s="175" t="s">
        <v>85</v>
      </c>
      <c r="L59" s="172" t="s">
        <v>86</v>
      </c>
      <c r="M59" s="172" t="s">
        <v>17</v>
      </c>
    </row>
    <row r="60" spans="1:14" x14ac:dyDescent="0.2">
      <c r="A60" s="172" t="s">
        <v>83</v>
      </c>
      <c r="B60" s="172" t="s">
        <v>84</v>
      </c>
      <c r="C60" s="172" t="s">
        <v>14</v>
      </c>
      <c r="D60" s="172" t="s">
        <v>15</v>
      </c>
      <c r="E60" s="173">
        <v>43117</v>
      </c>
      <c r="F60" s="174">
        <v>14.3</v>
      </c>
      <c r="G60" s="175" t="s">
        <v>16</v>
      </c>
      <c r="H60" s="172" t="s">
        <v>20</v>
      </c>
      <c r="I60" s="175">
        <v>1</v>
      </c>
      <c r="J60" s="175" t="s">
        <v>18</v>
      </c>
      <c r="K60" s="175" t="s">
        <v>85</v>
      </c>
      <c r="L60" s="172" t="s">
        <v>86</v>
      </c>
      <c r="M60" s="172" t="s">
        <v>76</v>
      </c>
    </row>
    <row r="61" spans="1:14" x14ac:dyDescent="0.2">
      <c r="A61" s="172" t="s">
        <v>83</v>
      </c>
      <c r="B61" s="172" t="s">
        <v>84</v>
      </c>
      <c r="C61" s="172" t="s">
        <v>14</v>
      </c>
      <c r="D61" s="172" t="s">
        <v>15</v>
      </c>
      <c r="E61" s="173">
        <v>43117</v>
      </c>
      <c r="F61" s="174">
        <v>34.705241999999998</v>
      </c>
      <c r="G61" s="175" t="s">
        <v>19</v>
      </c>
      <c r="H61" s="172" t="s">
        <v>20</v>
      </c>
      <c r="I61" s="175">
        <v>1</v>
      </c>
      <c r="J61" s="175" t="s">
        <v>18</v>
      </c>
      <c r="K61" s="175" t="s">
        <v>85</v>
      </c>
      <c r="L61" s="172" t="s">
        <v>86</v>
      </c>
      <c r="M61" s="172" t="s">
        <v>76</v>
      </c>
    </row>
    <row r="62" spans="1:14" x14ac:dyDescent="0.2">
      <c r="A62" s="172" t="s">
        <v>83</v>
      </c>
      <c r="B62" s="172" t="s">
        <v>84</v>
      </c>
      <c r="C62" s="172" t="s">
        <v>14</v>
      </c>
      <c r="D62" s="172" t="s">
        <v>15</v>
      </c>
      <c r="E62" s="173">
        <v>43110</v>
      </c>
      <c r="F62" s="174">
        <v>35.799999999999997</v>
      </c>
      <c r="G62" s="175" t="s">
        <v>16</v>
      </c>
      <c r="H62" s="172" t="s">
        <v>17</v>
      </c>
      <c r="I62" s="175">
        <v>1</v>
      </c>
      <c r="J62" s="175" t="s">
        <v>18</v>
      </c>
      <c r="K62" s="175" t="s">
        <v>85</v>
      </c>
      <c r="L62" s="172" t="s">
        <v>86</v>
      </c>
      <c r="M62" s="172" t="s">
        <v>17</v>
      </c>
    </row>
    <row r="63" spans="1:14" x14ac:dyDescent="0.2">
      <c r="A63" s="172" t="s">
        <v>83</v>
      </c>
      <c r="B63" s="172" t="s">
        <v>84</v>
      </c>
      <c r="C63" s="172" t="s">
        <v>14</v>
      </c>
      <c r="D63" s="172" t="s">
        <v>15</v>
      </c>
      <c r="E63" s="173">
        <v>43110</v>
      </c>
      <c r="F63" s="174">
        <v>88.974456000000004</v>
      </c>
      <c r="G63" s="175" t="s">
        <v>19</v>
      </c>
      <c r="H63" s="172" t="s">
        <v>17</v>
      </c>
      <c r="I63" s="175">
        <v>1</v>
      </c>
      <c r="J63" s="175" t="s">
        <v>18</v>
      </c>
      <c r="K63" s="175" t="s">
        <v>85</v>
      </c>
      <c r="L63" s="172" t="s">
        <v>86</v>
      </c>
      <c r="M63" s="172" t="s">
        <v>17</v>
      </c>
    </row>
    <row r="64" spans="1:14" x14ac:dyDescent="0.2">
      <c r="A64" s="172" t="s">
        <v>83</v>
      </c>
      <c r="B64" s="172" t="s">
        <v>84</v>
      </c>
      <c r="C64" s="172" t="s">
        <v>14</v>
      </c>
      <c r="D64" s="172" t="s">
        <v>15</v>
      </c>
      <c r="E64" s="173">
        <v>43110</v>
      </c>
      <c r="F64" s="174">
        <v>15.2</v>
      </c>
      <c r="G64" s="175" t="s">
        <v>16</v>
      </c>
      <c r="H64" s="172" t="s">
        <v>20</v>
      </c>
      <c r="I64" s="175">
        <v>1</v>
      </c>
      <c r="J64" s="175" t="s">
        <v>18</v>
      </c>
      <c r="K64" s="175" t="s">
        <v>85</v>
      </c>
      <c r="L64" s="172" t="s">
        <v>86</v>
      </c>
      <c r="M64" s="172" t="s">
        <v>76</v>
      </c>
    </row>
    <row r="65" spans="1:13" x14ac:dyDescent="0.2">
      <c r="A65" s="172" t="s">
        <v>83</v>
      </c>
      <c r="B65" s="172" t="s">
        <v>84</v>
      </c>
      <c r="C65" s="172" t="s">
        <v>14</v>
      </c>
      <c r="D65" s="172" t="s">
        <v>15</v>
      </c>
      <c r="E65" s="173">
        <v>43110</v>
      </c>
      <c r="F65" s="174">
        <v>37.776864000000003</v>
      </c>
      <c r="G65" s="175" t="s">
        <v>19</v>
      </c>
      <c r="H65" s="172" t="s">
        <v>20</v>
      </c>
      <c r="I65" s="175">
        <v>1</v>
      </c>
      <c r="J65" s="175" t="s">
        <v>18</v>
      </c>
      <c r="K65" s="175" t="s">
        <v>85</v>
      </c>
      <c r="L65" s="172" t="s">
        <v>86</v>
      </c>
      <c r="M65" s="172" t="s">
        <v>76</v>
      </c>
    </row>
    <row r="66" spans="1:13" x14ac:dyDescent="0.2">
      <c r="A66" s="172" t="s">
        <v>83</v>
      </c>
      <c r="B66" s="172" t="s">
        <v>84</v>
      </c>
      <c r="C66" s="172" t="s">
        <v>14</v>
      </c>
      <c r="D66" s="172" t="s">
        <v>15</v>
      </c>
      <c r="E66" s="173">
        <v>43104</v>
      </c>
      <c r="F66" s="174">
        <v>37.700000000000003</v>
      </c>
      <c r="G66" s="175" t="s">
        <v>16</v>
      </c>
      <c r="H66" s="172" t="s">
        <v>17</v>
      </c>
      <c r="I66" s="175">
        <v>1</v>
      </c>
      <c r="J66" s="175" t="s">
        <v>18</v>
      </c>
      <c r="K66" s="175" t="s">
        <v>85</v>
      </c>
      <c r="L66" s="172" t="s">
        <v>86</v>
      </c>
      <c r="M66" s="172" t="s">
        <v>17</v>
      </c>
    </row>
    <row r="67" spans="1:13" x14ac:dyDescent="0.2">
      <c r="A67" s="172" t="s">
        <v>83</v>
      </c>
      <c r="B67" s="172" t="s">
        <v>84</v>
      </c>
      <c r="C67" s="172" t="s">
        <v>14</v>
      </c>
      <c r="D67" s="172" t="s">
        <v>15</v>
      </c>
      <c r="E67" s="173">
        <v>43104</v>
      </c>
      <c r="F67" s="174">
        <v>83.949606000000003</v>
      </c>
      <c r="G67" s="175" t="s">
        <v>19</v>
      </c>
      <c r="H67" s="172" t="s">
        <v>17</v>
      </c>
      <c r="I67" s="175">
        <v>1</v>
      </c>
      <c r="J67" s="175" t="s">
        <v>18</v>
      </c>
      <c r="K67" s="175" t="s">
        <v>85</v>
      </c>
      <c r="L67" s="172" t="s">
        <v>86</v>
      </c>
      <c r="M67" s="172" t="s">
        <v>17</v>
      </c>
    </row>
    <row r="68" spans="1:13" x14ac:dyDescent="0.2">
      <c r="A68" s="172" t="s">
        <v>83</v>
      </c>
      <c r="B68" s="172" t="s">
        <v>84</v>
      </c>
      <c r="C68" s="172" t="s">
        <v>14</v>
      </c>
      <c r="D68" s="172" t="s">
        <v>15</v>
      </c>
      <c r="E68" s="173">
        <v>43104</v>
      </c>
      <c r="F68" s="174">
        <v>16.100000000000001</v>
      </c>
      <c r="G68" s="175" t="s">
        <v>16</v>
      </c>
      <c r="H68" s="172" t="s">
        <v>20</v>
      </c>
      <c r="I68" s="175">
        <v>1</v>
      </c>
      <c r="J68" s="175" t="s">
        <v>18</v>
      </c>
      <c r="K68" s="175" t="s">
        <v>85</v>
      </c>
      <c r="L68" s="172" t="s">
        <v>86</v>
      </c>
      <c r="M68" s="172" t="s">
        <v>76</v>
      </c>
    </row>
    <row r="69" spans="1:13" x14ac:dyDescent="0.2">
      <c r="A69" s="172" t="s">
        <v>83</v>
      </c>
      <c r="B69" s="172" t="s">
        <v>84</v>
      </c>
      <c r="C69" s="172" t="s">
        <v>14</v>
      </c>
      <c r="D69" s="172" t="s">
        <v>15</v>
      </c>
      <c r="E69" s="173">
        <v>43104</v>
      </c>
      <c r="F69" s="174">
        <v>35.851157999999998</v>
      </c>
      <c r="G69" s="175" t="s">
        <v>19</v>
      </c>
      <c r="H69" s="172" t="s">
        <v>20</v>
      </c>
      <c r="I69" s="175">
        <v>1</v>
      </c>
      <c r="J69" s="175" t="s">
        <v>18</v>
      </c>
      <c r="K69" s="175" t="s">
        <v>85</v>
      </c>
      <c r="L69" s="172" t="s">
        <v>86</v>
      </c>
      <c r="M69" s="172" t="s">
        <v>76</v>
      </c>
    </row>
    <row r="70" spans="1:13" x14ac:dyDescent="0.2">
      <c r="A70" s="172" t="s">
        <v>83</v>
      </c>
      <c r="B70" s="172" t="s">
        <v>84</v>
      </c>
      <c r="C70" s="172" t="s">
        <v>14</v>
      </c>
      <c r="D70" s="172" t="s">
        <v>15</v>
      </c>
      <c r="E70" s="173">
        <v>43097</v>
      </c>
      <c r="F70" s="174">
        <v>36</v>
      </c>
      <c r="G70" s="175" t="s">
        <v>16</v>
      </c>
      <c r="H70" s="172" t="s">
        <v>17</v>
      </c>
      <c r="I70" s="175">
        <v>1</v>
      </c>
      <c r="J70" s="175" t="s">
        <v>18</v>
      </c>
      <c r="K70" s="175" t="s">
        <v>85</v>
      </c>
      <c r="L70" s="172" t="s">
        <v>86</v>
      </c>
      <c r="M70" s="172" t="s">
        <v>17</v>
      </c>
    </row>
    <row r="71" spans="1:13" x14ac:dyDescent="0.2">
      <c r="A71" s="172" t="s">
        <v>83</v>
      </c>
      <c r="B71" s="172" t="s">
        <v>84</v>
      </c>
      <c r="C71" s="172" t="s">
        <v>14</v>
      </c>
      <c r="D71" s="172" t="s">
        <v>15</v>
      </c>
      <c r="E71" s="173">
        <v>43097</v>
      </c>
      <c r="F71" s="174">
        <v>79.263360000000006</v>
      </c>
      <c r="G71" s="175" t="s">
        <v>19</v>
      </c>
      <c r="H71" s="172" t="s">
        <v>17</v>
      </c>
      <c r="I71" s="175">
        <v>1</v>
      </c>
      <c r="J71" s="175" t="s">
        <v>18</v>
      </c>
      <c r="K71" s="175" t="s">
        <v>85</v>
      </c>
      <c r="L71" s="172" t="s">
        <v>86</v>
      </c>
      <c r="M71" s="172" t="s">
        <v>17</v>
      </c>
    </row>
    <row r="72" spans="1:13" x14ac:dyDescent="0.2">
      <c r="A72" s="172" t="s">
        <v>83</v>
      </c>
      <c r="B72" s="172" t="s">
        <v>84</v>
      </c>
      <c r="C72" s="172" t="s">
        <v>14</v>
      </c>
      <c r="D72" s="172" t="s">
        <v>15</v>
      </c>
      <c r="E72" s="173">
        <v>43097</v>
      </c>
      <c r="F72" s="174">
        <v>14</v>
      </c>
      <c r="G72" s="175" t="s">
        <v>16</v>
      </c>
      <c r="H72" s="172" t="s">
        <v>20</v>
      </c>
      <c r="I72" s="175">
        <v>1</v>
      </c>
      <c r="J72" s="175" t="s">
        <v>18</v>
      </c>
      <c r="K72" s="175" t="s">
        <v>85</v>
      </c>
      <c r="L72" s="172" t="s">
        <v>86</v>
      </c>
      <c r="M72" s="172" t="s">
        <v>76</v>
      </c>
    </row>
    <row r="73" spans="1:13" x14ac:dyDescent="0.2">
      <c r="A73" s="172" t="s">
        <v>83</v>
      </c>
      <c r="B73" s="172" t="s">
        <v>84</v>
      </c>
      <c r="C73" s="172" t="s">
        <v>14</v>
      </c>
      <c r="D73" s="172" t="s">
        <v>15</v>
      </c>
      <c r="E73" s="173">
        <v>43097</v>
      </c>
      <c r="F73" s="174">
        <v>30.824639999999999</v>
      </c>
      <c r="G73" s="175" t="s">
        <v>19</v>
      </c>
      <c r="H73" s="172" t="s">
        <v>20</v>
      </c>
      <c r="I73" s="175">
        <v>1</v>
      </c>
      <c r="J73" s="175" t="s">
        <v>18</v>
      </c>
      <c r="K73" s="175" t="s">
        <v>85</v>
      </c>
      <c r="L73" s="172" t="s">
        <v>86</v>
      </c>
      <c r="M73" s="172" t="s">
        <v>76</v>
      </c>
    </row>
    <row r="74" spans="1:13" x14ac:dyDescent="0.2">
      <c r="A74" s="172" t="s">
        <v>83</v>
      </c>
      <c r="B74" s="172" t="s">
        <v>84</v>
      </c>
      <c r="C74" s="172" t="s">
        <v>14</v>
      </c>
      <c r="D74" s="172" t="s">
        <v>15</v>
      </c>
      <c r="E74" s="173">
        <v>43089</v>
      </c>
      <c r="F74" s="174">
        <v>35.5</v>
      </c>
      <c r="G74" s="175" t="s">
        <v>16</v>
      </c>
      <c r="H74" s="172" t="s">
        <v>17</v>
      </c>
      <c r="I74" s="175">
        <v>1</v>
      </c>
      <c r="J74" s="175" t="s">
        <v>18</v>
      </c>
      <c r="K74" s="175" t="s">
        <v>85</v>
      </c>
      <c r="L74" s="172" t="s">
        <v>86</v>
      </c>
      <c r="M74" s="172" t="s">
        <v>17</v>
      </c>
    </row>
    <row r="75" spans="1:13" x14ac:dyDescent="0.2">
      <c r="A75" s="172" t="s">
        <v>83</v>
      </c>
      <c r="B75" s="172" t="s">
        <v>84</v>
      </c>
      <c r="C75" s="172" t="s">
        <v>14</v>
      </c>
      <c r="D75" s="172" t="s">
        <v>15</v>
      </c>
      <c r="E75" s="173">
        <v>43089</v>
      </c>
      <c r="F75" s="174">
        <v>90.301349999999999</v>
      </c>
      <c r="G75" s="175" t="s">
        <v>19</v>
      </c>
      <c r="H75" s="172" t="s">
        <v>17</v>
      </c>
      <c r="I75" s="175">
        <v>1</v>
      </c>
      <c r="J75" s="175" t="s">
        <v>18</v>
      </c>
      <c r="K75" s="175" t="s">
        <v>85</v>
      </c>
      <c r="L75" s="172" t="s">
        <v>86</v>
      </c>
      <c r="M75" s="172" t="s">
        <v>17</v>
      </c>
    </row>
    <row r="76" spans="1:13" x14ac:dyDescent="0.2">
      <c r="A76" s="172" t="s">
        <v>83</v>
      </c>
      <c r="B76" s="172" t="s">
        <v>84</v>
      </c>
      <c r="C76" s="172" t="s">
        <v>14</v>
      </c>
      <c r="D76" s="172" t="s">
        <v>15</v>
      </c>
      <c r="E76" s="173">
        <v>43089</v>
      </c>
      <c r="F76" s="174">
        <v>15.2</v>
      </c>
      <c r="G76" s="175" t="s">
        <v>16</v>
      </c>
      <c r="H76" s="172" t="s">
        <v>20</v>
      </c>
      <c r="I76" s="175">
        <v>1</v>
      </c>
      <c r="J76" s="175" t="s">
        <v>18</v>
      </c>
      <c r="K76" s="175" t="s">
        <v>85</v>
      </c>
      <c r="L76" s="172" t="s">
        <v>86</v>
      </c>
      <c r="M76" s="172" t="s">
        <v>76</v>
      </c>
    </row>
    <row r="77" spans="1:13" x14ac:dyDescent="0.2">
      <c r="A77" s="172" t="s">
        <v>83</v>
      </c>
      <c r="B77" s="172" t="s">
        <v>84</v>
      </c>
      <c r="C77" s="172" t="s">
        <v>14</v>
      </c>
      <c r="D77" s="172" t="s">
        <v>15</v>
      </c>
      <c r="E77" s="173">
        <v>43089</v>
      </c>
      <c r="F77" s="174">
        <v>38.664239999999999</v>
      </c>
      <c r="G77" s="175" t="s">
        <v>19</v>
      </c>
      <c r="H77" s="172" t="s">
        <v>20</v>
      </c>
      <c r="I77" s="175">
        <v>1</v>
      </c>
      <c r="J77" s="175" t="s">
        <v>18</v>
      </c>
      <c r="K77" s="175" t="s">
        <v>85</v>
      </c>
      <c r="L77" s="172" t="s">
        <v>86</v>
      </c>
      <c r="M77" s="172" t="s">
        <v>76</v>
      </c>
    </row>
    <row r="78" spans="1:13" x14ac:dyDescent="0.2">
      <c r="A78" s="172" t="s">
        <v>83</v>
      </c>
      <c r="B78" s="172" t="s">
        <v>84</v>
      </c>
      <c r="C78" s="172" t="s">
        <v>14</v>
      </c>
      <c r="D78" s="172" t="s">
        <v>15</v>
      </c>
      <c r="E78" s="173">
        <v>43082</v>
      </c>
      <c r="F78" s="174">
        <v>32.700000000000003</v>
      </c>
      <c r="G78" s="175" t="s">
        <v>16</v>
      </c>
      <c r="H78" s="172" t="s">
        <v>17</v>
      </c>
      <c r="I78" s="175">
        <v>1</v>
      </c>
      <c r="J78" s="175" t="s">
        <v>18</v>
      </c>
      <c r="K78" s="175" t="s">
        <v>85</v>
      </c>
      <c r="L78" s="172" t="s">
        <v>86</v>
      </c>
      <c r="M78" s="172" t="s">
        <v>17</v>
      </c>
    </row>
    <row r="79" spans="1:13" x14ac:dyDescent="0.2">
      <c r="A79" s="172" t="s">
        <v>83</v>
      </c>
      <c r="B79" s="172" t="s">
        <v>84</v>
      </c>
      <c r="C79" s="172" t="s">
        <v>14</v>
      </c>
      <c r="D79" s="172" t="s">
        <v>15</v>
      </c>
      <c r="E79" s="173">
        <v>43082</v>
      </c>
      <c r="F79" s="174">
        <v>82.633554000000004</v>
      </c>
      <c r="G79" s="175" t="s">
        <v>19</v>
      </c>
      <c r="H79" s="172" t="s">
        <v>17</v>
      </c>
      <c r="I79" s="175">
        <v>1</v>
      </c>
      <c r="J79" s="175" t="s">
        <v>18</v>
      </c>
      <c r="K79" s="175" t="s">
        <v>85</v>
      </c>
      <c r="L79" s="172" t="s">
        <v>86</v>
      </c>
      <c r="M79" s="172" t="s">
        <v>17</v>
      </c>
    </row>
    <row r="80" spans="1:13" x14ac:dyDescent="0.2">
      <c r="A80" s="172" t="s">
        <v>83</v>
      </c>
      <c r="B80" s="172" t="s">
        <v>84</v>
      </c>
      <c r="C80" s="172" t="s">
        <v>14</v>
      </c>
      <c r="D80" s="172" t="s">
        <v>15</v>
      </c>
      <c r="E80" s="173">
        <v>43082</v>
      </c>
      <c r="F80" s="174">
        <v>15.8</v>
      </c>
      <c r="G80" s="175" t="s">
        <v>16</v>
      </c>
      <c r="H80" s="172" t="s">
        <v>20</v>
      </c>
      <c r="I80" s="175">
        <v>1</v>
      </c>
      <c r="J80" s="175" t="s">
        <v>18</v>
      </c>
      <c r="K80" s="175" t="s">
        <v>85</v>
      </c>
      <c r="L80" s="172" t="s">
        <v>86</v>
      </c>
      <c r="M80" s="172" t="s">
        <v>76</v>
      </c>
    </row>
    <row r="81" spans="1:13" x14ac:dyDescent="0.2">
      <c r="A81" s="172" t="s">
        <v>83</v>
      </c>
      <c r="B81" s="172" t="s">
        <v>84</v>
      </c>
      <c r="C81" s="172" t="s">
        <v>14</v>
      </c>
      <c r="D81" s="172" t="s">
        <v>15</v>
      </c>
      <c r="E81" s="173">
        <v>43082</v>
      </c>
      <c r="F81" s="174">
        <v>39.926915999999999</v>
      </c>
      <c r="G81" s="175" t="s">
        <v>19</v>
      </c>
      <c r="H81" s="172" t="s">
        <v>20</v>
      </c>
      <c r="I81" s="175">
        <v>1</v>
      </c>
      <c r="J81" s="175" t="s">
        <v>18</v>
      </c>
      <c r="K81" s="175" t="s">
        <v>85</v>
      </c>
      <c r="L81" s="172" t="s">
        <v>86</v>
      </c>
      <c r="M81" s="172" t="s">
        <v>76</v>
      </c>
    </row>
    <row r="82" spans="1:13" x14ac:dyDescent="0.2">
      <c r="A82" s="172" t="s">
        <v>83</v>
      </c>
      <c r="B82" s="172" t="s">
        <v>84</v>
      </c>
      <c r="C82" s="172" t="s">
        <v>14</v>
      </c>
      <c r="D82" s="172" t="s">
        <v>15</v>
      </c>
      <c r="E82" s="173">
        <v>43075</v>
      </c>
      <c r="F82" s="174">
        <v>33.200000000000003</v>
      </c>
      <c r="G82" s="175" t="s">
        <v>16</v>
      </c>
      <c r="H82" s="172" t="s">
        <v>17</v>
      </c>
      <c r="I82" s="175">
        <v>1</v>
      </c>
      <c r="J82" s="175" t="s">
        <v>18</v>
      </c>
      <c r="K82" s="175" t="s">
        <v>85</v>
      </c>
      <c r="L82" s="172" t="s">
        <v>86</v>
      </c>
      <c r="M82" s="172" t="s">
        <v>17</v>
      </c>
    </row>
    <row r="83" spans="1:13" x14ac:dyDescent="0.2">
      <c r="A83" s="172" t="s">
        <v>83</v>
      </c>
      <c r="B83" s="172" t="s">
        <v>84</v>
      </c>
      <c r="C83" s="172" t="s">
        <v>14</v>
      </c>
      <c r="D83" s="172" t="s">
        <v>15</v>
      </c>
      <c r="E83" s="173">
        <v>43075</v>
      </c>
      <c r="F83" s="174">
        <v>84.727727999999999</v>
      </c>
      <c r="G83" s="175" t="s">
        <v>19</v>
      </c>
      <c r="H83" s="172" t="s">
        <v>17</v>
      </c>
      <c r="I83" s="175">
        <v>1</v>
      </c>
      <c r="J83" s="175" t="s">
        <v>18</v>
      </c>
      <c r="K83" s="175" t="s">
        <v>85</v>
      </c>
      <c r="L83" s="172" t="s">
        <v>86</v>
      </c>
      <c r="M83" s="172" t="s">
        <v>17</v>
      </c>
    </row>
    <row r="84" spans="1:13" x14ac:dyDescent="0.2">
      <c r="A84" s="172" t="s">
        <v>83</v>
      </c>
      <c r="B84" s="172" t="s">
        <v>84</v>
      </c>
      <c r="C84" s="172" t="s">
        <v>14</v>
      </c>
      <c r="D84" s="172" t="s">
        <v>15</v>
      </c>
      <c r="E84" s="173">
        <v>43075</v>
      </c>
      <c r="F84" s="174">
        <v>14.6</v>
      </c>
      <c r="G84" s="175" t="s">
        <v>16</v>
      </c>
      <c r="H84" s="172" t="s">
        <v>20</v>
      </c>
      <c r="I84" s="175">
        <v>1</v>
      </c>
      <c r="J84" s="175" t="s">
        <v>18</v>
      </c>
      <c r="K84" s="175" t="s">
        <v>85</v>
      </c>
      <c r="L84" s="172" t="s">
        <v>86</v>
      </c>
      <c r="M84" s="172" t="s">
        <v>76</v>
      </c>
    </row>
    <row r="85" spans="1:13" x14ac:dyDescent="0.2">
      <c r="A85" s="172" t="s">
        <v>83</v>
      </c>
      <c r="B85" s="172" t="s">
        <v>84</v>
      </c>
      <c r="C85" s="172" t="s">
        <v>14</v>
      </c>
      <c r="D85" s="172" t="s">
        <v>15</v>
      </c>
      <c r="E85" s="173">
        <v>43075</v>
      </c>
      <c r="F85" s="174">
        <v>37.259784000000003</v>
      </c>
      <c r="G85" s="175" t="s">
        <v>19</v>
      </c>
      <c r="H85" s="172" t="s">
        <v>20</v>
      </c>
      <c r="I85" s="175">
        <v>1</v>
      </c>
      <c r="J85" s="175" t="s">
        <v>18</v>
      </c>
      <c r="K85" s="175" t="s">
        <v>85</v>
      </c>
      <c r="L85" s="172" t="s">
        <v>86</v>
      </c>
      <c r="M85" s="172" t="s">
        <v>76</v>
      </c>
    </row>
    <row r="86" spans="1:13" x14ac:dyDescent="0.2">
      <c r="A86" s="172" t="s">
        <v>83</v>
      </c>
      <c r="B86" s="172" t="s">
        <v>84</v>
      </c>
      <c r="C86" s="172" t="s">
        <v>14</v>
      </c>
      <c r="D86" s="172" t="s">
        <v>15</v>
      </c>
      <c r="E86" s="173">
        <v>43068</v>
      </c>
      <c r="F86" s="174">
        <v>31.8</v>
      </c>
      <c r="G86" s="175" t="s">
        <v>16</v>
      </c>
      <c r="H86" s="172" t="s">
        <v>17</v>
      </c>
      <c r="I86" s="175">
        <v>1</v>
      </c>
      <c r="J86" s="175" t="s">
        <v>18</v>
      </c>
      <c r="K86" s="175" t="s">
        <v>85</v>
      </c>
      <c r="L86" s="172" t="s">
        <v>86</v>
      </c>
      <c r="M86" s="172" t="s">
        <v>17</v>
      </c>
    </row>
    <row r="87" spans="1:13" x14ac:dyDescent="0.2">
      <c r="A87" s="172" t="s">
        <v>83</v>
      </c>
      <c r="B87" s="172" t="s">
        <v>84</v>
      </c>
      <c r="C87" s="172" t="s">
        <v>14</v>
      </c>
      <c r="D87" s="172" t="s">
        <v>15</v>
      </c>
      <c r="E87" s="173">
        <v>43068</v>
      </c>
      <c r="F87" s="174">
        <v>71.342027999999999</v>
      </c>
      <c r="G87" s="175" t="s">
        <v>19</v>
      </c>
      <c r="H87" s="172" t="s">
        <v>17</v>
      </c>
      <c r="I87" s="175">
        <v>1</v>
      </c>
      <c r="J87" s="175" t="s">
        <v>18</v>
      </c>
      <c r="K87" s="175" t="s">
        <v>85</v>
      </c>
      <c r="L87" s="172" t="s">
        <v>86</v>
      </c>
      <c r="M87" s="172" t="s">
        <v>17</v>
      </c>
    </row>
    <row r="88" spans="1:13" x14ac:dyDescent="0.2">
      <c r="A88" s="172" t="s">
        <v>83</v>
      </c>
      <c r="B88" s="172" t="s">
        <v>84</v>
      </c>
      <c r="C88" s="172" t="s">
        <v>14</v>
      </c>
      <c r="D88" s="172" t="s">
        <v>15</v>
      </c>
      <c r="E88" s="173">
        <v>43068</v>
      </c>
      <c r="F88" s="174">
        <v>11.1</v>
      </c>
      <c r="G88" s="175" t="s">
        <v>16</v>
      </c>
      <c r="H88" s="172" t="s">
        <v>20</v>
      </c>
      <c r="I88" s="175">
        <v>1</v>
      </c>
      <c r="J88" s="175" t="s">
        <v>18</v>
      </c>
      <c r="K88" s="175" t="s">
        <v>85</v>
      </c>
      <c r="L88" s="172" t="s">
        <v>86</v>
      </c>
      <c r="M88" s="172" t="s">
        <v>76</v>
      </c>
    </row>
    <row r="89" spans="1:13" x14ac:dyDescent="0.2">
      <c r="A89" s="172" t="s">
        <v>83</v>
      </c>
      <c r="B89" s="172" t="s">
        <v>84</v>
      </c>
      <c r="C89" s="172" t="s">
        <v>14</v>
      </c>
      <c r="D89" s="172" t="s">
        <v>15</v>
      </c>
      <c r="E89" s="173">
        <v>43068</v>
      </c>
      <c r="F89" s="174">
        <v>24.902405999999999</v>
      </c>
      <c r="G89" s="175" t="s">
        <v>19</v>
      </c>
      <c r="H89" s="172" t="s">
        <v>20</v>
      </c>
      <c r="I89" s="175">
        <v>1</v>
      </c>
      <c r="J89" s="175" t="s">
        <v>18</v>
      </c>
      <c r="K89" s="175" t="s">
        <v>85</v>
      </c>
      <c r="L89" s="172" t="s">
        <v>86</v>
      </c>
      <c r="M89" s="172" t="s">
        <v>76</v>
      </c>
    </row>
    <row r="90" spans="1:13" x14ac:dyDescent="0.2">
      <c r="A90" s="172" t="s">
        <v>83</v>
      </c>
      <c r="B90" s="172" t="s">
        <v>84</v>
      </c>
      <c r="C90" s="172" t="s">
        <v>14</v>
      </c>
      <c r="D90" s="172" t="s">
        <v>15</v>
      </c>
      <c r="E90" s="173">
        <v>43061</v>
      </c>
      <c r="F90" s="174">
        <v>33</v>
      </c>
      <c r="G90" s="175" t="s">
        <v>16</v>
      </c>
      <c r="H90" s="172" t="s">
        <v>17</v>
      </c>
      <c r="I90" s="175">
        <v>1</v>
      </c>
      <c r="J90" s="175" t="s">
        <v>18</v>
      </c>
      <c r="K90" s="175" t="s">
        <v>85</v>
      </c>
      <c r="L90" s="172" t="s">
        <v>86</v>
      </c>
      <c r="M90" s="172" t="s">
        <v>17</v>
      </c>
    </row>
    <row r="91" spans="1:13" x14ac:dyDescent="0.2">
      <c r="A91" s="172" t="s">
        <v>83</v>
      </c>
      <c r="B91" s="172" t="s">
        <v>84</v>
      </c>
      <c r="C91" s="172" t="s">
        <v>14</v>
      </c>
      <c r="D91" s="172" t="s">
        <v>15</v>
      </c>
      <c r="E91" s="173">
        <v>43061</v>
      </c>
      <c r="F91" s="174">
        <v>77.887259999999998</v>
      </c>
      <c r="G91" s="175" t="s">
        <v>19</v>
      </c>
      <c r="H91" s="172" t="s">
        <v>17</v>
      </c>
      <c r="I91" s="175">
        <v>1</v>
      </c>
      <c r="J91" s="175" t="s">
        <v>18</v>
      </c>
      <c r="K91" s="175" t="s">
        <v>85</v>
      </c>
      <c r="L91" s="172" t="s">
        <v>86</v>
      </c>
      <c r="M91" s="172" t="s">
        <v>17</v>
      </c>
    </row>
    <row r="92" spans="1:13" x14ac:dyDescent="0.2">
      <c r="A92" s="172" t="s">
        <v>83</v>
      </c>
      <c r="B92" s="172" t="s">
        <v>84</v>
      </c>
      <c r="C92" s="172" t="s">
        <v>14</v>
      </c>
      <c r="D92" s="172" t="s">
        <v>15</v>
      </c>
      <c r="E92" s="173">
        <v>43061</v>
      </c>
      <c r="F92" s="174">
        <v>11.4</v>
      </c>
      <c r="G92" s="175" t="s">
        <v>16</v>
      </c>
      <c r="H92" s="172" t="s">
        <v>20</v>
      </c>
      <c r="I92" s="175">
        <v>1</v>
      </c>
      <c r="J92" s="175" t="s">
        <v>18</v>
      </c>
      <c r="K92" s="175" t="s">
        <v>85</v>
      </c>
      <c r="L92" s="172" t="s">
        <v>86</v>
      </c>
      <c r="M92" s="172" t="s">
        <v>76</v>
      </c>
    </row>
    <row r="93" spans="1:13" x14ac:dyDescent="0.2">
      <c r="A93" s="172" t="s">
        <v>83</v>
      </c>
      <c r="B93" s="172" t="s">
        <v>84</v>
      </c>
      <c r="C93" s="172" t="s">
        <v>14</v>
      </c>
      <c r="D93" s="172" t="s">
        <v>15</v>
      </c>
      <c r="E93" s="173">
        <v>43061</v>
      </c>
      <c r="F93" s="174">
        <v>26.906507999999999</v>
      </c>
      <c r="G93" s="175" t="s">
        <v>19</v>
      </c>
      <c r="H93" s="172" t="s">
        <v>20</v>
      </c>
      <c r="I93" s="175">
        <v>1</v>
      </c>
      <c r="J93" s="175" t="s">
        <v>18</v>
      </c>
      <c r="K93" s="175" t="s">
        <v>85</v>
      </c>
      <c r="L93" s="172" t="s">
        <v>86</v>
      </c>
      <c r="M93" s="172" t="s">
        <v>76</v>
      </c>
    </row>
    <row r="94" spans="1:13" x14ac:dyDescent="0.2">
      <c r="A94" s="172" t="s">
        <v>83</v>
      </c>
      <c r="B94" s="172" t="s">
        <v>84</v>
      </c>
      <c r="C94" s="172" t="s">
        <v>14</v>
      </c>
      <c r="D94" s="172" t="s">
        <v>15</v>
      </c>
      <c r="E94" s="173">
        <v>43054</v>
      </c>
      <c r="F94" s="174">
        <v>30.1</v>
      </c>
      <c r="G94" s="175" t="s">
        <v>16</v>
      </c>
      <c r="H94" s="172" t="s">
        <v>17</v>
      </c>
      <c r="I94" s="175">
        <v>1</v>
      </c>
      <c r="J94" s="175" t="s">
        <v>18</v>
      </c>
      <c r="K94" s="175" t="s">
        <v>85</v>
      </c>
      <c r="L94" s="172" t="s">
        <v>86</v>
      </c>
      <c r="M94" s="172" t="s">
        <v>17</v>
      </c>
    </row>
    <row r="95" spans="1:13" x14ac:dyDescent="0.2">
      <c r="A95" s="172" t="s">
        <v>83</v>
      </c>
      <c r="B95" s="172" t="s">
        <v>84</v>
      </c>
      <c r="C95" s="172" t="s">
        <v>14</v>
      </c>
      <c r="D95" s="172" t="s">
        <v>15</v>
      </c>
      <c r="E95" s="173">
        <v>43054</v>
      </c>
      <c r="F95" s="174">
        <v>87.861900000000006</v>
      </c>
      <c r="G95" s="175" t="s">
        <v>19</v>
      </c>
      <c r="H95" s="172" t="s">
        <v>17</v>
      </c>
      <c r="I95" s="175">
        <v>1</v>
      </c>
      <c r="J95" s="175" t="s">
        <v>18</v>
      </c>
      <c r="K95" s="175" t="s">
        <v>85</v>
      </c>
      <c r="L95" s="172" t="s">
        <v>86</v>
      </c>
      <c r="M95" s="172" t="s">
        <v>17</v>
      </c>
    </row>
    <row r="96" spans="1:13" x14ac:dyDescent="0.2">
      <c r="A96" s="172" t="s">
        <v>83</v>
      </c>
      <c r="B96" s="172" t="s">
        <v>84</v>
      </c>
      <c r="C96" s="172" t="s">
        <v>14</v>
      </c>
      <c r="D96" s="172" t="s">
        <v>15</v>
      </c>
      <c r="E96" s="173">
        <v>43054</v>
      </c>
      <c r="F96" s="174">
        <v>12.3</v>
      </c>
      <c r="G96" s="175" t="s">
        <v>16</v>
      </c>
      <c r="H96" s="172" t="s">
        <v>20</v>
      </c>
      <c r="I96" s="175">
        <v>1</v>
      </c>
      <c r="J96" s="175" t="s">
        <v>18</v>
      </c>
      <c r="K96" s="175" t="s">
        <v>85</v>
      </c>
      <c r="L96" s="172" t="s">
        <v>86</v>
      </c>
      <c r="M96" s="172" t="s">
        <v>76</v>
      </c>
    </row>
    <row r="97" spans="1:13" x14ac:dyDescent="0.2">
      <c r="A97" s="172" t="s">
        <v>83</v>
      </c>
      <c r="B97" s="172" t="s">
        <v>84</v>
      </c>
      <c r="C97" s="172" t="s">
        <v>14</v>
      </c>
      <c r="D97" s="172" t="s">
        <v>15</v>
      </c>
      <c r="E97" s="173">
        <v>43054</v>
      </c>
      <c r="F97" s="174">
        <v>35.903700000000001</v>
      </c>
      <c r="G97" s="175" t="s">
        <v>19</v>
      </c>
      <c r="H97" s="172" t="s">
        <v>20</v>
      </c>
      <c r="I97" s="175">
        <v>1</v>
      </c>
      <c r="J97" s="175" t="s">
        <v>18</v>
      </c>
      <c r="K97" s="175" t="s">
        <v>85</v>
      </c>
      <c r="L97" s="172" t="s">
        <v>86</v>
      </c>
      <c r="M97" s="172" t="s">
        <v>76</v>
      </c>
    </row>
    <row r="98" spans="1:13" x14ac:dyDescent="0.2">
      <c r="A98" s="172" t="s">
        <v>83</v>
      </c>
      <c r="B98" s="172" t="s">
        <v>84</v>
      </c>
      <c r="C98" s="172" t="s">
        <v>14</v>
      </c>
      <c r="D98" s="172" t="s">
        <v>15</v>
      </c>
      <c r="E98" s="173">
        <v>43047</v>
      </c>
      <c r="F98" s="174">
        <v>29.5</v>
      </c>
      <c r="G98" s="175" t="s">
        <v>16</v>
      </c>
      <c r="H98" s="172" t="s">
        <v>17</v>
      </c>
      <c r="I98" s="175">
        <v>1</v>
      </c>
      <c r="J98" s="175" t="s">
        <v>18</v>
      </c>
      <c r="K98" s="175" t="s">
        <v>85</v>
      </c>
      <c r="L98" s="172" t="s">
        <v>86</v>
      </c>
      <c r="M98" s="172" t="s">
        <v>17</v>
      </c>
    </row>
    <row r="99" spans="1:13" x14ac:dyDescent="0.2">
      <c r="A99" s="172" t="s">
        <v>83</v>
      </c>
      <c r="B99" s="172" t="s">
        <v>84</v>
      </c>
      <c r="C99" s="172" t="s">
        <v>14</v>
      </c>
      <c r="D99" s="172" t="s">
        <v>15</v>
      </c>
      <c r="E99" s="173">
        <v>43047</v>
      </c>
      <c r="F99" s="174">
        <v>82.912109999999998</v>
      </c>
      <c r="G99" s="175" t="s">
        <v>19</v>
      </c>
      <c r="H99" s="172" t="s">
        <v>17</v>
      </c>
      <c r="I99" s="175">
        <v>1</v>
      </c>
      <c r="J99" s="175" t="s">
        <v>18</v>
      </c>
      <c r="K99" s="175" t="s">
        <v>85</v>
      </c>
      <c r="L99" s="172" t="s">
        <v>86</v>
      </c>
      <c r="M99" s="172" t="s">
        <v>17</v>
      </c>
    </row>
    <row r="100" spans="1:13" x14ac:dyDescent="0.2">
      <c r="A100" s="172" t="s">
        <v>83</v>
      </c>
      <c r="B100" s="172" t="s">
        <v>84</v>
      </c>
      <c r="C100" s="172" t="s">
        <v>14</v>
      </c>
      <c r="D100" s="172" t="s">
        <v>15</v>
      </c>
      <c r="E100" s="173">
        <v>43047</v>
      </c>
      <c r="F100" s="174">
        <v>11.8</v>
      </c>
      <c r="G100" s="175" t="s">
        <v>16</v>
      </c>
      <c r="H100" s="172" t="s">
        <v>20</v>
      </c>
      <c r="I100" s="175">
        <v>1</v>
      </c>
      <c r="J100" s="175" t="s">
        <v>18</v>
      </c>
      <c r="K100" s="175" t="s">
        <v>85</v>
      </c>
      <c r="L100" s="172" t="s">
        <v>86</v>
      </c>
      <c r="M100" s="172" t="s">
        <v>76</v>
      </c>
    </row>
    <row r="101" spans="1:13" x14ac:dyDescent="0.2">
      <c r="A101" s="172" t="s">
        <v>83</v>
      </c>
      <c r="B101" s="172" t="s">
        <v>84</v>
      </c>
      <c r="C101" s="172" t="s">
        <v>14</v>
      </c>
      <c r="D101" s="172" t="s">
        <v>15</v>
      </c>
      <c r="E101" s="173">
        <v>43047</v>
      </c>
      <c r="F101" s="174">
        <v>33.164844000000002</v>
      </c>
      <c r="G101" s="175" t="s">
        <v>19</v>
      </c>
      <c r="H101" s="172" t="s">
        <v>20</v>
      </c>
      <c r="I101" s="175">
        <v>1</v>
      </c>
      <c r="J101" s="175" t="s">
        <v>18</v>
      </c>
      <c r="K101" s="175" t="s">
        <v>85</v>
      </c>
      <c r="L101" s="172" t="s">
        <v>86</v>
      </c>
      <c r="M101" s="172" t="s">
        <v>76</v>
      </c>
    </row>
    <row r="102" spans="1:13" x14ac:dyDescent="0.2">
      <c r="A102" s="172" t="s">
        <v>83</v>
      </c>
      <c r="B102" s="172" t="s">
        <v>84</v>
      </c>
      <c r="C102" s="172" t="s">
        <v>14</v>
      </c>
      <c r="D102" s="172" t="s">
        <v>15</v>
      </c>
      <c r="E102" s="173">
        <v>43042</v>
      </c>
      <c r="F102" s="174">
        <v>31.7</v>
      </c>
      <c r="G102" s="175" t="s">
        <v>16</v>
      </c>
      <c r="H102" s="172" t="s">
        <v>17</v>
      </c>
      <c r="I102" s="175">
        <v>1</v>
      </c>
      <c r="J102" s="175" t="s">
        <v>18</v>
      </c>
      <c r="K102" s="175" t="s">
        <v>85</v>
      </c>
      <c r="L102" s="172" t="s">
        <v>86</v>
      </c>
      <c r="M102" s="172" t="s">
        <v>17</v>
      </c>
    </row>
    <row r="103" spans="1:13" x14ac:dyDescent="0.2">
      <c r="A103" s="172" t="s">
        <v>83</v>
      </c>
      <c r="B103" s="172" t="s">
        <v>84</v>
      </c>
      <c r="C103" s="172" t="s">
        <v>14</v>
      </c>
      <c r="D103" s="172" t="s">
        <v>15</v>
      </c>
      <c r="E103" s="173">
        <v>43042</v>
      </c>
      <c r="F103" s="174">
        <v>85.394093999999996</v>
      </c>
      <c r="G103" s="175" t="s">
        <v>19</v>
      </c>
      <c r="H103" s="172" t="s">
        <v>17</v>
      </c>
      <c r="I103" s="175">
        <v>1</v>
      </c>
      <c r="J103" s="175" t="s">
        <v>18</v>
      </c>
      <c r="K103" s="175" t="s">
        <v>85</v>
      </c>
      <c r="L103" s="172" t="s">
        <v>86</v>
      </c>
      <c r="M103" s="172" t="s">
        <v>17</v>
      </c>
    </row>
    <row r="104" spans="1:13" x14ac:dyDescent="0.2">
      <c r="A104" s="172" t="s">
        <v>83</v>
      </c>
      <c r="B104" s="172" t="s">
        <v>84</v>
      </c>
      <c r="C104" s="172" t="s">
        <v>14</v>
      </c>
      <c r="D104" s="172" t="s">
        <v>15</v>
      </c>
      <c r="E104" s="173">
        <v>43042</v>
      </c>
      <c r="F104" s="174">
        <v>11.3</v>
      </c>
      <c r="G104" s="175" t="s">
        <v>16</v>
      </c>
      <c r="H104" s="172" t="s">
        <v>20</v>
      </c>
      <c r="I104" s="175">
        <v>1</v>
      </c>
      <c r="J104" s="175" t="s">
        <v>18</v>
      </c>
      <c r="K104" s="175" t="s">
        <v>85</v>
      </c>
      <c r="L104" s="172" t="s">
        <v>86</v>
      </c>
      <c r="M104" s="172" t="s">
        <v>76</v>
      </c>
    </row>
    <row r="105" spans="1:13" x14ac:dyDescent="0.2">
      <c r="A105" s="172" t="s">
        <v>83</v>
      </c>
      <c r="B105" s="172" t="s">
        <v>84</v>
      </c>
      <c r="C105" s="172" t="s">
        <v>14</v>
      </c>
      <c r="D105" s="172" t="s">
        <v>15</v>
      </c>
      <c r="E105" s="173">
        <v>43042</v>
      </c>
      <c r="F105" s="174">
        <v>30.440166000000001</v>
      </c>
      <c r="G105" s="175" t="s">
        <v>19</v>
      </c>
      <c r="H105" s="172" t="s">
        <v>20</v>
      </c>
      <c r="I105" s="175">
        <v>1</v>
      </c>
      <c r="J105" s="175" t="s">
        <v>18</v>
      </c>
      <c r="K105" s="175" t="s">
        <v>85</v>
      </c>
      <c r="L105" s="172" t="s">
        <v>86</v>
      </c>
      <c r="M105" s="172" t="s">
        <v>76</v>
      </c>
    </row>
    <row r="106" spans="1:13" x14ac:dyDescent="0.2">
      <c r="A106" s="172" t="s">
        <v>83</v>
      </c>
      <c r="B106" s="172" t="s">
        <v>84</v>
      </c>
      <c r="C106" s="172" t="s">
        <v>14</v>
      </c>
      <c r="D106" s="172" t="s">
        <v>15</v>
      </c>
      <c r="E106" s="173">
        <v>43031</v>
      </c>
      <c r="F106" s="174">
        <v>32.9</v>
      </c>
      <c r="G106" s="175" t="s">
        <v>16</v>
      </c>
      <c r="H106" s="172" t="s">
        <v>17</v>
      </c>
      <c r="I106" s="175">
        <v>1</v>
      </c>
      <c r="J106" s="175" t="s">
        <v>18</v>
      </c>
      <c r="K106" s="175" t="s">
        <v>85</v>
      </c>
      <c r="L106" s="172" t="s">
        <v>86</v>
      </c>
      <c r="M106" s="172" t="s">
        <v>17</v>
      </c>
    </row>
    <row r="107" spans="1:13" x14ac:dyDescent="0.2">
      <c r="A107" s="172" t="s">
        <v>83</v>
      </c>
      <c r="B107" s="172" t="s">
        <v>84</v>
      </c>
      <c r="C107" s="172" t="s">
        <v>14</v>
      </c>
      <c r="D107" s="172" t="s">
        <v>15</v>
      </c>
      <c r="E107" s="173">
        <v>43031</v>
      </c>
      <c r="F107" s="174">
        <v>108.38247</v>
      </c>
      <c r="G107" s="175" t="s">
        <v>19</v>
      </c>
      <c r="H107" s="172" t="s">
        <v>17</v>
      </c>
      <c r="I107" s="175">
        <v>1</v>
      </c>
      <c r="J107" s="175" t="s">
        <v>18</v>
      </c>
      <c r="K107" s="175" t="s">
        <v>85</v>
      </c>
      <c r="L107" s="172" t="s">
        <v>86</v>
      </c>
      <c r="M107" s="172" t="s">
        <v>17</v>
      </c>
    </row>
    <row r="108" spans="1:13" x14ac:dyDescent="0.2">
      <c r="A108" s="172" t="s">
        <v>83</v>
      </c>
      <c r="B108" s="172" t="s">
        <v>84</v>
      </c>
      <c r="C108" s="172" t="s">
        <v>14</v>
      </c>
      <c r="D108" s="172" t="s">
        <v>15</v>
      </c>
      <c r="E108" s="173">
        <v>43031</v>
      </c>
      <c r="F108" s="174">
        <v>7.88</v>
      </c>
      <c r="G108" s="175" t="s">
        <v>16</v>
      </c>
      <c r="H108" s="172" t="s">
        <v>20</v>
      </c>
      <c r="I108" s="175">
        <v>1</v>
      </c>
      <c r="J108" s="175" t="s">
        <v>18</v>
      </c>
      <c r="K108" s="175" t="s">
        <v>85</v>
      </c>
      <c r="L108" s="172" t="s">
        <v>86</v>
      </c>
      <c r="M108" s="172" t="s">
        <v>76</v>
      </c>
    </row>
    <row r="109" spans="1:13" x14ac:dyDescent="0.2">
      <c r="A109" s="172" t="s">
        <v>83</v>
      </c>
      <c r="B109" s="172" t="s">
        <v>84</v>
      </c>
      <c r="C109" s="172" t="s">
        <v>14</v>
      </c>
      <c r="D109" s="172" t="s">
        <v>15</v>
      </c>
      <c r="E109" s="173">
        <v>43031</v>
      </c>
      <c r="F109" s="174">
        <v>25.959084000000001</v>
      </c>
      <c r="G109" s="175" t="s">
        <v>19</v>
      </c>
      <c r="H109" s="172" t="s">
        <v>20</v>
      </c>
      <c r="I109" s="175">
        <v>1</v>
      </c>
      <c r="J109" s="175" t="s">
        <v>18</v>
      </c>
      <c r="K109" s="175" t="s">
        <v>85</v>
      </c>
      <c r="L109" s="172" t="s">
        <v>86</v>
      </c>
      <c r="M109" s="172" t="s">
        <v>76</v>
      </c>
    </row>
    <row r="110" spans="1:13" x14ac:dyDescent="0.2">
      <c r="A110" s="172" t="s">
        <v>83</v>
      </c>
      <c r="B110" s="172" t="s">
        <v>84</v>
      </c>
      <c r="C110" s="172" t="s">
        <v>14</v>
      </c>
      <c r="D110" s="172" t="s">
        <v>15</v>
      </c>
      <c r="E110" s="173">
        <v>43026</v>
      </c>
      <c r="F110" s="174">
        <v>27.1</v>
      </c>
      <c r="G110" s="175" t="s">
        <v>16</v>
      </c>
      <c r="H110" s="172" t="s">
        <v>17</v>
      </c>
      <c r="I110" s="175">
        <v>1</v>
      </c>
      <c r="J110" s="175" t="s">
        <v>18</v>
      </c>
      <c r="K110" s="175" t="s">
        <v>85</v>
      </c>
      <c r="L110" s="172" t="s">
        <v>86</v>
      </c>
      <c r="M110" s="172" t="s">
        <v>17</v>
      </c>
    </row>
    <row r="111" spans="1:13" x14ac:dyDescent="0.2">
      <c r="A111" s="172" t="s">
        <v>83</v>
      </c>
      <c r="B111" s="172" t="s">
        <v>84</v>
      </c>
      <c r="C111" s="172" t="s">
        <v>14</v>
      </c>
      <c r="D111" s="172" t="s">
        <v>15</v>
      </c>
      <c r="E111" s="173">
        <v>43026</v>
      </c>
      <c r="F111" s="174">
        <v>104.418468</v>
      </c>
      <c r="G111" s="175" t="s">
        <v>19</v>
      </c>
      <c r="H111" s="172" t="s">
        <v>17</v>
      </c>
      <c r="I111" s="175">
        <v>1</v>
      </c>
      <c r="J111" s="175" t="s">
        <v>18</v>
      </c>
      <c r="K111" s="175" t="s">
        <v>85</v>
      </c>
      <c r="L111" s="172" t="s">
        <v>86</v>
      </c>
      <c r="M111" s="172" t="s">
        <v>17</v>
      </c>
    </row>
    <row r="112" spans="1:13" x14ac:dyDescent="0.2">
      <c r="A112" s="172" t="s">
        <v>83</v>
      </c>
      <c r="B112" s="172" t="s">
        <v>84</v>
      </c>
      <c r="C112" s="172" t="s">
        <v>14</v>
      </c>
      <c r="D112" s="172" t="s">
        <v>15</v>
      </c>
      <c r="E112" s="173">
        <v>43026</v>
      </c>
      <c r="F112" s="174">
        <v>8.14</v>
      </c>
      <c r="G112" s="175" t="s">
        <v>16</v>
      </c>
      <c r="H112" s="172" t="s">
        <v>20</v>
      </c>
      <c r="I112" s="175">
        <v>1</v>
      </c>
      <c r="J112" s="175" t="s">
        <v>18</v>
      </c>
      <c r="K112" s="175" t="s">
        <v>85</v>
      </c>
      <c r="L112" s="172" t="s">
        <v>86</v>
      </c>
      <c r="M112" s="172" t="s">
        <v>76</v>
      </c>
    </row>
    <row r="113" spans="1:13" x14ac:dyDescent="0.2">
      <c r="A113" s="172" t="s">
        <v>83</v>
      </c>
      <c r="B113" s="172" t="s">
        <v>84</v>
      </c>
      <c r="C113" s="172" t="s">
        <v>14</v>
      </c>
      <c r="D113" s="172" t="s">
        <v>15</v>
      </c>
      <c r="E113" s="173">
        <v>43026</v>
      </c>
      <c r="F113" s="174">
        <v>31.364071200000001</v>
      </c>
      <c r="G113" s="175" t="s">
        <v>19</v>
      </c>
      <c r="H113" s="172" t="s">
        <v>20</v>
      </c>
      <c r="I113" s="175">
        <v>1</v>
      </c>
      <c r="J113" s="175" t="s">
        <v>18</v>
      </c>
      <c r="K113" s="175" t="s">
        <v>85</v>
      </c>
      <c r="L113" s="172" t="s">
        <v>86</v>
      </c>
      <c r="M113" s="172" t="s">
        <v>76</v>
      </c>
    </row>
    <row r="114" spans="1:13" x14ac:dyDescent="0.2">
      <c r="A114" s="172" t="s">
        <v>83</v>
      </c>
      <c r="B114" s="172" t="s">
        <v>84</v>
      </c>
      <c r="C114" s="172" t="s">
        <v>14</v>
      </c>
      <c r="D114" s="172" t="s">
        <v>15</v>
      </c>
      <c r="E114" s="173">
        <v>43019</v>
      </c>
      <c r="F114" s="174">
        <v>28.9</v>
      </c>
      <c r="G114" s="175" t="s">
        <v>16</v>
      </c>
      <c r="H114" s="172" t="s">
        <v>17</v>
      </c>
      <c r="I114" s="175">
        <v>1</v>
      </c>
      <c r="J114" s="175" t="s">
        <v>18</v>
      </c>
      <c r="K114" s="175" t="s">
        <v>85</v>
      </c>
      <c r="L114" s="172" t="s">
        <v>86</v>
      </c>
      <c r="M114" s="172" t="s">
        <v>17</v>
      </c>
    </row>
    <row r="115" spans="1:13" x14ac:dyDescent="0.2">
      <c r="A115" s="172" t="s">
        <v>83</v>
      </c>
      <c r="B115" s="172" t="s">
        <v>84</v>
      </c>
      <c r="C115" s="172" t="s">
        <v>14</v>
      </c>
      <c r="D115" s="172" t="s">
        <v>15</v>
      </c>
      <c r="E115" s="173">
        <v>43019</v>
      </c>
      <c r="F115" s="174">
        <v>128.70788400000001</v>
      </c>
      <c r="G115" s="175" t="s">
        <v>19</v>
      </c>
      <c r="H115" s="172" t="s">
        <v>17</v>
      </c>
      <c r="I115" s="175">
        <v>1</v>
      </c>
      <c r="J115" s="175" t="s">
        <v>18</v>
      </c>
      <c r="K115" s="175" t="s">
        <v>85</v>
      </c>
      <c r="L115" s="172" t="s">
        <v>86</v>
      </c>
      <c r="M115" s="172" t="s">
        <v>17</v>
      </c>
    </row>
    <row r="116" spans="1:13" x14ac:dyDescent="0.2">
      <c r="A116" s="172" t="s">
        <v>83</v>
      </c>
      <c r="B116" s="172" t="s">
        <v>84</v>
      </c>
      <c r="C116" s="172" t="s">
        <v>14</v>
      </c>
      <c r="D116" s="172" t="s">
        <v>15</v>
      </c>
      <c r="E116" s="173">
        <v>43019</v>
      </c>
      <c r="F116" s="174">
        <v>5.75</v>
      </c>
      <c r="G116" s="175" t="s">
        <v>16</v>
      </c>
      <c r="H116" s="172" t="s">
        <v>20</v>
      </c>
      <c r="I116" s="175">
        <v>1</v>
      </c>
      <c r="J116" s="175" t="s">
        <v>18</v>
      </c>
      <c r="K116" s="175" t="s">
        <v>85</v>
      </c>
      <c r="L116" s="172" t="s">
        <v>86</v>
      </c>
      <c r="M116" s="172" t="s">
        <v>76</v>
      </c>
    </row>
    <row r="117" spans="1:13" x14ac:dyDescent="0.2">
      <c r="A117" s="172" t="s">
        <v>83</v>
      </c>
      <c r="B117" s="172" t="s">
        <v>84</v>
      </c>
      <c r="C117" s="172" t="s">
        <v>14</v>
      </c>
      <c r="D117" s="172" t="s">
        <v>15</v>
      </c>
      <c r="E117" s="173">
        <v>43019</v>
      </c>
      <c r="F117" s="174">
        <v>25.607970000000002</v>
      </c>
      <c r="G117" s="175" t="s">
        <v>19</v>
      </c>
      <c r="H117" s="172" t="s">
        <v>20</v>
      </c>
      <c r="I117" s="175">
        <v>1</v>
      </c>
      <c r="J117" s="175" t="s">
        <v>18</v>
      </c>
      <c r="K117" s="175" t="s">
        <v>85</v>
      </c>
      <c r="L117" s="172" t="s">
        <v>86</v>
      </c>
      <c r="M117" s="172" t="s">
        <v>76</v>
      </c>
    </row>
    <row r="118" spans="1:13" x14ac:dyDescent="0.2">
      <c r="A118" s="172" t="s">
        <v>83</v>
      </c>
      <c r="B118" s="172" t="s">
        <v>84</v>
      </c>
      <c r="C118" s="172" t="s">
        <v>14</v>
      </c>
      <c r="D118" s="172" t="s">
        <v>15</v>
      </c>
      <c r="E118" s="173">
        <v>43012</v>
      </c>
      <c r="F118" s="174">
        <v>36.6</v>
      </c>
      <c r="G118" s="175" t="s">
        <v>16</v>
      </c>
      <c r="H118" s="172" t="s">
        <v>17</v>
      </c>
      <c r="I118" s="175">
        <v>1</v>
      </c>
      <c r="J118" s="175" t="s">
        <v>18</v>
      </c>
      <c r="K118" s="175" t="s">
        <v>85</v>
      </c>
      <c r="L118" s="172" t="s">
        <v>86</v>
      </c>
      <c r="M118" s="172" t="s">
        <v>17</v>
      </c>
    </row>
    <row r="119" spans="1:13" x14ac:dyDescent="0.2">
      <c r="A119" s="172" t="s">
        <v>83</v>
      </c>
      <c r="B119" s="172" t="s">
        <v>84</v>
      </c>
      <c r="C119" s="172" t="s">
        <v>14</v>
      </c>
      <c r="D119" s="172" t="s">
        <v>15</v>
      </c>
      <c r="E119" s="173">
        <v>43012</v>
      </c>
      <c r="F119" s="174">
        <v>101.035764</v>
      </c>
      <c r="G119" s="175" t="s">
        <v>19</v>
      </c>
      <c r="H119" s="172" t="s">
        <v>17</v>
      </c>
      <c r="I119" s="175">
        <v>1</v>
      </c>
      <c r="J119" s="175" t="s">
        <v>18</v>
      </c>
      <c r="K119" s="175" t="s">
        <v>85</v>
      </c>
      <c r="L119" s="172" t="s">
        <v>86</v>
      </c>
      <c r="M119" s="172" t="s">
        <v>17</v>
      </c>
    </row>
    <row r="120" spans="1:13" x14ac:dyDescent="0.2">
      <c r="A120" s="172" t="s">
        <v>83</v>
      </c>
      <c r="B120" s="172" t="s">
        <v>84</v>
      </c>
      <c r="C120" s="172" t="s">
        <v>14</v>
      </c>
      <c r="D120" s="172" t="s">
        <v>15</v>
      </c>
      <c r="E120" s="173">
        <v>43012</v>
      </c>
      <c r="F120" s="174">
        <v>12.1</v>
      </c>
      <c r="G120" s="175" t="s">
        <v>16</v>
      </c>
      <c r="H120" s="172" t="s">
        <v>20</v>
      </c>
      <c r="I120" s="175">
        <v>1</v>
      </c>
      <c r="J120" s="175" t="s">
        <v>18</v>
      </c>
      <c r="K120" s="175" t="s">
        <v>85</v>
      </c>
      <c r="L120" s="172" t="s">
        <v>86</v>
      </c>
      <c r="M120" s="172" t="s">
        <v>76</v>
      </c>
    </row>
    <row r="121" spans="1:13" x14ac:dyDescent="0.2">
      <c r="A121" s="172" t="s">
        <v>83</v>
      </c>
      <c r="B121" s="172" t="s">
        <v>84</v>
      </c>
      <c r="C121" s="172" t="s">
        <v>14</v>
      </c>
      <c r="D121" s="172" t="s">
        <v>15</v>
      </c>
      <c r="E121" s="173">
        <v>43012</v>
      </c>
      <c r="F121" s="174">
        <v>33.402534000000003</v>
      </c>
      <c r="G121" s="175" t="s">
        <v>19</v>
      </c>
      <c r="H121" s="172" t="s">
        <v>20</v>
      </c>
      <c r="I121" s="175">
        <v>1</v>
      </c>
      <c r="J121" s="175" t="s">
        <v>18</v>
      </c>
      <c r="K121" s="175" t="s">
        <v>85</v>
      </c>
      <c r="L121" s="172" t="s">
        <v>86</v>
      </c>
      <c r="M121" s="172" t="s">
        <v>76</v>
      </c>
    </row>
    <row r="122" spans="1:13" x14ac:dyDescent="0.2">
      <c r="A122" s="172" t="s">
        <v>83</v>
      </c>
      <c r="B122" s="172" t="s">
        <v>84</v>
      </c>
      <c r="C122" s="172" t="s">
        <v>14</v>
      </c>
      <c r="D122" s="172" t="s">
        <v>15</v>
      </c>
      <c r="E122" s="173">
        <v>43003</v>
      </c>
      <c r="F122" s="174">
        <v>30.2</v>
      </c>
      <c r="G122" s="175" t="s">
        <v>16</v>
      </c>
      <c r="H122" s="172" t="s">
        <v>17</v>
      </c>
      <c r="I122" s="175">
        <v>1</v>
      </c>
      <c r="J122" s="175" t="s">
        <v>18</v>
      </c>
      <c r="K122" s="175" t="s">
        <v>85</v>
      </c>
      <c r="L122" s="172" t="s">
        <v>86</v>
      </c>
      <c r="M122" s="172" t="s">
        <v>17</v>
      </c>
    </row>
    <row r="123" spans="1:13" x14ac:dyDescent="0.2">
      <c r="A123" s="172" t="s">
        <v>83</v>
      </c>
      <c r="B123" s="172" t="s">
        <v>84</v>
      </c>
      <c r="C123" s="172" t="s">
        <v>14</v>
      </c>
      <c r="D123" s="172" t="s">
        <v>15</v>
      </c>
      <c r="E123" s="173">
        <v>43003</v>
      </c>
      <c r="F123" s="174">
        <v>60.448320000000002</v>
      </c>
      <c r="G123" s="175" t="s">
        <v>19</v>
      </c>
      <c r="H123" s="172" t="s">
        <v>17</v>
      </c>
      <c r="I123" s="175">
        <v>1</v>
      </c>
      <c r="J123" s="175" t="s">
        <v>18</v>
      </c>
      <c r="K123" s="175" t="s">
        <v>85</v>
      </c>
      <c r="L123" s="172" t="s">
        <v>86</v>
      </c>
      <c r="M123" s="172" t="s">
        <v>17</v>
      </c>
    </row>
    <row r="124" spans="1:13" x14ac:dyDescent="0.2">
      <c r="A124" s="172" t="s">
        <v>83</v>
      </c>
      <c r="B124" s="172" t="s">
        <v>84</v>
      </c>
      <c r="C124" s="172" t="s">
        <v>14</v>
      </c>
      <c r="D124" s="172" t="s">
        <v>15</v>
      </c>
      <c r="E124" s="173">
        <v>43003</v>
      </c>
      <c r="F124" s="174">
        <v>10.8</v>
      </c>
      <c r="G124" s="175" t="s">
        <v>16</v>
      </c>
      <c r="H124" s="172" t="s">
        <v>20</v>
      </c>
      <c r="I124" s="175">
        <v>1</v>
      </c>
      <c r="J124" s="175" t="s">
        <v>18</v>
      </c>
      <c r="K124" s="175" t="s">
        <v>85</v>
      </c>
      <c r="L124" s="172" t="s">
        <v>86</v>
      </c>
      <c r="M124" s="172" t="s">
        <v>76</v>
      </c>
    </row>
    <row r="125" spans="1:13" x14ac:dyDescent="0.2">
      <c r="A125" s="172" t="s">
        <v>83</v>
      </c>
      <c r="B125" s="172" t="s">
        <v>84</v>
      </c>
      <c r="C125" s="172" t="s">
        <v>14</v>
      </c>
      <c r="D125" s="172" t="s">
        <v>15</v>
      </c>
      <c r="E125" s="173">
        <v>43003</v>
      </c>
      <c r="F125" s="174">
        <v>21.617280000000001</v>
      </c>
      <c r="G125" s="175" t="s">
        <v>19</v>
      </c>
      <c r="H125" s="172" t="s">
        <v>20</v>
      </c>
      <c r="I125" s="175">
        <v>1</v>
      </c>
      <c r="J125" s="175" t="s">
        <v>18</v>
      </c>
      <c r="K125" s="175" t="s">
        <v>85</v>
      </c>
      <c r="L125" s="172" t="s">
        <v>86</v>
      </c>
      <c r="M125" s="172" t="s">
        <v>76</v>
      </c>
    </row>
    <row r="126" spans="1:13" x14ac:dyDescent="0.2">
      <c r="A126" s="172" t="s">
        <v>83</v>
      </c>
      <c r="B126" s="172" t="s">
        <v>84</v>
      </c>
      <c r="C126" s="172" t="s">
        <v>14</v>
      </c>
      <c r="D126" s="172" t="s">
        <v>15</v>
      </c>
      <c r="E126" s="173">
        <v>42998</v>
      </c>
      <c r="F126" s="174">
        <v>29.9</v>
      </c>
      <c r="G126" s="175" t="s">
        <v>16</v>
      </c>
      <c r="H126" s="172" t="s">
        <v>17</v>
      </c>
      <c r="I126" s="175">
        <v>1</v>
      </c>
      <c r="J126" s="175" t="s">
        <v>18</v>
      </c>
      <c r="K126" s="175" t="s">
        <v>85</v>
      </c>
      <c r="L126" s="172" t="s">
        <v>86</v>
      </c>
      <c r="M126" s="172" t="s">
        <v>17</v>
      </c>
    </row>
    <row r="127" spans="1:13" x14ac:dyDescent="0.2">
      <c r="A127" s="172" t="s">
        <v>83</v>
      </c>
      <c r="B127" s="172" t="s">
        <v>84</v>
      </c>
      <c r="C127" s="172" t="s">
        <v>14</v>
      </c>
      <c r="D127" s="172" t="s">
        <v>15</v>
      </c>
      <c r="E127" s="173">
        <v>42998</v>
      </c>
      <c r="F127" s="174">
        <v>81.293316000000004</v>
      </c>
      <c r="G127" s="175" t="s">
        <v>19</v>
      </c>
      <c r="H127" s="172" t="s">
        <v>17</v>
      </c>
      <c r="I127" s="175">
        <v>1</v>
      </c>
      <c r="J127" s="175" t="s">
        <v>18</v>
      </c>
      <c r="K127" s="175" t="s">
        <v>85</v>
      </c>
      <c r="L127" s="172" t="s">
        <v>86</v>
      </c>
      <c r="M127" s="172" t="s">
        <v>17</v>
      </c>
    </row>
    <row r="128" spans="1:13" x14ac:dyDescent="0.2">
      <c r="A128" s="172" t="s">
        <v>83</v>
      </c>
      <c r="B128" s="172" t="s">
        <v>84</v>
      </c>
      <c r="C128" s="172" t="s">
        <v>14</v>
      </c>
      <c r="D128" s="172" t="s">
        <v>15</v>
      </c>
      <c r="E128" s="173">
        <v>42998</v>
      </c>
      <c r="F128" s="174">
        <v>10.1</v>
      </c>
      <c r="G128" s="175" t="s">
        <v>16</v>
      </c>
      <c r="H128" s="172" t="s">
        <v>20</v>
      </c>
      <c r="I128" s="175">
        <v>1</v>
      </c>
      <c r="J128" s="175" t="s">
        <v>18</v>
      </c>
      <c r="K128" s="175" t="s">
        <v>85</v>
      </c>
      <c r="L128" s="172" t="s">
        <v>86</v>
      </c>
      <c r="M128" s="172" t="s">
        <v>76</v>
      </c>
    </row>
    <row r="129" spans="1:13" x14ac:dyDescent="0.2">
      <c r="A129" s="172" t="s">
        <v>83</v>
      </c>
      <c r="B129" s="172" t="s">
        <v>84</v>
      </c>
      <c r="C129" s="172" t="s">
        <v>14</v>
      </c>
      <c r="D129" s="172" t="s">
        <v>15</v>
      </c>
      <c r="E129" s="173">
        <v>42998</v>
      </c>
      <c r="F129" s="174">
        <v>27.460284000000001</v>
      </c>
      <c r="G129" s="175" t="s">
        <v>19</v>
      </c>
      <c r="H129" s="172" t="s">
        <v>20</v>
      </c>
      <c r="I129" s="175">
        <v>1</v>
      </c>
      <c r="J129" s="175" t="s">
        <v>18</v>
      </c>
      <c r="K129" s="175" t="s">
        <v>85</v>
      </c>
      <c r="L129" s="172" t="s">
        <v>86</v>
      </c>
      <c r="M129" s="172" t="s">
        <v>76</v>
      </c>
    </row>
    <row r="130" spans="1:13" x14ac:dyDescent="0.2">
      <c r="A130" s="172" t="s">
        <v>83</v>
      </c>
      <c r="B130" s="172" t="s">
        <v>84</v>
      </c>
      <c r="C130" s="172" t="s">
        <v>14</v>
      </c>
      <c r="D130" s="172" t="s">
        <v>15</v>
      </c>
      <c r="E130" s="173">
        <v>42991</v>
      </c>
      <c r="F130" s="174">
        <v>28.5</v>
      </c>
      <c r="G130" s="175" t="s">
        <v>16</v>
      </c>
      <c r="H130" s="172" t="s">
        <v>17</v>
      </c>
      <c r="I130" s="175">
        <v>1</v>
      </c>
      <c r="J130" s="175" t="s">
        <v>18</v>
      </c>
      <c r="K130" s="175" t="s">
        <v>85</v>
      </c>
      <c r="L130" s="172" t="s">
        <v>86</v>
      </c>
      <c r="M130" s="172" t="s">
        <v>17</v>
      </c>
    </row>
    <row r="131" spans="1:13" x14ac:dyDescent="0.2">
      <c r="A131" s="172" t="s">
        <v>83</v>
      </c>
      <c r="B131" s="172" t="s">
        <v>84</v>
      </c>
      <c r="C131" s="172" t="s">
        <v>14</v>
      </c>
      <c r="D131" s="172" t="s">
        <v>15</v>
      </c>
      <c r="E131" s="173">
        <v>42991</v>
      </c>
      <c r="F131" s="174">
        <v>77.962320000000005</v>
      </c>
      <c r="G131" s="175" t="s">
        <v>19</v>
      </c>
      <c r="H131" s="172" t="s">
        <v>17</v>
      </c>
      <c r="I131" s="175">
        <v>1</v>
      </c>
      <c r="J131" s="175" t="s">
        <v>18</v>
      </c>
      <c r="K131" s="175" t="s">
        <v>85</v>
      </c>
      <c r="L131" s="172" t="s">
        <v>86</v>
      </c>
      <c r="M131" s="172" t="s">
        <v>17</v>
      </c>
    </row>
    <row r="132" spans="1:13" x14ac:dyDescent="0.2">
      <c r="A132" s="172" t="s">
        <v>83</v>
      </c>
      <c r="B132" s="172" t="s">
        <v>84</v>
      </c>
      <c r="C132" s="172" t="s">
        <v>14</v>
      </c>
      <c r="D132" s="172" t="s">
        <v>15</v>
      </c>
      <c r="E132" s="173">
        <v>42991</v>
      </c>
      <c r="F132" s="174">
        <v>14.4</v>
      </c>
      <c r="G132" s="175" t="s">
        <v>16</v>
      </c>
      <c r="H132" s="172" t="s">
        <v>20</v>
      </c>
      <c r="I132" s="175">
        <v>1</v>
      </c>
      <c r="J132" s="175" t="s">
        <v>18</v>
      </c>
      <c r="K132" s="175" t="s">
        <v>85</v>
      </c>
      <c r="L132" s="172" t="s">
        <v>86</v>
      </c>
      <c r="M132" s="172" t="s">
        <v>76</v>
      </c>
    </row>
    <row r="133" spans="1:13" x14ac:dyDescent="0.2">
      <c r="A133" s="172" t="s">
        <v>83</v>
      </c>
      <c r="B133" s="172" t="s">
        <v>84</v>
      </c>
      <c r="C133" s="172" t="s">
        <v>14</v>
      </c>
      <c r="D133" s="172" t="s">
        <v>15</v>
      </c>
      <c r="E133" s="173">
        <v>42991</v>
      </c>
      <c r="F133" s="174">
        <v>39.391488000000003</v>
      </c>
      <c r="G133" s="175" t="s">
        <v>19</v>
      </c>
      <c r="H133" s="172" t="s">
        <v>20</v>
      </c>
      <c r="I133" s="175">
        <v>1</v>
      </c>
      <c r="J133" s="175" t="s">
        <v>18</v>
      </c>
      <c r="K133" s="175" t="s">
        <v>85</v>
      </c>
      <c r="L133" s="172" t="s">
        <v>86</v>
      </c>
      <c r="M133" s="172" t="s">
        <v>76</v>
      </c>
    </row>
    <row r="134" spans="1:13" x14ac:dyDescent="0.2">
      <c r="A134" s="172" t="s">
        <v>83</v>
      </c>
      <c r="B134" s="172" t="s">
        <v>84</v>
      </c>
      <c r="C134" s="172" t="s">
        <v>14</v>
      </c>
      <c r="D134" s="172" t="s">
        <v>15</v>
      </c>
      <c r="E134" s="173">
        <v>42984</v>
      </c>
      <c r="F134" s="174">
        <v>31.6</v>
      </c>
      <c r="G134" s="175" t="s">
        <v>16</v>
      </c>
      <c r="H134" s="172" t="s">
        <v>17</v>
      </c>
      <c r="I134" s="175">
        <v>1</v>
      </c>
      <c r="J134" s="175" t="s">
        <v>18</v>
      </c>
      <c r="K134" s="175" t="s">
        <v>85</v>
      </c>
      <c r="L134" s="172" t="s">
        <v>86</v>
      </c>
      <c r="M134" s="172" t="s">
        <v>17</v>
      </c>
    </row>
    <row r="135" spans="1:13" x14ac:dyDescent="0.2">
      <c r="A135" s="172" t="s">
        <v>83</v>
      </c>
      <c r="B135" s="172" t="s">
        <v>84</v>
      </c>
      <c r="C135" s="172" t="s">
        <v>14</v>
      </c>
      <c r="D135" s="172" t="s">
        <v>15</v>
      </c>
      <c r="E135" s="173">
        <v>42984</v>
      </c>
      <c r="F135" s="174">
        <v>88.023696000000001</v>
      </c>
      <c r="G135" s="175" t="s">
        <v>19</v>
      </c>
      <c r="H135" s="172" t="s">
        <v>17</v>
      </c>
      <c r="I135" s="175">
        <v>1</v>
      </c>
      <c r="J135" s="175" t="s">
        <v>18</v>
      </c>
      <c r="K135" s="175" t="s">
        <v>85</v>
      </c>
      <c r="L135" s="172" t="s">
        <v>86</v>
      </c>
      <c r="M135" s="172" t="s">
        <v>17</v>
      </c>
    </row>
    <row r="136" spans="1:13" x14ac:dyDescent="0.2">
      <c r="A136" s="172" t="s">
        <v>83</v>
      </c>
      <c r="B136" s="172" t="s">
        <v>84</v>
      </c>
      <c r="C136" s="172" t="s">
        <v>14</v>
      </c>
      <c r="D136" s="172" t="s">
        <v>15</v>
      </c>
      <c r="E136" s="173">
        <v>42984</v>
      </c>
      <c r="F136" s="174">
        <v>16.5</v>
      </c>
      <c r="G136" s="175" t="s">
        <v>16</v>
      </c>
      <c r="H136" s="172" t="s">
        <v>20</v>
      </c>
      <c r="I136" s="175">
        <v>1</v>
      </c>
      <c r="J136" s="175" t="s">
        <v>18</v>
      </c>
      <c r="K136" s="175" t="s">
        <v>85</v>
      </c>
      <c r="L136" s="172" t="s">
        <v>86</v>
      </c>
      <c r="M136" s="172" t="s">
        <v>76</v>
      </c>
    </row>
    <row r="137" spans="1:13" x14ac:dyDescent="0.2">
      <c r="A137" s="172" t="s">
        <v>83</v>
      </c>
      <c r="B137" s="172" t="s">
        <v>84</v>
      </c>
      <c r="C137" s="172" t="s">
        <v>14</v>
      </c>
      <c r="D137" s="172" t="s">
        <v>15</v>
      </c>
      <c r="E137" s="173">
        <v>42984</v>
      </c>
      <c r="F137" s="174">
        <v>45.961739999999999</v>
      </c>
      <c r="G137" s="175" t="s">
        <v>19</v>
      </c>
      <c r="H137" s="172" t="s">
        <v>20</v>
      </c>
      <c r="I137" s="175">
        <v>1</v>
      </c>
      <c r="J137" s="175" t="s">
        <v>18</v>
      </c>
      <c r="K137" s="175" t="s">
        <v>85</v>
      </c>
      <c r="L137" s="172" t="s">
        <v>86</v>
      </c>
      <c r="M137" s="172" t="s">
        <v>76</v>
      </c>
    </row>
    <row r="138" spans="1:13" x14ac:dyDescent="0.2">
      <c r="A138" s="172" t="s">
        <v>83</v>
      </c>
      <c r="B138" s="172" t="s">
        <v>84</v>
      </c>
      <c r="C138" s="172" t="s">
        <v>14</v>
      </c>
      <c r="D138" s="172" t="s">
        <v>15</v>
      </c>
      <c r="E138" s="173">
        <v>42970</v>
      </c>
      <c r="F138" s="174">
        <v>25</v>
      </c>
      <c r="G138" s="175" t="s">
        <v>16</v>
      </c>
      <c r="H138" s="172" t="s">
        <v>17</v>
      </c>
      <c r="I138" s="175">
        <v>1</v>
      </c>
      <c r="J138" s="175" t="s">
        <v>18</v>
      </c>
      <c r="K138" s="175" t="s">
        <v>85</v>
      </c>
      <c r="L138" s="172" t="s">
        <v>86</v>
      </c>
      <c r="M138" s="172" t="s">
        <v>17</v>
      </c>
    </row>
    <row r="139" spans="1:13" x14ac:dyDescent="0.2">
      <c r="A139" s="172" t="s">
        <v>83</v>
      </c>
      <c r="B139" s="172" t="s">
        <v>84</v>
      </c>
      <c r="C139" s="172" t="s">
        <v>14</v>
      </c>
      <c r="D139" s="172" t="s">
        <v>15</v>
      </c>
      <c r="E139" s="173">
        <v>42970</v>
      </c>
      <c r="F139" s="174">
        <v>81.523499999999999</v>
      </c>
      <c r="G139" s="175" t="s">
        <v>19</v>
      </c>
      <c r="H139" s="172" t="s">
        <v>17</v>
      </c>
      <c r="I139" s="175">
        <v>1</v>
      </c>
      <c r="J139" s="175" t="s">
        <v>18</v>
      </c>
      <c r="K139" s="175" t="s">
        <v>85</v>
      </c>
      <c r="L139" s="172" t="s">
        <v>86</v>
      </c>
      <c r="M139" s="172" t="s">
        <v>17</v>
      </c>
    </row>
    <row r="140" spans="1:13" x14ac:dyDescent="0.2">
      <c r="A140" s="172" t="s">
        <v>83</v>
      </c>
      <c r="B140" s="172" t="s">
        <v>84</v>
      </c>
      <c r="C140" s="172" t="s">
        <v>14</v>
      </c>
      <c r="D140" s="172" t="s">
        <v>15</v>
      </c>
      <c r="E140" s="173">
        <v>42970</v>
      </c>
      <c r="F140" s="174">
        <v>12.7</v>
      </c>
      <c r="G140" s="175" t="s">
        <v>16</v>
      </c>
      <c r="H140" s="172" t="s">
        <v>20</v>
      </c>
      <c r="I140" s="175">
        <v>1</v>
      </c>
      <c r="J140" s="175" t="s">
        <v>18</v>
      </c>
      <c r="K140" s="175" t="s">
        <v>85</v>
      </c>
      <c r="L140" s="172" t="s">
        <v>86</v>
      </c>
      <c r="M140" s="172" t="s">
        <v>76</v>
      </c>
    </row>
    <row r="141" spans="1:13" x14ac:dyDescent="0.2">
      <c r="A141" s="172" t="s">
        <v>83</v>
      </c>
      <c r="B141" s="172" t="s">
        <v>84</v>
      </c>
      <c r="C141" s="172" t="s">
        <v>14</v>
      </c>
      <c r="D141" s="172" t="s">
        <v>15</v>
      </c>
      <c r="E141" s="173">
        <v>42970</v>
      </c>
      <c r="F141" s="174">
        <v>41.413938000000002</v>
      </c>
      <c r="G141" s="175" t="s">
        <v>19</v>
      </c>
      <c r="H141" s="172" t="s">
        <v>20</v>
      </c>
      <c r="I141" s="175">
        <v>1</v>
      </c>
      <c r="J141" s="175" t="s">
        <v>18</v>
      </c>
      <c r="K141" s="175" t="s">
        <v>85</v>
      </c>
      <c r="L141" s="172" t="s">
        <v>86</v>
      </c>
      <c r="M141" s="172" t="s">
        <v>76</v>
      </c>
    </row>
    <row r="142" spans="1:13" x14ac:dyDescent="0.2">
      <c r="A142" s="172" t="s">
        <v>83</v>
      </c>
      <c r="B142" s="172" t="s">
        <v>84</v>
      </c>
      <c r="C142" s="172" t="s">
        <v>14</v>
      </c>
      <c r="D142" s="172" t="s">
        <v>15</v>
      </c>
      <c r="E142" s="173">
        <v>42963</v>
      </c>
      <c r="F142" s="174">
        <v>28.6</v>
      </c>
      <c r="G142" s="175" t="s">
        <v>16</v>
      </c>
      <c r="H142" s="172" t="s">
        <v>17</v>
      </c>
      <c r="I142" s="175">
        <v>1</v>
      </c>
      <c r="J142" s="175" t="s">
        <v>18</v>
      </c>
      <c r="K142" s="175" t="s">
        <v>85</v>
      </c>
      <c r="L142" s="172" t="s">
        <v>86</v>
      </c>
      <c r="M142" s="172" t="s">
        <v>17</v>
      </c>
    </row>
    <row r="143" spans="1:13" x14ac:dyDescent="0.2">
      <c r="A143" s="172" t="s">
        <v>83</v>
      </c>
      <c r="B143" s="172" t="s">
        <v>84</v>
      </c>
      <c r="C143" s="172" t="s">
        <v>14</v>
      </c>
      <c r="D143" s="172" t="s">
        <v>15</v>
      </c>
      <c r="E143" s="173">
        <v>42963</v>
      </c>
      <c r="F143" s="174">
        <v>82.529303999999996</v>
      </c>
      <c r="G143" s="175" t="s">
        <v>19</v>
      </c>
      <c r="H143" s="172" t="s">
        <v>17</v>
      </c>
      <c r="I143" s="175">
        <v>1</v>
      </c>
      <c r="J143" s="175" t="s">
        <v>18</v>
      </c>
      <c r="K143" s="175" t="s">
        <v>85</v>
      </c>
      <c r="L143" s="172" t="s">
        <v>86</v>
      </c>
      <c r="M143" s="172" t="s">
        <v>17</v>
      </c>
    </row>
    <row r="144" spans="1:13" x14ac:dyDescent="0.2">
      <c r="A144" s="172" t="s">
        <v>83</v>
      </c>
      <c r="B144" s="172" t="s">
        <v>84</v>
      </c>
      <c r="C144" s="172" t="s">
        <v>14</v>
      </c>
      <c r="D144" s="172" t="s">
        <v>15</v>
      </c>
      <c r="E144" s="173">
        <v>42963</v>
      </c>
      <c r="F144" s="174">
        <v>13</v>
      </c>
      <c r="G144" s="175" t="s">
        <v>16</v>
      </c>
      <c r="H144" s="172" t="s">
        <v>20</v>
      </c>
      <c r="I144" s="175">
        <v>1</v>
      </c>
      <c r="J144" s="175" t="s">
        <v>18</v>
      </c>
      <c r="K144" s="175" t="s">
        <v>85</v>
      </c>
      <c r="L144" s="172" t="s">
        <v>86</v>
      </c>
      <c r="M144" s="172" t="s">
        <v>76</v>
      </c>
    </row>
    <row r="145" spans="1:13" x14ac:dyDescent="0.2">
      <c r="A145" s="172" t="s">
        <v>83</v>
      </c>
      <c r="B145" s="172" t="s">
        <v>84</v>
      </c>
      <c r="C145" s="172" t="s">
        <v>14</v>
      </c>
      <c r="D145" s="172" t="s">
        <v>15</v>
      </c>
      <c r="E145" s="173">
        <v>42963</v>
      </c>
      <c r="F145" s="174">
        <v>37.51332</v>
      </c>
      <c r="G145" s="175" t="s">
        <v>19</v>
      </c>
      <c r="H145" s="172" t="s">
        <v>20</v>
      </c>
      <c r="I145" s="175">
        <v>1</v>
      </c>
      <c r="J145" s="175" t="s">
        <v>18</v>
      </c>
      <c r="K145" s="175" t="s">
        <v>85</v>
      </c>
      <c r="L145" s="172" t="s">
        <v>86</v>
      </c>
      <c r="M145" s="172" t="s">
        <v>76</v>
      </c>
    </row>
    <row r="146" spans="1:13" x14ac:dyDescent="0.2">
      <c r="A146" s="172" t="s">
        <v>83</v>
      </c>
      <c r="B146" s="172" t="s">
        <v>84</v>
      </c>
      <c r="C146" s="172" t="s">
        <v>14</v>
      </c>
      <c r="D146" s="172" t="s">
        <v>15</v>
      </c>
      <c r="E146" s="173">
        <v>42956</v>
      </c>
      <c r="F146" s="174">
        <v>27</v>
      </c>
      <c r="G146" s="175" t="s">
        <v>16</v>
      </c>
      <c r="H146" s="172" t="s">
        <v>17</v>
      </c>
      <c r="I146" s="175">
        <v>1</v>
      </c>
      <c r="J146" s="175" t="s">
        <v>18</v>
      </c>
      <c r="K146" s="175" t="s">
        <v>85</v>
      </c>
      <c r="L146" s="172" t="s">
        <v>86</v>
      </c>
      <c r="M146" s="172" t="s">
        <v>17</v>
      </c>
    </row>
    <row r="147" spans="1:13" x14ac:dyDescent="0.2">
      <c r="A147" s="172" t="s">
        <v>83</v>
      </c>
      <c r="B147" s="172" t="s">
        <v>84</v>
      </c>
      <c r="C147" s="172" t="s">
        <v>14</v>
      </c>
      <c r="D147" s="172" t="s">
        <v>15</v>
      </c>
      <c r="E147" s="173">
        <v>42956</v>
      </c>
      <c r="F147" s="174">
        <v>83.766959999999997</v>
      </c>
      <c r="G147" s="175" t="s">
        <v>19</v>
      </c>
      <c r="H147" s="172" t="s">
        <v>17</v>
      </c>
      <c r="I147" s="175">
        <v>1</v>
      </c>
      <c r="J147" s="175" t="s">
        <v>18</v>
      </c>
      <c r="K147" s="175" t="s">
        <v>85</v>
      </c>
      <c r="L147" s="172" t="s">
        <v>86</v>
      </c>
      <c r="M147" s="172" t="s">
        <v>17</v>
      </c>
    </row>
    <row r="148" spans="1:13" x14ac:dyDescent="0.2">
      <c r="A148" s="172" t="s">
        <v>83</v>
      </c>
      <c r="B148" s="172" t="s">
        <v>84</v>
      </c>
      <c r="C148" s="172" t="s">
        <v>14</v>
      </c>
      <c r="D148" s="172" t="s">
        <v>15</v>
      </c>
      <c r="E148" s="173">
        <v>42956</v>
      </c>
      <c r="F148" s="174">
        <v>11.7</v>
      </c>
      <c r="G148" s="175" t="s">
        <v>16</v>
      </c>
      <c r="H148" s="172" t="s">
        <v>20</v>
      </c>
      <c r="I148" s="175">
        <v>1</v>
      </c>
      <c r="J148" s="175" t="s">
        <v>18</v>
      </c>
      <c r="K148" s="175" t="s">
        <v>85</v>
      </c>
      <c r="L148" s="172" t="s">
        <v>86</v>
      </c>
      <c r="M148" s="172" t="s">
        <v>76</v>
      </c>
    </row>
    <row r="149" spans="1:13" x14ac:dyDescent="0.2">
      <c r="A149" s="172" t="s">
        <v>83</v>
      </c>
      <c r="B149" s="172" t="s">
        <v>84</v>
      </c>
      <c r="C149" s="172" t="s">
        <v>14</v>
      </c>
      <c r="D149" s="172" t="s">
        <v>15</v>
      </c>
      <c r="E149" s="173">
        <v>42956</v>
      </c>
      <c r="F149" s="174">
        <v>36.299016000000002</v>
      </c>
      <c r="G149" s="175" t="s">
        <v>19</v>
      </c>
      <c r="H149" s="172" t="s">
        <v>20</v>
      </c>
      <c r="I149" s="175">
        <v>1</v>
      </c>
      <c r="J149" s="175" t="s">
        <v>18</v>
      </c>
      <c r="K149" s="175" t="s">
        <v>85</v>
      </c>
      <c r="L149" s="172" t="s">
        <v>86</v>
      </c>
      <c r="M149" s="172" t="s">
        <v>76</v>
      </c>
    </row>
    <row r="150" spans="1:13" x14ac:dyDescent="0.2">
      <c r="A150" s="172" t="s">
        <v>83</v>
      </c>
      <c r="B150" s="172" t="s">
        <v>84</v>
      </c>
      <c r="C150" s="172" t="s">
        <v>14</v>
      </c>
      <c r="D150" s="172" t="s">
        <v>15</v>
      </c>
      <c r="E150" s="173">
        <v>42949</v>
      </c>
      <c r="F150" s="174">
        <v>28.5</v>
      </c>
      <c r="G150" s="175" t="s">
        <v>16</v>
      </c>
      <c r="H150" s="172" t="s">
        <v>17</v>
      </c>
      <c r="I150" s="175">
        <v>1</v>
      </c>
      <c r="J150" s="175" t="s">
        <v>18</v>
      </c>
      <c r="K150" s="175" t="s">
        <v>85</v>
      </c>
      <c r="L150" s="172" t="s">
        <v>86</v>
      </c>
      <c r="M150" s="172" t="s">
        <v>17</v>
      </c>
    </row>
    <row r="151" spans="1:13" x14ac:dyDescent="0.2">
      <c r="A151" s="172" t="s">
        <v>83</v>
      </c>
      <c r="B151" s="172" t="s">
        <v>84</v>
      </c>
      <c r="C151" s="172" t="s">
        <v>14</v>
      </c>
      <c r="D151" s="172" t="s">
        <v>15</v>
      </c>
      <c r="E151" s="173">
        <v>42949</v>
      </c>
      <c r="F151" s="174">
        <v>78.200010000000006</v>
      </c>
      <c r="G151" s="175" t="s">
        <v>19</v>
      </c>
      <c r="H151" s="172" t="s">
        <v>17</v>
      </c>
      <c r="I151" s="175">
        <v>1</v>
      </c>
      <c r="J151" s="175" t="s">
        <v>18</v>
      </c>
      <c r="K151" s="175" t="s">
        <v>85</v>
      </c>
      <c r="L151" s="172" t="s">
        <v>86</v>
      </c>
      <c r="M151" s="172" t="s">
        <v>17</v>
      </c>
    </row>
    <row r="152" spans="1:13" x14ac:dyDescent="0.2">
      <c r="A152" s="172" t="s">
        <v>83</v>
      </c>
      <c r="B152" s="172" t="s">
        <v>84</v>
      </c>
      <c r="C152" s="172" t="s">
        <v>14</v>
      </c>
      <c r="D152" s="172" t="s">
        <v>15</v>
      </c>
      <c r="E152" s="173">
        <v>42949</v>
      </c>
      <c r="F152" s="174">
        <v>10.3</v>
      </c>
      <c r="G152" s="175" t="s">
        <v>16</v>
      </c>
      <c r="H152" s="172" t="s">
        <v>20</v>
      </c>
      <c r="I152" s="175">
        <v>1</v>
      </c>
      <c r="J152" s="175" t="s">
        <v>18</v>
      </c>
      <c r="K152" s="175" t="s">
        <v>85</v>
      </c>
      <c r="L152" s="172" t="s">
        <v>86</v>
      </c>
      <c r="M152" s="172" t="s">
        <v>76</v>
      </c>
    </row>
    <row r="153" spans="1:13" x14ac:dyDescent="0.2">
      <c r="A153" s="172" t="s">
        <v>83</v>
      </c>
      <c r="B153" s="172" t="s">
        <v>84</v>
      </c>
      <c r="C153" s="172" t="s">
        <v>14</v>
      </c>
      <c r="D153" s="172" t="s">
        <v>15</v>
      </c>
      <c r="E153" s="173">
        <v>42949</v>
      </c>
      <c r="F153" s="174">
        <v>28.261758</v>
      </c>
      <c r="G153" s="175" t="s">
        <v>19</v>
      </c>
      <c r="H153" s="172" t="s">
        <v>20</v>
      </c>
      <c r="I153" s="175">
        <v>1</v>
      </c>
      <c r="J153" s="175" t="s">
        <v>18</v>
      </c>
      <c r="K153" s="175" t="s">
        <v>85</v>
      </c>
      <c r="L153" s="172" t="s">
        <v>86</v>
      </c>
      <c r="M153" s="172" t="s">
        <v>76</v>
      </c>
    </row>
    <row r="154" spans="1:13" x14ac:dyDescent="0.2">
      <c r="A154" s="172" t="s">
        <v>83</v>
      </c>
      <c r="B154" s="172" t="s">
        <v>84</v>
      </c>
      <c r="C154" s="172" t="s">
        <v>14</v>
      </c>
      <c r="D154" s="172" t="s">
        <v>15</v>
      </c>
      <c r="E154" s="173">
        <v>42940</v>
      </c>
      <c r="F154" s="174">
        <v>25</v>
      </c>
      <c r="G154" s="175" t="s">
        <v>16</v>
      </c>
      <c r="H154" s="172" t="s">
        <v>17</v>
      </c>
      <c r="I154" s="175">
        <v>1</v>
      </c>
      <c r="J154" s="175" t="s">
        <v>18</v>
      </c>
      <c r="K154" s="175" t="s">
        <v>85</v>
      </c>
      <c r="L154" s="172" t="s">
        <v>86</v>
      </c>
      <c r="M154" s="172" t="s">
        <v>17</v>
      </c>
    </row>
    <row r="155" spans="1:13" x14ac:dyDescent="0.2">
      <c r="A155" s="172" t="s">
        <v>83</v>
      </c>
      <c r="B155" s="172" t="s">
        <v>84</v>
      </c>
      <c r="C155" s="172" t="s">
        <v>14</v>
      </c>
      <c r="D155" s="172" t="s">
        <v>15</v>
      </c>
      <c r="E155" s="173">
        <v>42940</v>
      </c>
      <c r="F155" s="174">
        <v>80.897999999999996</v>
      </c>
      <c r="G155" s="175" t="s">
        <v>19</v>
      </c>
      <c r="H155" s="172" t="s">
        <v>17</v>
      </c>
      <c r="I155" s="175">
        <v>1</v>
      </c>
      <c r="J155" s="175" t="s">
        <v>18</v>
      </c>
      <c r="K155" s="175" t="s">
        <v>85</v>
      </c>
      <c r="L155" s="172" t="s">
        <v>86</v>
      </c>
      <c r="M155" s="172" t="s">
        <v>17</v>
      </c>
    </row>
    <row r="156" spans="1:13" x14ac:dyDescent="0.2">
      <c r="A156" s="172" t="s">
        <v>83</v>
      </c>
      <c r="B156" s="172" t="s">
        <v>84</v>
      </c>
      <c r="C156" s="172" t="s">
        <v>14</v>
      </c>
      <c r="D156" s="172" t="s">
        <v>15</v>
      </c>
      <c r="E156" s="173">
        <v>42940</v>
      </c>
      <c r="F156" s="174">
        <v>9.39</v>
      </c>
      <c r="G156" s="175" t="s">
        <v>16</v>
      </c>
      <c r="H156" s="172" t="s">
        <v>20</v>
      </c>
      <c r="I156" s="175">
        <v>1</v>
      </c>
      <c r="J156" s="175" t="s">
        <v>18</v>
      </c>
      <c r="K156" s="175" t="s">
        <v>85</v>
      </c>
      <c r="L156" s="172" t="s">
        <v>86</v>
      </c>
      <c r="M156" s="172" t="s">
        <v>76</v>
      </c>
    </row>
    <row r="157" spans="1:13" x14ac:dyDescent="0.2">
      <c r="A157" s="172" t="s">
        <v>83</v>
      </c>
      <c r="B157" s="172" t="s">
        <v>84</v>
      </c>
      <c r="C157" s="172" t="s">
        <v>14</v>
      </c>
      <c r="D157" s="172" t="s">
        <v>15</v>
      </c>
      <c r="E157" s="173">
        <v>42940</v>
      </c>
      <c r="F157" s="174">
        <v>30.385288800000001</v>
      </c>
      <c r="G157" s="175" t="s">
        <v>19</v>
      </c>
      <c r="H157" s="172" t="s">
        <v>20</v>
      </c>
      <c r="I157" s="175">
        <v>1</v>
      </c>
      <c r="J157" s="175" t="s">
        <v>18</v>
      </c>
      <c r="K157" s="175" t="s">
        <v>85</v>
      </c>
      <c r="L157" s="172" t="s">
        <v>86</v>
      </c>
      <c r="M157" s="172" t="s">
        <v>76</v>
      </c>
    </row>
    <row r="158" spans="1:13" x14ac:dyDescent="0.2">
      <c r="A158" s="172" t="s">
        <v>83</v>
      </c>
      <c r="B158" s="172" t="s">
        <v>84</v>
      </c>
      <c r="C158" s="172" t="s">
        <v>14</v>
      </c>
      <c r="D158" s="172" t="s">
        <v>15</v>
      </c>
      <c r="E158" s="173">
        <v>42935</v>
      </c>
      <c r="F158" s="174">
        <v>24.1</v>
      </c>
      <c r="G158" s="175" t="s">
        <v>16</v>
      </c>
      <c r="H158" s="172" t="s">
        <v>17</v>
      </c>
      <c r="I158" s="175">
        <v>1</v>
      </c>
      <c r="J158" s="175" t="s">
        <v>18</v>
      </c>
      <c r="K158" s="175" t="s">
        <v>85</v>
      </c>
      <c r="L158" s="172" t="s">
        <v>86</v>
      </c>
      <c r="M158" s="172" t="s">
        <v>17</v>
      </c>
    </row>
    <row r="159" spans="1:13" x14ac:dyDescent="0.2">
      <c r="A159" s="172" t="s">
        <v>83</v>
      </c>
      <c r="B159" s="172" t="s">
        <v>84</v>
      </c>
      <c r="C159" s="172" t="s">
        <v>14</v>
      </c>
      <c r="D159" s="172" t="s">
        <v>15</v>
      </c>
      <c r="E159" s="173">
        <v>42935</v>
      </c>
      <c r="F159" s="174">
        <v>79.794618</v>
      </c>
      <c r="G159" s="175" t="s">
        <v>19</v>
      </c>
      <c r="H159" s="172" t="s">
        <v>17</v>
      </c>
      <c r="I159" s="175">
        <v>1</v>
      </c>
      <c r="J159" s="175" t="s">
        <v>18</v>
      </c>
      <c r="K159" s="175" t="s">
        <v>85</v>
      </c>
      <c r="L159" s="172" t="s">
        <v>86</v>
      </c>
      <c r="M159" s="172" t="s">
        <v>17</v>
      </c>
    </row>
    <row r="160" spans="1:13" x14ac:dyDescent="0.2">
      <c r="A160" s="172" t="s">
        <v>83</v>
      </c>
      <c r="B160" s="172" t="s">
        <v>84</v>
      </c>
      <c r="C160" s="172" t="s">
        <v>14</v>
      </c>
      <c r="D160" s="172" t="s">
        <v>15</v>
      </c>
      <c r="E160" s="173">
        <v>42935</v>
      </c>
      <c r="F160" s="174">
        <v>12.1</v>
      </c>
      <c r="G160" s="175" t="s">
        <v>16</v>
      </c>
      <c r="H160" s="172" t="s">
        <v>20</v>
      </c>
      <c r="I160" s="175">
        <v>1</v>
      </c>
      <c r="J160" s="175" t="s">
        <v>18</v>
      </c>
      <c r="K160" s="175" t="s">
        <v>85</v>
      </c>
      <c r="L160" s="172" t="s">
        <v>86</v>
      </c>
      <c r="M160" s="172" t="s">
        <v>76</v>
      </c>
    </row>
    <row r="161" spans="1:14" x14ac:dyDescent="0.2">
      <c r="A161" s="172" t="s">
        <v>83</v>
      </c>
      <c r="B161" s="172" t="s">
        <v>84</v>
      </c>
      <c r="C161" s="172" t="s">
        <v>14</v>
      </c>
      <c r="D161" s="172" t="s">
        <v>15</v>
      </c>
      <c r="E161" s="173">
        <v>42935</v>
      </c>
      <c r="F161" s="174">
        <v>40.062857999999999</v>
      </c>
      <c r="G161" s="175" t="s">
        <v>19</v>
      </c>
      <c r="H161" s="172" t="s">
        <v>20</v>
      </c>
      <c r="I161" s="175">
        <v>1</v>
      </c>
      <c r="J161" s="175" t="s">
        <v>18</v>
      </c>
      <c r="K161" s="175" t="s">
        <v>85</v>
      </c>
      <c r="L161" s="172" t="s">
        <v>86</v>
      </c>
      <c r="M161" s="172" t="s">
        <v>76</v>
      </c>
    </row>
    <row r="162" spans="1:14" x14ac:dyDescent="0.2">
      <c r="A162" s="172" t="s">
        <v>83</v>
      </c>
      <c r="B162" s="172" t="s">
        <v>84</v>
      </c>
      <c r="C162" s="172" t="s">
        <v>14</v>
      </c>
      <c r="D162" s="172" t="s">
        <v>15</v>
      </c>
      <c r="E162" s="173">
        <v>42928</v>
      </c>
      <c r="F162" s="174">
        <v>24.1</v>
      </c>
      <c r="G162" s="175" t="s">
        <v>16</v>
      </c>
      <c r="H162" s="172" t="s">
        <v>17</v>
      </c>
      <c r="I162" s="175">
        <v>1</v>
      </c>
      <c r="J162" s="175" t="s">
        <v>18</v>
      </c>
      <c r="K162" s="175" t="s">
        <v>85</v>
      </c>
      <c r="L162" s="172" t="s">
        <v>86</v>
      </c>
      <c r="M162" s="172" t="s">
        <v>17</v>
      </c>
    </row>
    <row r="163" spans="1:14" x14ac:dyDescent="0.2">
      <c r="A163" s="172" t="s">
        <v>83</v>
      </c>
      <c r="B163" s="172" t="s">
        <v>84</v>
      </c>
      <c r="C163" s="172" t="s">
        <v>14</v>
      </c>
      <c r="D163" s="172" t="s">
        <v>15</v>
      </c>
      <c r="E163" s="173">
        <v>42928</v>
      </c>
      <c r="F163" s="174">
        <v>85.020461999999995</v>
      </c>
      <c r="G163" s="175" t="s">
        <v>19</v>
      </c>
      <c r="H163" s="172" t="s">
        <v>17</v>
      </c>
      <c r="I163" s="175">
        <v>1</v>
      </c>
      <c r="J163" s="175" t="s">
        <v>18</v>
      </c>
      <c r="K163" s="175" t="s">
        <v>85</v>
      </c>
      <c r="L163" s="172" t="s">
        <v>86</v>
      </c>
      <c r="M163" s="172" t="s">
        <v>17</v>
      </c>
    </row>
    <row r="164" spans="1:14" x14ac:dyDescent="0.2">
      <c r="A164" s="172" t="s">
        <v>83</v>
      </c>
      <c r="B164" s="172" t="s">
        <v>84</v>
      </c>
      <c r="C164" s="172" t="s">
        <v>14</v>
      </c>
      <c r="D164" s="172" t="s">
        <v>15</v>
      </c>
      <c r="E164" s="173">
        <v>42928</v>
      </c>
      <c r="F164" s="174">
        <v>11.2</v>
      </c>
      <c r="G164" s="175" t="s">
        <v>16</v>
      </c>
      <c r="H164" s="172" t="s">
        <v>20</v>
      </c>
      <c r="I164" s="175">
        <v>1</v>
      </c>
      <c r="J164" s="175" t="s">
        <v>18</v>
      </c>
      <c r="K164" s="175" t="s">
        <v>85</v>
      </c>
      <c r="L164" s="172" t="s">
        <v>86</v>
      </c>
      <c r="M164" s="172" t="s">
        <v>76</v>
      </c>
    </row>
    <row r="165" spans="1:14" x14ac:dyDescent="0.2">
      <c r="A165" s="172" t="s">
        <v>83</v>
      </c>
      <c r="B165" s="172" t="s">
        <v>84</v>
      </c>
      <c r="C165" s="172" t="s">
        <v>14</v>
      </c>
      <c r="D165" s="172" t="s">
        <v>15</v>
      </c>
      <c r="E165" s="173">
        <v>42928</v>
      </c>
      <c r="F165" s="174">
        <v>39.511583999999999</v>
      </c>
      <c r="G165" s="175" t="s">
        <v>19</v>
      </c>
      <c r="H165" s="172" t="s">
        <v>20</v>
      </c>
      <c r="I165" s="175">
        <v>1</v>
      </c>
      <c r="J165" s="175" t="s">
        <v>18</v>
      </c>
      <c r="K165" s="175" t="s">
        <v>85</v>
      </c>
      <c r="L165" s="172" t="s">
        <v>86</v>
      </c>
      <c r="M165" s="172" t="s">
        <v>76</v>
      </c>
    </row>
    <row r="166" spans="1:14" x14ac:dyDescent="0.2">
      <c r="A166" s="172" t="s">
        <v>83</v>
      </c>
      <c r="B166" s="172" t="s">
        <v>84</v>
      </c>
      <c r="C166" s="172" t="s">
        <v>14</v>
      </c>
      <c r="D166" s="172" t="s">
        <v>15</v>
      </c>
      <c r="E166" s="173">
        <v>42921</v>
      </c>
      <c r="F166" s="174">
        <v>20.100000000000001</v>
      </c>
      <c r="G166" s="175" t="s">
        <v>16</v>
      </c>
      <c r="H166" s="172" t="s">
        <v>17</v>
      </c>
      <c r="I166" s="175">
        <v>1</v>
      </c>
      <c r="J166" s="175" t="s">
        <v>18</v>
      </c>
      <c r="K166" s="175" t="s">
        <v>85</v>
      </c>
      <c r="L166" s="172" t="s">
        <v>86</v>
      </c>
      <c r="M166" s="172" t="s">
        <v>17</v>
      </c>
    </row>
    <row r="167" spans="1:14" x14ac:dyDescent="0.2">
      <c r="A167" s="172" t="s">
        <v>83</v>
      </c>
      <c r="B167" s="172" t="s">
        <v>84</v>
      </c>
      <c r="C167" s="172" t="s">
        <v>14</v>
      </c>
      <c r="D167" s="172" t="s">
        <v>15</v>
      </c>
      <c r="E167" s="173">
        <v>42921</v>
      </c>
      <c r="F167" s="174">
        <v>94.545575999999997</v>
      </c>
      <c r="G167" s="175" t="s">
        <v>19</v>
      </c>
      <c r="H167" s="172" t="s">
        <v>17</v>
      </c>
      <c r="I167" s="175">
        <v>1</v>
      </c>
      <c r="J167" s="175" t="s">
        <v>18</v>
      </c>
      <c r="K167" s="175" t="s">
        <v>85</v>
      </c>
      <c r="L167" s="172" t="s">
        <v>86</v>
      </c>
      <c r="M167" s="172" t="s">
        <v>17</v>
      </c>
    </row>
    <row r="168" spans="1:14" x14ac:dyDescent="0.2">
      <c r="A168" s="172" t="s">
        <v>83</v>
      </c>
      <c r="B168" s="172" t="s">
        <v>84</v>
      </c>
      <c r="C168" s="172" t="s">
        <v>14</v>
      </c>
      <c r="D168" s="172" t="s">
        <v>15</v>
      </c>
      <c r="E168" s="173">
        <v>42921</v>
      </c>
      <c r="F168" s="174">
        <v>7.45</v>
      </c>
      <c r="G168" s="175" t="s">
        <v>16</v>
      </c>
      <c r="H168" s="172" t="s">
        <v>20</v>
      </c>
      <c r="I168" s="175">
        <v>1</v>
      </c>
      <c r="J168" s="175" t="s">
        <v>18</v>
      </c>
      <c r="K168" s="175" t="s">
        <v>85</v>
      </c>
      <c r="L168" s="172" t="s">
        <v>86</v>
      </c>
      <c r="M168" s="172" t="s">
        <v>76</v>
      </c>
    </row>
    <row r="169" spans="1:14" x14ac:dyDescent="0.2">
      <c r="A169" s="172" t="s">
        <v>83</v>
      </c>
      <c r="B169" s="172" t="s">
        <v>84</v>
      </c>
      <c r="C169" s="172" t="s">
        <v>14</v>
      </c>
      <c r="D169" s="172" t="s">
        <v>15</v>
      </c>
      <c r="E169" s="173">
        <v>42921</v>
      </c>
      <c r="F169" s="174">
        <v>35.043011999999997</v>
      </c>
      <c r="G169" s="175" t="s">
        <v>19</v>
      </c>
      <c r="H169" s="172" t="s">
        <v>20</v>
      </c>
      <c r="I169" s="175">
        <v>1</v>
      </c>
      <c r="J169" s="175" t="s">
        <v>18</v>
      </c>
      <c r="K169" s="175" t="s">
        <v>85</v>
      </c>
      <c r="L169" s="172" t="s">
        <v>86</v>
      </c>
      <c r="M169" s="172" t="s">
        <v>76</v>
      </c>
    </row>
    <row r="170" spans="1:14" x14ac:dyDescent="0.2">
      <c r="A170" s="172" t="s">
        <v>83</v>
      </c>
      <c r="B170" s="172" t="s">
        <v>84</v>
      </c>
      <c r="C170" s="172" t="s">
        <v>14</v>
      </c>
      <c r="D170" s="172" t="s">
        <v>15</v>
      </c>
      <c r="E170" s="173">
        <v>42912</v>
      </c>
      <c r="F170" s="179">
        <v>26.02</v>
      </c>
      <c r="G170" s="181" t="s">
        <v>16</v>
      </c>
      <c r="H170" s="182" t="s">
        <v>17</v>
      </c>
      <c r="I170" s="175">
        <v>1</v>
      </c>
      <c r="J170" s="175" t="s">
        <v>18</v>
      </c>
      <c r="K170" s="175" t="s">
        <v>85</v>
      </c>
      <c r="L170" s="172" t="s">
        <v>86</v>
      </c>
      <c r="M170" s="172" t="s">
        <v>17</v>
      </c>
      <c r="N170" s="179">
        <v>2602</v>
      </c>
    </row>
    <row r="171" spans="1:14" x14ac:dyDescent="0.2">
      <c r="A171" s="172" t="s">
        <v>83</v>
      </c>
      <c r="B171" s="172" t="s">
        <v>84</v>
      </c>
      <c r="C171" s="172" t="s">
        <v>14</v>
      </c>
      <c r="D171" s="172" t="s">
        <v>15</v>
      </c>
      <c r="E171" s="173">
        <v>42912</v>
      </c>
      <c r="F171" s="179">
        <v>99.38</v>
      </c>
      <c r="G171" s="181" t="s">
        <v>19</v>
      </c>
      <c r="H171" s="182" t="s">
        <v>17</v>
      </c>
      <c r="I171" s="175">
        <v>1</v>
      </c>
      <c r="J171" s="175" t="s">
        <v>18</v>
      </c>
      <c r="K171" s="175" t="s">
        <v>85</v>
      </c>
      <c r="L171" s="172" t="s">
        <v>86</v>
      </c>
      <c r="M171" s="172" t="s">
        <v>17</v>
      </c>
      <c r="N171" s="179">
        <v>9938.9114399999999</v>
      </c>
    </row>
    <row r="172" spans="1:14" x14ac:dyDescent="0.2">
      <c r="A172" s="172" t="s">
        <v>83</v>
      </c>
      <c r="B172" s="172" t="s">
        <v>84</v>
      </c>
      <c r="C172" s="172" t="s">
        <v>14</v>
      </c>
      <c r="D172" s="172" t="s">
        <v>15</v>
      </c>
      <c r="E172" s="173">
        <v>42912</v>
      </c>
      <c r="F172" s="174">
        <v>6.69</v>
      </c>
      <c r="G172" s="175" t="s">
        <v>16</v>
      </c>
      <c r="H172" s="172" t="s">
        <v>20</v>
      </c>
      <c r="I172" s="175">
        <v>1</v>
      </c>
      <c r="J172" s="175" t="s">
        <v>18</v>
      </c>
      <c r="K172" s="175" t="s">
        <v>85</v>
      </c>
      <c r="L172" s="172" t="s">
        <v>86</v>
      </c>
      <c r="M172" s="172" t="s">
        <v>76</v>
      </c>
    </row>
    <row r="173" spans="1:14" x14ac:dyDescent="0.2">
      <c r="A173" s="172" t="s">
        <v>83</v>
      </c>
      <c r="B173" s="172" t="s">
        <v>84</v>
      </c>
      <c r="C173" s="172" t="s">
        <v>14</v>
      </c>
      <c r="D173" s="172" t="s">
        <v>15</v>
      </c>
      <c r="E173" s="173">
        <v>42912</v>
      </c>
      <c r="F173" s="174">
        <v>25.553926799999999</v>
      </c>
      <c r="G173" s="175" t="s">
        <v>19</v>
      </c>
      <c r="H173" s="172" t="s">
        <v>20</v>
      </c>
      <c r="I173" s="175">
        <v>1</v>
      </c>
      <c r="J173" s="175" t="s">
        <v>18</v>
      </c>
      <c r="K173" s="175" t="s">
        <v>85</v>
      </c>
      <c r="L173" s="172" t="s">
        <v>86</v>
      </c>
      <c r="M173" s="172" t="s">
        <v>76</v>
      </c>
    </row>
    <row r="174" spans="1:14" x14ac:dyDescent="0.2">
      <c r="A174" s="172" t="s">
        <v>83</v>
      </c>
      <c r="B174" s="172" t="s">
        <v>84</v>
      </c>
      <c r="C174" s="172" t="s">
        <v>14</v>
      </c>
      <c r="D174" s="172" t="s">
        <v>15</v>
      </c>
      <c r="E174" s="173">
        <v>42907</v>
      </c>
      <c r="F174" s="174">
        <v>20.100000000000001</v>
      </c>
      <c r="G174" s="175" t="s">
        <v>16</v>
      </c>
      <c r="H174" s="172" t="s">
        <v>17</v>
      </c>
      <c r="I174" s="175">
        <v>1</v>
      </c>
      <c r="J174" s="175" t="s">
        <v>18</v>
      </c>
      <c r="K174" s="175" t="s">
        <v>85</v>
      </c>
      <c r="L174" s="172" t="s">
        <v>86</v>
      </c>
      <c r="M174" s="172" t="s">
        <v>17</v>
      </c>
    </row>
    <row r="175" spans="1:14" x14ac:dyDescent="0.2">
      <c r="A175" s="172" t="s">
        <v>83</v>
      </c>
      <c r="B175" s="172" t="s">
        <v>84</v>
      </c>
      <c r="C175" s="172" t="s">
        <v>14</v>
      </c>
      <c r="D175" s="172" t="s">
        <v>15</v>
      </c>
      <c r="E175" s="173">
        <v>42907</v>
      </c>
      <c r="F175" s="174">
        <v>81.973026000000004</v>
      </c>
      <c r="G175" s="175" t="s">
        <v>19</v>
      </c>
      <c r="H175" s="172" t="s">
        <v>17</v>
      </c>
      <c r="I175" s="175">
        <v>1</v>
      </c>
      <c r="J175" s="175" t="s">
        <v>18</v>
      </c>
      <c r="K175" s="175" t="s">
        <v>85</v>
      </c>
      <c r="L175" s="172" t="s">
        <v>86</v>
      </c>
      <c r="M175" s="172" t="s">
        <v>17</v>
      </c>
    </row>
    <row r="176" spans="1:14" x14ac:dyDescent="0.2">
      <c r="A176" s="172" t="s">
        <v>83</v>
      </c>
      <c r="B176" s="172" t="s">
        <v>84</v>
      </c>
      <c r="C176" s="172" t="s">
        <v>14</v>
      </c>
      <c r="D176" s="172" t="s">
        <v>15</v>
      </c>
      <c r="E176" s="173">
        <v>42907</v>
      </c>
      <c r="F176" s="174">
        <v>7</v>
      </c>
      <c r="G176" s="175" t="s">
        <v>16</v>
      </c>
      <c r="H176" s="172" t="s">
        <v>20</v>
      </c>
      <c r="I176" s="175">
        <v>1</v>
      </c>
      <c r="J176" s="175" t="s">
        <v>18</v>
      </c>
      <c r="K176" s="175" t="s">
        <v>85</v>
      </c>
      <c r="L176" s="172" t="s">
        <v>86</v>
      </c>
      <c r="M176" s="172" t="s">
        <v>76</v>
      </c>
    </row>
    <row r="177" spans="1:13" x14ac:dyDescent="0.2">
      <c r="A177" s="172" t="s">
        <v>83</v>
      </c>
      <c r="B177" s="172" t="s">
        <v>84</v>
      </c>
      <c r="C177" s="172" t="s">
        <v>14</v>
      </c>
      <c r="D177" s="172" t="s">
        <v>15</v>
      </c>
      <c r="E177" s="173">
        <v>42907</v>
      </c>
      <c r="F177" s="174">
        <v>28.547820000000002</v>
      </c>
      <c r="G177" s="175" t="s">
        <v>19</v>
      </c>
      <c r="H177" s="172" t="s">
        <v>20</v>
      </c>
      <c r="I177" s="175">
        <v>1</v>
      </c>
      <c r="J177" s="175" t="s">
        <v>18</v>
      </c>
      <c r="K177" s="175" t="s">
        <v>85</v>
      </c>
      <c r="L177" s="172" t="s">
        <v>86</v>
      </c>
      <c r="M177" s="172" t="s">
        <v>76</v>
      </c>
    </row>
    <row r="178" spans="1:13" x14ac:dyDescent="0.2">
      <c r="A178" s="172" t="s">
        <v>83</v>
      </c>
      <c r="B178" s="172" t="s">
        <v>84</v>
      </c>
      <c r="C178" s="172" t="s">
        <v>14</v>
      </c>
      <c r="D178" s="172" t="s">
        <v>15</v>
      </c>
      <c r="E178" s="173">
        <v>42900</v>
      </c>
      <c r="F178" s="174">
        <v>18.899999999999999</v>
      </c>
      <c r="G178" s="175" t="s">
        <v>16</v>
      </c>
      <c r="H178" s="172" t="s">
        <v>17</v>
      </c>
      <c r="I178" s="175">
        <v>1</v>
      </c>
      <c r="J178" s="175" t="s">
        <v>18</v>
      </c>
      <c r="K178" s="175" t="s">
        <v>85</v>
      </c>
      <c r="L178" s="172" t="s">
        <v>86</v>
      </c>
      <c r="M178" s="172" t="s">
        <v>17</v>
      </c>
    </row>
    <row r="179" spans="1:13" x14ac:dyDescent="0.2">
      <c r="A179" s="172" t="s">
        <v>83</v>
      </c>
      <c r="B179" s="172" t="s">
        <v>84</v>
      </c>
      <c r="C179" s="172" t="s">
        <v>14</v>
      </c>
      <c r="D179" s="172" t="s">
        <v>15</v>
      </c>
      <c r="E179" s="173">
        <v>42900</v>
      </c>
      <c r="F179" s="174">
        <v>87.797681999999995</v>
      </c>
      <c r="G179" s="175" t="s">
        <v>19</v>
      </c>
      <c r="H179" s="172" t="s">
        <v>17</v>
      </c>
      <c r="I179" s="175">
        <v>1</v>
      </c>
      <c r="J179" s="175" t="s">
        <v>18</v>
      </c>
      <c r="K179" s="175" t="s">
        <v>85</v>
      </c>
      <c r="L179" s="172" t="s">
        <v>86</v>
      </c>
      <c r="M179" s="172" t="s">
        <v>17</v>
      </c>
    </row>
    <row r="180" spans="1:13" x14ac:dyDescent="0.2">
      <c r="A180" s="172" t="s">
        <v>83</v>
      </c>
      <c r="B180" s="172" t="s">
        <v>84</v>
      </c>
      <c r="C180" s="172" t="s">
        <v>14</v>
      </c>
      <c r="D180" s="172" t="s">
        <v>15</v>
      </c>
      <c r="E180" s="173">
        <v>42900</v>
      </c>
      <c r="F180" s="174">
        <v>5.84</v>
      </c>
      <c r="G180" s="175" t="s">
        <v>16</v>
      </c>
      <c r="H180" s="172" t="s">
        <v>20</v>
      </c>
      <c r="I180" s="175">
        <v>1</v>
      </c>
      <c r="J180" s="175" t="s">
        <v>18</v>
      </c>
      <c r="K180" s="175" t="s">
        <v>85</v>
      </c>
      <c r="L180" s="172" t="s">
        <v>86</v>
      </c>
      <c r="M180" s="172" t="s">
        <v>76</v>
      </c>
    </row>
    <row r="181" spans="1:13" x14ac:dyDescent="0.2">
      <c r="A181" s="172" t="s">
        <v>83</v>
      </c>
      <c r="B181" s="172" t="s">
        <v>84</v>
      </c>
      <c r="C181" s="172" t="s">
        <v>14</v>
      </c>
      <c r="D181" s="172" t="s">
        <v>15</v>
      </c>
      <c r="E181" s="173">
        <v>42900</v>
      </c>
      <c r="F181" s="174">
        <v>27.129019199999998</v>
      </c>
      <c r="G181" s="175" t="s">
        <v>19</v>
      </c>
      <c r="H181" s="172" t="s">
        <v>20</v>
      </c>
      <c r="I181" s="175">
        <v>1</v>
      </c>
      <c r="J181" s="175" t="s">
        <v>18</v>
      </c>
      <c r="K181" s="175" t="s">
        <v>85</v>
      </c>
      <c r="L181" s="172" t="s">
        <v>86</v>
      </c>
      <c r="M181" s="172" t="s">
        <v>76</v>
      </c>
    </row>
    <row r="182" spans="1:13" x14ac:dyDescent="0.2">
      <c r="A182" s="172" t="s">
        <v>83</v>
      </c>
      <c r="B182" s="172" t="s">
        <v>84</v>
      </c>
      <c r="C182" s="172" t="s">
        <v>14</v>
      </c>
      <c r="D182" s="172" t="s">
        <v>15</v>
      </c>
      <c r="E182" s="173">
        <v>42893</v>
      </c>
      <c r="F182" s="174">
        <v>18.399999999999999</v>
      </c>
      <c r="G182" s="175" t="s">
        <v>16</v>
      </c>
      <c r="H182" s="172" t="s">
        <v>17</v>
      </c>
      <c r="I182" s="175">
        <v>1</v>
      </c>
      <c r="J182" s="175" t="s">
        <v>18</v>
      </c>
      <c r="K182" s="175" t="s">
        <v>85</v>
      </c>
      <c r="L182" s="172" t="s">
        <v>86</v>
      </c>
      <c r="M182" s="172" t="s">
        <v>17</v>
      </c>
    </row>
    <row r="183" spans="1:13" x14ac:dyDescent="0.2">
      <c r="A183" s="172" t="s">
        <v>83</v>
      </c>
      <c r="B183" s="172" t="s">
        <v>84</v>
      </c>
      <c r="C183" s="172" t="s">
        <v>14</v>
      </c>
      <c r="D183" s="172" t="s">
        <v>15</v>
      </c>
      <c r="E183" s="173">
        <v>42893</v>
      </c>
      <c r="F183" s="174">
        <v>94.221984000000006</v>
      </c>
      <c r="G183" s="175" t="s">
        <v>19</v>
      </c>
      <c r="H183" s="172" t="s">
        <v>17</v>
      </c>
      <c r="I183" s="175">
        <v>1</v>
      </c>
      <c r="J183" s="175" t="s">
        <v>18</v>
      </c>
      <c r="K183" s="175" t="s">
        <v>85</v>
      </c>
      <c r="L183" s="172" t="s">
        <v>86</v>
      </c>
      <c r="M183" s="172" t="s">
        <v>17</v>
      </c>
    </row>
    <row r="184" spans="1:13" x14ac:dyDescent="0.2">
      <c r="A184" s="172" t="s">
        <v>83</v>
      </c>
      <c r="B184" s="172" t="s">
        <v>84</v>
      </c>
      <c r="C184" s="172" t="s">
        <v>14</v>
      </c>
      <c r="D184" s="172" t="s">
        <v>15</v>
      </c>
      <c r="E184" s="173">
        <v>42893</v>
      </c>
      <c r="F184" s="174">
        <v>6.26</v>
      </c>
      <c r="G184" s="175" t="s">
        <v>16</v>
      </c>
      <c r="H184" s="172" t="s">
        <v>20</v>
      </c>
      <c r="I184" s="175">
        <v>1</v>
      </c>
      <c r="J184" s="175" t="s">
        <v>18</v>
      </c>
      <c r="K184" s="175" t="s">
        <v>85</v>
      </c>
      <c r="L184" s="172" t="s">
        <v>86</v>
      </c>
      <c r="M184" s="172" t="s">
        <v>76</v>
      </c>
    </row>
    <row r="185" spans="1:13" x14ac:dyDescent="0.2">
      <c r="A185" s="172" t="s">
        <v>83</v>
      </c>
      <c r="B185" s="172" t="s">
        <v>84</v>
      </c>
      <c r="C185" s="172" t="s">
        <v>14</v>
      </c>
      <c r="D185" s="172" t="s">
        <v>15</v>
      </c>
      <c r="E185" s="173">
        <v>42893</v>
      </c>
      <c r="F185" s="174">
        <v>32.055957599999999</v>
      </c>
      <c r="G185" s="175" t="s">
        <v>19</v>
      </c>
      <c r="H185" s="172" t="s">
        <v>20</v>
      </c>
      <c r="I185" s="175">
        <v>1</v>
      </c>
      <c r="J185" s="175" t="s">
        <v>18</v>
      </c>
      <c r="K185" s="175" t="s">
        <v>85</v>
      </c>
      <c r="L185" s="172" t="s">
        <v>86</v>
      </c>
      <c r="M185" s="172" t="s">
        <v>76</v>
      </c>
    </row>
    <row r="186" spans="1:13" x14ac:dyDescent="0.2">
      <c r="A186" s="172" t="s">
        <v>83</v>
      </c>
      <c r="B186" s="172" t="s">
        <v>84</v>
      </c>
      <c r="C186" s="172" t="s">
        <v>14</v>
      </c>
      <c r="D186" s="172" t="s">
        <v>15</v>
      </c>
      <c r="E186" s="173">
        <v>42878</v>
      </c>
      <c r="F186" s="174">
        <v>11</v>
      </c>
      <c r="G186" s="175" t="s">
        <v>16</v>
      </c>
      <c r="H186" s="172" t="s">
        <v>17</v>
      </c>
      <c r="I186" s="175">
        <v>1</v>
      </c>
      <c r="J186" s="175" t="s">
        <v>18</v>
      </c>
      <c r="K186" s="175" t="s">
        <v>85</v>
      </c>
      <c r="L186" s="172" t="s">
        <v>86</v>
      </c>
      <c r="M186" s="172" t="s">
        <v>17</v>
      </c>
    </row>
    <row r="187" spans="1:13" x14ac:dyDescent="0.2">
      <c r="A187" s="172" t="s">
        <v>83</v>
      </c>
      <c r="B187" s="172" t="s">
        <v>84</v>
      </c>
      <c r="C187" s="172" t="s">
        <v>14</v>
      </c>
      <c r="D187" s="172" t="s">
        <v>15</v>
      </c>
      <c r="E187" s="173">
        <v>42878</v>
      </c>
      <c r="F187" s="174">
        <v>80.914680000000004</v>
      </c>
      <c r="G187" s="175" t="s">
        <v>19</v>
      </c>
      <c r="H187" s="172" t="s">
        <v>17</v>
      </c>
      <c r="I187" s="175">
        <v>1</v>
      </c>
      <c r="J187" s="175" t="s">
        <v>18</v>
      </c>
      <c r="K187" s="175" t="s">
        <v>85</v>
      </c>
      <c r="L187" s="172" t="s">
        <v>86</v>
      </c>
      <c r="M187" s="172" t="s">
        <v>17</v>
      </c>
    </row>
    <row r="188" spans="1:13" x14ac:dyDescent="0.2">
      <c r="A188" s="172" t="s">
        <v>83</v>
      </c>
      <c r="B188" s="172" t="s">
        <v>84</v>
      </c>
      <c r="C188" s="172" t="s">
        <v>14</v>
      </c>
      <c r="D188" s="172" t="s">
        <v>15</v>
      </c>
      <c r="E188" s="173">
        <v>42878</v>
      </c>
      <c r="F188" s="174">
        <v>6.11</v>
      </c>
      <c r="G188" s="175" t="s">
        <v>16</v>
      </c>
      <c r="H188" s="172" t="s">
        <v>20</v>
      </c>
      <c r="I188" s="175">
        <v>1</v>
      </c>
      <c r="J188" s="175" t="s">
        <v>18</v>
      </c>
      <c r="K188" s="175" t="s">
        <v>85</v>
      </c>
      <c r="L188" s="172" t="s">
        <v>86</v>
      </c>
      <c r="M188" s="172" t="s">
        <v>76</v>
      </c>
    </row>
    <row r="189" spans="1:13" x14ac:dyDescent="0.2">
      <c r="A189" s="172" t="s">
        <v>83</v>
      </c>
      <c r="B189" s="172" t="s">
        <v>84</v>
      </c>
      <c r="C189" s="172" t="s">
        <v>14</v>
      </c>
      <c r="D189" s="172" t="s">
        <v>15</v>
      </c>
      <c r="E189" s="173">
        <v>42878</v>
      </c>
      <c r="F189" s="174">
        <v>44.944426800000002</v>
      </c>
      <c r="G189" s="175" t="s">
        <v>19</v>
      </c>
      <c r="H189" s="172" t="s">
        <v>20</v>
      </c>
      <c r="I189" s="175">
        <v>1</v>
      </c>
      <c r="J189" s="175" t="s">
        <v>18</v>
      </c>
      <c r="K189" s="175" t="s">
        <v>85</v>
      </c>
      <c r="L189" s="172" t="s">
        <v>86</v>
      </c>
      <c r="M189" s="172" t="s">
        <v>76</v>
      </c>
    </row>
    <row r="190" spans="1:13" x14ac:dyDescent="0.2">
      <c r="A190" s="172" t="s">
        <v>83</v>
      </c>
      <c r="B190" s="172" t="s">
        <v>84</v>
      </c>
      <c r="C190" s="172" t="s">
        <v>14</v>
      </c>
      <c r="D190" s="172" t="s">
        <v>15</v>
      </c>
      <c r="E190" s="173">
        <v>42872</v>
      </c>
      <c r="F190" s="174">
        <v>14.5</v>
      </c>
      <c r="G190" s="175" t="s">
        <v>16</v>
      </c>
      <c r="H190" s="172" t="s">
        <v>17</v>
      </c>
      <c r="I190" s="175">
        <v>1</v>
      </c>
      <c r="J190" s="175" t="s">
        <v>18</v>
      </c>
      <c r="K190" s="175" t="s">
        <v>85</v>
      </c>
      <c r="L190" s="172" t="s">
        <v>86</v>
      </c>
      <c r="M190" s="172" t="s">
        <v>17</v>
      </c>
    </row>
    <row r="191" spans="1:13" x14ac:dyDescent="0.2">
      <c r="A191" s="172" t="s">
        <v>83</v>
      </c>
      <c r="B191" s="172" t="s">
        <v>84</v>
      </c>
      <c r="C191" s="172" t="s">
        <v>14</v>
      </c>
      <c r="D191" s="172" t="s">
        <v>15</v>
      </c>
      <c r="E191" s="173">
        <v>42872</v>
      </c>
      <c r="F191" s="174">
        <v>99.525390000000002</v>
      </c>
      <c r="G191" s="175" t="s">
        <v>19</v>
      </c>
      <c r="H191" s="172" t="s">
        <v>17</v>
      </c>
      <c r="I191" s="175">
        <v>1</v>
      </c>
      <c r="J191" s="175" t="s">
        <v>18</v>
      </c>
      <c r="K191" s="175" t="s">
        <v>85</v>
      </c>
      <c r="L191" s="172" t="s">
        <v>86</v>
      </c>
      <c r="M191" s="172" t="s">
        <v>17</v>
      </c>
    </row>
    <row r="192" spans="1:13" x14ac:dyDescent="0.2">
      <c r="A192" s="172" t="s">
        <v>83</v>
      </c>
      <c r="B192" s="172" t="s">
        <v>84</v>
      </c>
      <c r="C192" s="172" t="s">
        <v>14</v>
      </c>
      <c r="D192" s="172" t="s">
        <v>15</v>
      </c>
      <c r="E192" s="173">
        <v>42872</v>
      </c>
      <c r="F192" s="174">
        <v>6.73</v>
      </c>
      <c r="G192" s="175" t="s">
        <v>16</v>
      </c>
      <c r="H192" s="172" t="s">
        <v>20</v>
      </c>
      <c r="I192" s="175">
        <v>1</v>
      </c>
      <c r="J192" s="175" t="s">
        <v>18</v>
      </c>
      <c r="K192" s="175" t="s">
        <v>85</v>
      </c>
      <c r="L192" s="172" t="s">
        <v>86</v>
      </c>
      <c r="M192" s="172" t="s">
        <v>76</v>
      </c>
    </row>
    <row r="193" spans="1:13" x14ac:dyDescent="0.2">
      <c r="A193" s="172" t="s">
        <v>83</v>
      </c>
      <c r="B193" s="172" t="s">
        <v>84</v>
      </c>
      <c r="C193" s="172" t="s">
        <v>14</v>
      </c>
      <c r="D193" s="172" t="s">
        <v>15</v>
      </c>
      <c r="E193" s="173">
        <v>42872</v>
      </c>
      <c r="F193" s="174">
        <v>46.193508600000001</v>
      </c>
      <c r="G193" s="175" t="s">
        <v>19</v>
      </c>
      <c r="H193" s="172" t="s">
        <v>20</v>
      </c>
      <c r="I193" s="175">
        <v>1</v>
      </c>
      <c r="J193" s="175" t="s">
        <v>18</v>
      </c>
      <c r="K193" s="175" t="s">
        <v>85</v>
      </c>
      <c r="L193" s="172" t="s">
        <v>86</v>
      </c>
      <c r="M193" s="172" t="s">
        <v>76</v>
      </c>
    </row>
    <row r="194" spans="1:13" x14ac:dyDescent="0.2">
      <c r="A194" s="172" t="s">
        <v>83</v>
      </c>
      <c r="B194" s="172" t="s">
        <v>84</v>
      </c>
      <c r="C194" s="172" t="s">
        <v>14</v>
      </c>
      <c r="D194" s="172" t="s">
        <v>15</v>
      </c>
      <c r="E194" s="173">
        <v>42865</v>
      </c>
      <c r="F194" s="174">
        <v>13.1</v>
      </c>
      <c r="G194" s="175" t="s">
        <v>16</v>
      </c>
      <c r="H194" s="172" t="s">
        <v>17</v>
      </c>
      <c r="I194" s="175">
        <v>1</v>
      </c>
      <c r="J194" s="175" t="s">
        <v>18</v>
      </c>
      <c r="K194" s="175" t="s">
        <v>85</v>
      </c>
      <c r="L194" s="172" t="s">
        <v>86</v>
      </c>
      <c r="M194" s="172" t="s">
        <v>17</v>
      </c>
    </row>
    <row r="195" spans="1:13" x14ac:dyDescent="0.2">
      <c r="A195" s="172" t="s">
        <v>83</v>
      </c>
      <c r="B195" s="172" t="s">
        <v>84</v>
      </c>
      <c r="C195" s="172" t="s">
        <v>14</v>
      </c>
      <c r="D195" s="172" t="s">
        <v>15</v>
      </c>
      <c r="E195" s="173">
        <v>42865</v>
      </c>
      <c r="F195" s="174">
        <v>91.991867999999997</v>
      </c>
      <c r="G195" s="175" t="s">
        <v>19</v>
      </c>
      <c r="H195" s="172" t="s">
        <v>17</v>
      </c>
      <c r="I195" s="175">
        <v>1</v>
      </c>
      <c r="J195" s="175" t="s">
        <v>18</v>
      </c>
      <c r="K195" s="175" t="s">
        <v>85</v>
      </c>
      <c r="L195" s="172" t="s">
        <v>86</v>
      </c>
      <c r="M195" s="172" t="s">
        <v>17</v>
      </c>
    </row>
    <row r="196" spans="1:13" x14ac:dyDescent="0.2">
      <c r="A196" s="172" t="s">
        <v>83</v>
      </c>
      <c r="B196" s="172" t="s">
        <v>84</v>
      </c>
      <c r="C196" s="172" t="s">
        <v>14</v>
      </c>
      <c r="D196" s="172" t="s">
        <v>15</v>
      </c>
      <c r="E196" s="173">
        <v>42865</v>
      </c>
      <c r="F196" s="174">
        <v>5.9</v>
      </c>
      <c r="G196" s="175" t="s">
        <v>16</v>
      </c>
      <c r="H196" s="172" t="s">
        <v>20</v>
      </c>
      <c r="I196" s="175">
        <v>1</v>
      </c>
      <c r="J196" s="175" t="s">
        <v>18</v>
      </c>
      <c r="K196" s="175" t="s">
        <v>85</v>
      </c>
      <c r="L196" s="172" t="s">
        <v>86</v>
      </c>
      <c r="M196" s="172" t="s">
        <v>76</v>
      </c>
    </row>
    <row r="197" spans="1:13" x14ac:dyDescent="0.2">
      <c r="A197" s="172" t="s">
        <v>83</v>
      </c>
      <c r="B197" s="172" t="s">
        <v>84</v>
      </c>
      <c r="C197" s="172" t="s">
        <v>14</v>
      </c>
      <c r="D197" s="172" t="s">
        <v>15</v>
      </c>
      <c r="E197" s="173">
        <v>42865</v>
      </c>
      <c r="F197" s="174">
        <v>41.431452</v>
      </c>
      <c r="G197" s="175" t="s">
        <v>19</v>
      </c>
      <c r="H197" s="172" t="s">
        <v>20</v>
      </c>
      <c r="I197" s="175">
        <v>1</v>
      </c>
      <c r="J197" s="175" t="s">
        <v>18</v>
      </c>
      <c r="K197" s="175" t="s">
        <v>85</v>
      </c>
      <c r="L197" s="172" t="s">
        <v>86</v>
      </c>
      <c r="M197" s="172" t="s">
        <v>76</v>
      </c>
    </row>
    <row r="198" spans="1:13" x14ac:dyDescent="0.2">
      <c r="A198" s="172" t="s">
        <v>83</v>
      </c>
      <c r="B198" s="172" t="s">
        <v>84</v>
      </c>
      <c r="C198" s="172" t="s">
        <v>14</v>
      </c>
      <c r="D198" s="172" t="s">
        <v>15</v>
      </c>
      <c r="E198" s="173">
        <v>42858</v>
      </c>
      <c r="F198" s="174">
        <v>9.86</v>
      </c>
      <c r="G198" s="175" t="s">
        <v>16</v>
      </c>
      <c r="H198" s="172" t="s">
        <v>17</v>
      </c>
      <c r="I198" s="175">
        <v>1</v>
      </c>
      <c r="J198" s="175" t="s">
        <v>18</v>
      </c>
      <c r="K198" s="175" t="s">
        <v>85</v>
      </c>
      <c r="L198" s="172" t="s">
        <v>86</v>
      </c>
      <c r="M198" s="172" t="s">
        <v>17</v>
      </c>
    </row>
    <row r="199" spans="1:13" x14ac:dyDescent="0.2">
      <c r="A199" s="172" t="s">
        <v>83</v>
      </c>
      <c r="B199" s="172" t="s">
        <v>84</v>
      </c>
      <c r="C199" s="172" t="s">
        <v>14</v>
      </c>
      <c r="D199" s="172" t="s">
        <v>15</v>
      </c>
      <c r="E199" s="173">
        <v>42858</v>
      </c>
      <c r="F199" s="174">
        <v>90.455640000000002</v>
      </c>
      <c r="G199" s="175" t="s">
        <v>19</v>
      </c>
      <c r="H199" s="172" t="s">
        <v>17</v>
      </c>
      <c r="I199" s="175">
        <v>1</v>
      </c>
      <c r="J199" s="175" t="s">
        <v>18</v>
      </c>
      <c r="K199" s="175" t="s">
        <v>85</v>
      </c>
      <c r="L199" s="172" t="s">
        <v>86</v>
      </c>
      <c r="M199" s="172" t="s">
        <v>17</v>
      </c>
    </row>
    <row r="200" spans="1:13" x14ac:dyDescent="0.2">
      <c r="A200" s="172" t="s">
        <v>83</v>
      </c>
      <c r="B200" s="172" t="s">
        <v>84</v>
      </c>
      <c r="C200" s="172" t="s">
        <v>14</v>
      </c>
      <c r="D200" s="172" t="s">
        <v>15</v>
      </c>
      <c r="E200" s="173">
        <v>42858</v>
      </c>
      <c r="F200" s="174">
        <v>6.61</v>
      </c>
      <c r="G200" s="175" t="s">
        <v>16</v>
      </c>
      <c r="H200" s="172" t="s">
        <v>20</v>
      </c>
      <c r="I200" s="175">
        <v>1</v>
      </c>
      <c r="J200" s="175" t="s">
        <v>18</v>
      </c>
      <c r="K200" s="175" t="s">
        <v>85</v>
      </c>
      <c r="L200" s="172" t="s">
        <v>86</v>
      </c>
      <c r="M200" s="172" t="s">
        <v>76</v>
      </c>
    </row>
    <row r="201" spans="1:13" x14ac:dyDescent="0.2">
      <c r="A201" s="172" t="s">
        <v>83</v>
      </c>
      <c r="B201" s="172" t="s">
        <v>84</v>
      </c>
      <c r="C201" s="172" t="s">
        <v>14</v>
      </c>
      <c r="D201" s="172" t="s">
        <v>15</v>
      </c>
      <c r="E201" s="173">
        <v>42858</v>
      </c>
      <c r="F201" s="174">
        <v>60.640140000000002</v>
      </c>
      <c r="G201" s="175" t="s">
        <v>19</v>
      </c>
      <c r="H201" s="172" t="s">
        <v>20</v>
      </c>
      <c r="I201" s="175">
        <v>1</v>
      </c>
      <c r="J201" s="175" t="s">
        <v>18</v>
      </c>
      <c r="K201" s="175" t="s">
        <v>85</v>
      </c>
      <c r="L201" s="172" t="s">
        <v>86</v>
      </c>
      <c r="M201" s="172" t="s">
        <v>76</v>
      </c>
    </row>
    <row r="202" spans="1:13" x14ac:dyDescent="0.2">
      <c r="A202" s="172" t="s">
        <v>83</v>
      </c>
      <c r="B202" s="172" t="s">
        <v>84</v>
      </c>
      <c r="C202" s="172" t="s">
        <v>14</v>
      </c>
      <c r="D202" s="172" t="s">
        <v>15</v>
      </c>
      <c r="E202" s="173">
        <v>42852</v>
      </c>
      <c r="F202" s="174">
        <v>12.6</v>
      </c>
      <c r="G202" s="175" t="s">
        <v>16</v>
      </c>
      <c r="H202" s="172" t="s">
        <v>17</v>
      </c>
      <c r="I202" s="175">
        <v>1</v>
      </c>
      <c r="J202" s="175" t="s">
        <v>18</v>
      </c>
      <c r="K202" s="175" t="s">
        <v>85</v>
      </c>
      <c r="L202" s="172" t="s">
        <v>86</v>
      </c>
    </row>
    <row r="203" spans="1:13" x14ac:dyDescent="0.2">
      <c r="A203" s="172" t="s">
        <v>83</v>
      </c>
      <c r="B203" s="172" t="s">
        <v>84</v>
      </c>
      <c r="C203" s="172" t="s">
        <v>14</v>
      </c>
      <c r="D203" s="172" t="s">
        <v>15</v>
      </c>
      <c r="E203" s="173">
        <v>42852</v>
      </c>
      <c r="F203" s="174">
        <v>85.118039999999993</v>
      </c>
      <c r="G203" s="175" t="s">
        <v>19</v>
      </c>
      <c r="H203" s="172" t="s">
        <v>17</v>
      </c>
      <c r="I203" s="175">
        <v>1</v>
      </c>
      <c r="J203" s="175" t="s">
        <v>18</v>
      </c>
      <c r="K203" s="175" t="s">
        <v>85</v>
      </c>
      <c r="L203" s="172" t="s">
        <v>86</v>
      </c>
    </row>
    <row r="204" spans="1:13" x14ac:dyDescent="0.2">
      <c r="A204" s="172" t="s">
        <v>83</v>
      </c>
      <c r="B204" s="172" t="s">
        <v>84</v>
      </c>
      <c r="C204" s="172" t="s">
        <v>14</v>
      </c>
      <c r="D204" s="172" t="s">
        <v>15</v>
      </c>
      <c r="E204" s="173">
        <v>42852</v>
      </c>
      <c r="F204" s="174">
        <v>6.39</v>
      </c>
      <c r="G204" s="175" t="s">
        <v>16</v>
      </c>
      <c r="H204" s="172" t="s">
        <v>20</v>
      </c>
      <c r="I204" s="175">
        <v>1</v>
      </c>
      <c r="J204" s="175" t="s">
        <v>18</v>
      </c>
      <c r="K204" s="175" t="s">
        <v>85</v>
      </c>
      <c r="L204" s="172" t="s">
        <v>86</v>
      </c>
    </row>
    <row r="205" spans="1:13" x14ac:dyDescent="0.2">
      <c r="A205" s="172" t="s">
        <v>83</v>
      </c>
      <c r="B205" s="172" t="s">
        <v>84</v>
      </c>
      <c r="C205" s="172" t="s">
        <v>14</v>
      </c>
      <c r="D205" s="172" t="s">
        <v>15</v>
      </c>
      <c r="E205" s="173">
        <v>42852</v>
      </c>
      <c r="F205" s="174">
        <v>43.167006000000001</v>
      </c>
      <c r="G205" s="175" t="s">
        <v>19</v>
      </c>
      <c r="H205" s="172" t="s">
        <v>20</v>
      </c>
      <c r="I205" s="175">
        <v>1</v>
      </c>
      <c r="J205" s="175" t="s">
        <v>18</v>
      </c>
      <c r="K205" s="175" t="s">
        <v>85</v>
      </c>
      <c r="L205" s="172" t="s">
        <v>86</v>
      </c>
    </row>
    <row r="206" spans="1:13" x14ac:dyDescent="0.2">
      <c r="A206" s="172" t="s">
        <v>83</v>
      </c>
      <c r="B206" s="172" t="s">
        <v>84</v>
      </c>
      <c r="C206" s="172" t="s">
        <v>14</v>
      </c>
      <c r="D206" s="172" t="s">
        <v>15</v>
      </c>
      <c r="E206" s="173">
        <v>42843</v>
      </c>
      <c r="F206" s="174">
        <v>12.4</v>
      </c>
      <c r="G206" s="175" t="s">
        <v>16</v>
      </c>
      <c r="H206" s="172" t="s">
        <v>17</v>
      </c>
      <c r="I206" s="175">
        <v>1</v>
      </c>
      <c r="J206" s="175" t="s">
        <v>18</v>
      </c>
      <c r="K206" s="175" t="s">
        <v>85</v>
      </c>
      <c r="L206" s="172" t="s">
        <v>86</v>
      </c>
    </row>
    <row r="207" spans="1:13" x14ac:dyDescent="0.2">
      <c r="A207" s="172" t="s">
        <v>83</v>
      </c>
      <c r="B207" s="172" t="s">
        <v>84</v>
      </c>
      <c r="C207" s="172" t="s">
        <v>14</v>
      </c>
      <c r="D207" s="172" t="s">
        <v>15</v>
      </c>
      <c r="E207" s="173">
        <v>42843</v>
      </c>
      <c r="F207" s="174">
        <v>108.5868</v>
      </c>
      <c r="G207" s="175" t="s">
        <v>19</v>
      </c>
      <c r="H207" s="172" t="s">
        <v>17</v>
      </c>
      <c r="I207" s="175">
        <v>1</v>
      </c>
      <c r="J207" s="175" t="s">
        <v>18</v>
      </c>
      <c r="K207" s="175" t="s">
        <v>85</v>
      </c>
      <c r="L207" s="172" t="s">
        <v>86</v>
      </c>
    </row>
    <row r="208" spans="1:13" x14ac:dyDescent="0.2">
      <c r="A208" s="172" t="s">
        <v>83</v>
      </c>
      <c r="B208" s="172" t="s">
        <v>84</v>
      </c>
      <c r="C208" s="172" t="s">
        <v>14</v>
      </c>
      <c r="D208" s="172" t="s">
        <v>15</v>
      </c>
      <c r="E208" s="173">
        <v>42843</v>
      </c>
      <c r="F208" s="174">
        <v>5.53</v>
      </c>
      <c r="G208" s="175" t="s">
        <v>16</v>
      </c>
      <c r="H208" s="172" t="s">
        <v>20</v>
      </c>
      <c r="I208" s="175">
        <v>1</v>
      </c>
      <c r="J208" s="175" t="s">
        <v>18</v>
      </c>
      <c r="K208" s="175" t="s">
        <v>85</v>
      </c>
      <c r="L208" s="172" t="s">
        <v>86</v>
      </c>
    </row>
    <row r="209" spans="1:12" x14ac:dyDescent="0.2">
      <c r="A209" s="172" t="s">
        <v>83</v>
      </c>
      <c r="B209" s="172" t="s">
        <v>84</v>
      </c>
      <c r="C209" s="172" t="s">
        <v>14</v>
      </c>
      <c r="D209" s="172" t="s">
        <v>15</v>
      </c>
      <c r="E209" s="173">
        <v>42843</v>
      </c>
      <c r="F209" s="174">
        <v>48.426209999999998</v>
      </c>
      <c r="G209" s="175" t="s">
        <v>19</v>
      </c>
      <c r="H209" s="172" t="s">
        <v>20</v>
      </c>
      <c r="I209" s="175">
        <v>1</v>
      </c>
      <c r="J209" s="175" t="s">
        <v>18</v>
      </c>
      <c r="K209" s="175" t="s">
        <v>85</v>
      </c>
      <c r="L209" s="172" t="s">
        <v>86</v>
      </c>
    </row>
    <row r="210" spans="1:12" x14ac:dyDescent="0.2">
      <c r="A210" s="172" t="s">
        <v>83</v>
      </c>
      <c r="B210" s="172" t="s">
        <v>84</v>
      </c>
      <c r="C210" s="172" t="s">
        <v>14</v>
      </c>
      <c r="D210" s="172" t="s">
        <v>15</v>
      </c>
      <c r="E210" s="173">
        <v>42836</v>
      </c>
      <c r="F210" s="174">
        <v>15.4</v>
      </c>
      <c r="G210" s="175" t="s">
        <v>16</v>
      </c>
      <c r="H210" s="172" t="s">
        <v>17</v>
      </c>
      <c r="I210" s="175">
        <v>1</v>
      </c>
      <c r="J210" s="175" t="s">
        <v>18</v>
      </c>
      <c r="K210" s="175" t="s">
        <v>85</v>
      </c>
      <c r="L210" s="172" t="s">
        <v>86</v>
      </c>
    </row>
    <row r="211" spans="1:12" x14ac:dyDescent="0.2">
      <c r="A211" s="172" t="s">
        <v>83</v>
      </c>
      <c r="B211" s="172" t="s">
        <v>84</v>
      </c>
      <c r="C211" s="172" t="s">
        <v>14</v>
      </c>
      <c r="D211" s="172" t="s">
        <v>15</v>
      </c>
      <c r="E211" s="173">
        <v>42836</v>
      </c>
      <c r="F211" s="174">
        <v>114.56491200000001</v>
      </c>
      <c r="G211" s="175" t="s">
        <v>19</v>
      </c>
      <c r="H211" s="172" t="s">
        <v>17</v>
      </c>
      <c r="I211" s="175">
        <v>1</v>
      </c>
      <c r="J211" s="175" t="s">
        <v>18</v>
      </c>
      <c r="K211" s="175" t="s">
        <v>85</v>
      </c>
      <c r="L211" s="172" t="s">
        <v>86</v>
      </c>
    </row>
    <row r="212" spans="1:12" x14ac:dyDescent="0.2">
      <c r="A212" s="172" t="s">
        <v>83</v>
      </c>
      <c r="B212" s="172" t="s">
        <v>84</v>
      </c>
      <c r="C212" s="172" t="s">
        <v>14</v>
      </c>
      <c r="D212" s="172" t="s">
        <v>15</v>
      </c>
      <c r="E212" s="173">
        <v>42836</v>
      </c>
      <c r="F212" s="174">
        <v>5.48</v>
      </c>
      <c r="G212" s="175" t="s">
        <v>16</v>
      </c>
      <c r="H212" s="172" t="s">
        <v>20</v>
      </c>
      <c r="I212" s="175">
        <v>1</v>
      </c>
      <c r="J212" s="175" t="s">
        <v>18</v>
      </c>
      <c r="K212" s="175" t="s">
        <v>85</v>
      </c>
      <c r="L212" s="172" t="s">
        <v>86</v>
      </c>
    </row>
    <row r="213" spans="1:12" x14ac:dyDescent="0.2">
      <c r="A213" s="172" t="s">
        <v>83</v>
      </c>
      <c r="B213" s="172" t="s">
        <v>84</v>
      </c>
      <c r="C213" s="172" t="s">
        <v>14</v>
      </c>
      <c r="D213" s="172" t="s">
        <v>15</v>
      </c>
      <c r="E213" s="173">
        <v>42836</v>
      </c>
      <c r="F213" s="174">
        <v>40.767254399999999</v>
      </c>
      <c r="G213" s="175" t="s">
        <v>19</v>
      </c>
      <c r="H213" s="172" t="s">
        <v>20</v>
      </c>
      <c r="I213" s="175">
        <v>1</v>
      </c>
      <c r="J213" s="175" t="s">
        <v>18</v>
      </c>
      <c r="K213" s="175" t="s">
        <v>85</v>
      </c>
      <c r="L213" s="172" t="s">
        <v>86</v>
      </c>
    </row>
    <row r="214" spans="1:12" x14ac:dyDescent="0.2">
      <c r="A214" s="172" t="s">
        <v>83</v>
      </c>
      <c r="B214" s="172" t="s">
        <v>84</v>
      </c>
      <c r="C214" s="172" t="s">
        <v>14</v>
      </c>
      <c r="D214" s="172" t="s">
        <v>15</v>
      </c>
      <c r="E214" s="173">
        <v>42829</v>
      </c>
      <c r="F214" s="174">
        <v>13.8</v>
      </c>
      <c r="G214" s="175" t="s">
        <v>16</v>
      </c>
      <c r="H214" s="172" t="s">
        <v>17</v>
      </c>
      <c r="I214" s="175">
        <v>1</v>
      </c>
      <c r="J214" s="175" t="s">
        <v>18</v>
      </c>
      <c r="K214" s="175" t="s">
        <v>85</v>
      </c>
      <c r="L214" s="172" t="s">
        <v>86</v>
      </c>
    </row>
    <row r="215" spans="1:12" x14ac:dyDescent="0.2">
      <c r="A215" s="172" t="s">
        <v>83</v>
      </c>
      <c r="B215" s="172" t="s">
        <v>84</v>
      </c>
      <c r="C215" s="172" t="s">
        <v>14</v>
      </c>
      <c r="D215" s="172" t="s">
        <v>15</v>
      </c>
      <c r="E215" s="173">
        <v>42829</v>
      </c>
      <c r="F215" s="174">
        <v>134.65763999999999</v>
      </c>
      <c r="G215" s="175" t="s">
        <v>19</v>
      </c>
      <c r="H215" s="172" t="s">
        <v>17</v>
      </c>
      <c r="I215" s="175">
        <v>1</v>
      </c>
      <c r="J215" s="175" t="s">
        <v>18</v>
      </c>
      <c r="K215" s="175" t="s">
        <v>85</v>
      </c>
      <c r="L215" s="172" t="s">
        <v>86</v>
      </c>
    </row>
    <row r="216" spans="1:12" x14ac:dyDescent="0.2">
      <c r="A216" s="172" t="s">
        <v>83</v>
      </c>
      <c r="B216" s="172" t="s">
        <v>84</v>
      </c>
      <c r="C216" s="172" t="s">
        <v>14</v>
      </c>
      <c r="D216" s="172" t="s">
        <v>15</v>
      </c>
      <c r="E216" s="173">
        <v>42829</v>
      </c>
      <c r="F216" s="174">
        <v>6.13</v>
      </c>
      <c r="G216" s="175" t="s">
        <v>16</v>
      </c>
      <c r="H216" s="172" t="s">
        <v>20</v>
      </c>
      <c r="I216" s="175">
        <v>1</v>
      </c>
      <c r="J216" s="175" t="s">
        <v>18</v>
      </c>
      <c r="K216" s="175" t="s">
        <v>85</v>
      </c>
      <c r="L216" s="172" t="s">
        <v>86</v>
      </c>
    </row>
    <row r="217" spans="1:12" x14ac:dyDescent="0.2">
      <c r="A217" s="172" t="s">
        <v>83</v>
      </c>
      <c r="B217" s="172" t="s">
        <v>84</v>
      </c>
      <c r="C217" s="172" t="s">
        <v>14</v>
      </c>
      <c r="D217" s="172" t="s">
        <v>15</v>
      </c>
      <c r="E217" s="173">
        <v>42829</v>
      </c>
      <c r="F217" s="174">
        <v>59.815314000000001</v>
      </c>
      <c r="G217" s="175" t="s">
        <v>19</v>
      </c>
      <c r="H217" s="172" t="s">
        <v>20</v>
      </c>
      <c r="I217" s="175">
        <v>1</v>
      </c>
      <c r="J217" s="175" t="s">
        <v>18</v>
      </c>
      <c r="K217" s="175" t="s">
        <v>85</v>
      </c>
      <c r="L217" s="172" t="s">
        <v>86</v>
      </c>
    </row>
    <row r="218" spans="1:12" x14ac:dyDescent="0.2">
      <c r="A218" s="172" t="s">
        <v>83</v>
      </c>
      <c r="B218" s="172" t="s">
        <v>84</v>
      </c>
      <c r="C218" s="172" t="s">
        <v>14</v>
      </c>
      <c r="D218" s="172" t="s">
        <v>15</v>
      </c>
      <c r="E218" s="173">
        <v>42822</v>
      </c>
      <c r="F218" s="174">
        <v>18.899999999999999</v>
      </c>
      <c r="G218" s="175" t="s">
        <v>16</v>
      </c>
      <c r="H218" s="172" t="s">
        <v>17</v>
      </c>
      <c r="I218" s="175">
        <v>1</v>
      </c>
      <c r="J218" s="175" t="s">
        <v>18</v>
      </c>
      <c r="K218" s="175" t="s">
        <v>85</v>
      </c>
      <c r="L218" s="172" t="s">
        <v>86</v>
      </c>
    </row>
    <row r="219" spans="1:12" x14ac:dyDescent="0.2">
      <c r="A219" s="172" t="s">
        <v>83</v>
      </c>
      <c r="B219" s="172" t="s">
        <v>84</v>
      </c>
      <c r="C219" s="172" t="s">
        <v>14</v>
      </c>
      <c r="D219" s="172" t="s">
        <v>15</v>
      </c>
      <c r="E219" s="173">
        <v>42822</v>
      </c>
      <c r="F219" s="174">
        <v>93.472217999999998</v>
      </c>
      <c r="G219" s="175" t="s">
        <v>19</v>
      </c>
      <c r="H219" s="172" t="s">
        <v>17</v>
      </c>
      <c r="I219" s="175">
        <v>1</v>
      </c>
      <c r="J219" s="175" t="s">
        <v>18</v>
      </c>
      <c r="K219" s="175" t="s">
        <v>85</v>
      </c>
      <c r="L219" s="172" t="s">
        <v>86</v>
      </c>
    </row>
    <row r="220" spans="1:12" x14ac:dyDescent="0.2">
      <c r="A220" s="172" t="s">
        <v>83</v>
      </c>
      <c r="B220" s="172" t="s">
        <v>84</v>
      </c>
      <c r="C220" s="172" t="s">
        <v>14</v>
      </c>
      <c r="D220" s="172" t="s">
        <v>15</v>
      </c>
      <c r="E220" s="173">
        <v>42822</v>
      </c>
      <c r="F220" s="174">
        <v>7.81</v>
      </c>
      <c r="G220" s="175" t="s">
        <v>16</v>
      </c>
      <c r="H220" s="172" t="s">
        <v>20</v>
      </c>
      <c r="I220" s="175">
        <v>1</v>
      </c>
      <c r="J220" s="175" t="s">
        <v>18</v>
      </c>
      <c r="K220" s="175" t="s">
        <v>85</v>
      </c>
      <c r="L220" s="172" t="s">
        <v>86</v>
      </c>
    </row>
    <row r="221" spans="1:12" x14ac:dyDescent="0.2">
      <c r="A221" s="172" t="s">
        <v>83</v>
      </c>
      <c r="B221" s="172" t="s">
        <v>84</v>
      </c>
      <c r="C221" s="172" t="s">
        <v>14</v>
      </c>
      <c r="D221" s="172" t="s">
        <v>15</v>
      </c>
      <c r="E221" s="173">
        <v>42822</v>
      </c>
      <c r="F221" s="174">
        <v>38.625292100000003</v>
      </c>
      <c r="G221" s="175" t="s">
        <v>19</v>
      </c>
      <c r="H221" s="172" t="s">
        <v>20</v>
      </c>
      <c r="I221" s="175">
        <v>1</v>
      </c>
      <c r="J221" s="175" t="s">
        <v>18</v>
      </c>
      <c r="K221" s="175" t="s">
        <v>85</v>
      </c>
      <c r="L221" s="172" t="s">
        <v>86</v>
      </c>
    </row>
    <row r="222" spans="1:12" x14ac:dyDescent="0.2">
      <c r="A222" s="172" t="s">
        <v>83</v>
      </c>
      <c r="B222" s="172" t="s">
        <v>84</v>
      </c>
      <c r="C222" s="172" t="s">
        <v>14</v>
      </c>
      <c r="D222" s="172" t="s">
        <v>15</v>
      </c>
      <c r="E222" s="173">
        <v>42815</v>
      </c>
      <c r="F222" s="174">
        <v>18.100000000000001</v>
      </c>
      <c r="G222" s="175" t="s">
        <v>16</v>
      </c>
      <c r="H222" s="172" t="s">
        <v>17</v>
      </c>
      <c r="I222" s="175">
        <v>1</v>
      </c>
      <c r="J222" s="175" t="s">
        <v>18</v>
      </c>
      <c r="K222" s="175" t="s">
        <v>85</v>
      </c>
      <c r="L222" s="172" t="s">
        <v>86</v>
      </c>
    </row>
    <row r="223" spans="1:12" x14ac:dyDescent="0.2">
      <c r="A223" s="172" t="s">
        <v>83</v>
      </c>
      <c r="B223" s="172" t="s">
        <v>84</v>
      </c>
      <c r="C223" s="172" t="s">
        <v>14</v>
      </c>
      <c r="D223" s="172" t="s">
        <v>15</v>
      </c>
      <c r="E223" s="173">
        <v>42815</v>
      </c>
      <c r="F223" s="174">
        <v>91.780032000000006</v>
      </c>
      <c r="G223" s="175" t="s">
        <v>19</v>
      </c>
      <c r="H223" s="172" t="s">
        <v>17</v>
      </c>
      <c r="I223" s="175">
        <v>1</v>
      </c>
      <c r="J223" s="175" t="s">
        <v>18</v>
      </c>
      <c r="K223" s="175" t="s">
        <v>85</v>
      </c>
      <c r="L223" s="172" t="s">
        <v>86</v>
      </c>
    </row>
    <row r="224" spans="1:12" x14ac:dyDescent="0.2">
      <c r="A224" s="172" t="s">
        <v>83</v>
      </c>
      <c r="B224" s="172" t="s">
        <v>84</v>
      </c>
      <c r="C224" s="172" t="s">
        <v>14</v>
      </c>
      <c r="D224" s="172" t="s">
        <v>15</v>
      </c>
      <c r="E224" s="173">
        <v>42815</v>
      </c>
      <c r="F224" s="174">
        <v>8.98</v>
      </c>
      <c r="G224" s="175" t="s">
        <v>16</v>
      </c>
      <c r="H224" s="172" t="s">
        <v>20</v>
      </c>
      <c r="I224" s="175">
        <v>1</v>
      </c>
      <c r="J224" s="175" t="s">
        <v>18</v>
      </c>
      <c r="K224" s="175" t="s">
        <v>85</v>
      </c>
      <c r="L224" s="172" t="s">
        <v>86</v>
      </c>
    </row>
    <row r="225" spans="1:12" x14ac:dyDescent="0.2">
      <c r="A225" s="172" t="s">
        <v>83</v>
      </c>
      <c r="B225" s="172" t="s">
        <v>84</v>
      </c>
      <c r="C225" s="172" t="s">
        <v>14</v>
      </c>
      <c r="D225" s="172" t="s">
        <v>15</v>
      </c>
      <c r="E225" s="173">
        <v>42815</v>
      </c>
      <c r="F225" s="174">
        <v>45.535065500000002</v>
      </c>
      <c r="G225" s="175" t="s">
        <v>19</v>
      </c>
      <c r="H225" s="172" t="s">
        <v>20</v>
      </c>
      <c r="I225" s="175">
        <v>1</v>
      </c>
      <c r="J225" s="175" t="s">
        <v>18</v>
      </c>
      <c r="K225" s="175" t="s">
        <v>85</v>
      </c>
      <c r="L225" s="172" t="s">
        <v>86</v>
      </c>
    </row>
    <row r="226" spans="1:12" x14ac:dyDescent="0.2">
      <c r="A226" s="172" t="s">
        <v>83</v>
      </c>
      <c r="B226" s="172" t="s">
        <v>84</v>
      </c>
      <c r="C226" s="172" t="s">
        <v>14</v>
      </c>
      <c r="D226" s="172" t="s">
        <v>15</v>
      </c>
      <c r="E226" s="173">
        <v>42808</v>
      </c>
      <c r="F226" s="174">
        <v>18.899999999999999</v>
      </c>
      <c r="G226" s="175" t="s">
        <v>16</v>
      </c>
      <c r="H226" s="172" t="s">
        <v>17</v>
      </c>
      <c r="I226" s="175">
        <v>1</v>
      </c>
      <c r="J226" s="175" t="s">
        <v>18</v>
      </c>
      <c r="K226" s="175" t="s">
        <v>85</v>
      </c>
      <c r="L226" s="172" t="s">
        <v>86</v>
      </c>
    </row>
    <row r="227" spans="1:12" x14ac:dyDescent="0.2">
      <c r="A227" s="172" t="s">
        <v>83</v>
      </c>
      <c r="B227" s="172" t="s">
        <v>84</v>
      </c>
      <c r="C227" s="172" t="s">
        <v>14</v>
      </c>
      <c r="D227" s="172" t="s">
        <v>15</v>
      </c>
      <c r="E227" s="173">
        <v>42808</v>
      </c>
      <c r="F227" s="174">
        <v>79.443503899999996</v>
      </c>
      <c r="G227" s="175" t="s">
        <v>19</v>
      </c>
      <c r="H227" s="172" t="s">
        <v>17</v>
      </c>
      <c r="I227" s="175">
        <v>1</v>
      </c>
      <c r="J227" s="175" t="s">
        <v>18</v>
      </c>
      <c r="K227" s="175" t="s">
        <v>85</v>
      </c>
      <c r="L227" s="172" t="s">
        <v>86</v>
      </c>
    </row>
    <row r="228" spans="1:12" x14ac:dyDescent="0.2">
      <c r="A228" s="172" t="s">
        <v>83</v>
      </c>
      <c r="B228" s="172" t="s">
        <v>84</v>
      </c>
      <c r="C228" s="172" t="s">
        <v>14</v>
      </c>
      <c r="D228" s="172" t="s">
        <v>15</v>
      </c>
      <c r="E228" s="173">
        <v>42808</v>
      </c>
      <c r="F228" s="174">
        <v>8.7100000000000009</v>
      </c>
      <c r="G228" s="175" t="s">
        <v>16</v>
      </c>
      <c r="H228" s="172" t="s">
        <v>20</v>
      </c>
      <c r="I228" s="175">
        <v>1</v>
      </c>
      <c r="J228" s="175" t="s">
        <v>18</v>
      </c>
      <c r="K228" s="175" t="s">
        <v>85</v>
      </c>
      <c r="L228" s="172" t="s">
        <v>86</v>
      </c>
    </row>
    <row r="229" spans="1:12" x14ac:dyDescent="0.2">
      <c r="A229" s="172" t="s">
        <v>83</v>
      </c>
      <c r="B229" s="172" t="s">
        <v>84</v>
      </c>
      <c r="C229" s="172" t="s">
        <v>14</v>
      </c>
      <c r="D229" s="172" t="s">
        <v>15</v>
      </c>
      <c r="E229" s="173">
        <v>42808</v>
      </c>
      <c r="F229" s="174">
        <v>36.611265600000003</v>
      </c>
      <c r="G229" s="175" t="s">
        <v>19</v>
      </c>
      <c r="H229" s="172" t="s">
        <v>20</v>
      </c>
      <c r="I229" s="175">
        <v>1</v>
      </c>
      <c r="J229" s="175" t="s">
        <v>18</v>
      </c>
      <c r="K229" s="175" t="s">
        <v>85</v>
      </c>
      <c r="L229" s="172" t="s">
        <v>86</v>
      </c>
    </row>
    <row r="230" spans="1:12" x14ac:dyDescent="0.2">
      <c r="A230" s="172" t="s">
        <v>83</v>
      </c>
      <c r="B230" s="172" t="s">
        <v>84</v>
      </c>
      <c r="C230" s="172" t="s">
        <v>14</v>
      </c>
      <c r="D230" s="172" t="s">
        <v>15</v>
      </c>
      <c r="E230" s="173">
        <v>42801</v>
      </c>
      <c r="F230" s="174">
        <v>19.600000000000001</v>
      </c>
      <c r="G230" s="175" t="s">
        <v>16</v>
      </c>
      <c r="H230" s="172" t="s">
        <v>17</v>
      </c>
      <c r="I230" s="175">
        <v>1</v>
      </c>
      <c r="J230" s="175" t="s">
        <v>18</v>
      </c>
      <c r="K230" s="175" t="s">
        <v>85</v>
      </c>
      <c r="L230" s="172" t="s">
        <v>86</v>
      </c>
    </row>
    <row r="231" spans="1:12" x14ac:dyDescent="0.2">
      <c r="A231" s="172" t="s">
        <v>83</v>
      </c>
      <c r="B231" s="172" t="s">
        <v>84</v>
      </c>
      <c r="C231" s="172" t="s">
        <v>14</v>
      </c>
      <c r="D231" s="172" t="s">
        <v>15</v>
      </c>
      <c r="E231" s="173">
        <v>42801</v>
      </c>
      <c r="F231" s="174">
        <v>109.193952</v>
      </c>
      <c r="G231" s="175" t="s">
        <v>19</v>
      </c>
      <c r="H231" s="172" t="s">
        <v>17</v>
      </c>
      <c r="I231" s="175">
        <v>1</v>
      </c>
      <c r="J231" s="175" t="s">
        <v>18</v>
      </c>
      <c r="K231" s="175" t="s">
        <v>85</v>
      </c>
      <c r="L231" s="172" t="s">
        <v>86</v>
      </c>
    </row>
    <row r="232" spans="1:12" x14ac:dyDescent="0.2">
      <c r="A232" s="172" t="s">
        <v>83</v>
      </c>
      <c r="B232" s="172" t="s">
        <v>84</v>
      </c>
      <c r="C232" s="172" t="s">
        <v>14</v>
      </c>
      <c r="D232" s="172" t="s">
        <v>15</v>
      </c>
      <c r="E232" s="173">
        <v>42801</v>
      </c>
      <c r="F232" s="174">
        <v>7.9</v>
      </c>
      <c r="G232" s="175" t="s">
        <v>16</v>
      </c>
      <c r="H232" s="172" t="s">
        <v>20</v>
      </c>
      <c r="I232" s="175">
        <v>1</v>
      </c>
      <c r="J232" s="175" t="s">
        <v>18</v>
      </c>
      <c r="K232" s="175" t="s">
        <v>85</v>
      </c>
      <c r="L232" s="172" t="s">
        <v>86</v>
      </c>
    </row>
    <row r="233" spans="1:12" x14ac:dyDescent="0.2">
      <c r="A233" s="172" t="s">
        <v>83</v>
      </c>
      <c r="B233" s="172" t="s">
        <v>84</v>
      </c>
      <c r="C233" s="172" t="s">
        <v>14</v>
      </c>
      <c r="D233" s="172" t="s">
        <v>15</v>
      </c>
      <c r="E233" s="173">
        <v>42801</v>
      </c>
      <c r="F233" s="174">
        <v>44.011848000000001</v>
      </c>
      <c r="G233" s="175" t="s">
        <v>19</v>
      </c>
      <c r="H233" s="172" t="s">
        <v>20</v>
      </c>
      <c r="I233" s="175">
        <v>1</v>
      </c>
      <c r="J233" s="175" t="s">
        <v>18</v>
      </c>
      <c r="K233" s="175" t="s">
        <v>85</v>
      </c>
      <c r="L233" s="172" t="s">
        <v>86</v>
      </c>
    </row>
    <row r="234" spans="1:12" x14ac:dyDescent="0.2">
      <c r="A234" s="172" t="s">
        <v>83</v>
      </c>
      <c r="B234" s="172" t="s">
        <v>84</v>
      </c>
      <c r="C234" s="172" t="s">
        <v>14</v>
      </c>
      <c r="D234" s="172" t="s">
        <v>15</v>
      </c>
      <c r="E234" s="173">
        <v>42787</v>
      </c>
      <c r="F234" s="174">
        <v>16.7</v>
      </c>
      <c r="G234" s="175" t="s">
        <v>16</v>
      </c>
      <c r="H234" s="172" t="s">
        <v>17</v>
      </c>
      <c r="I234" s="175">
        <v>1</v>
      </c>
      <c r="J234" s="175" t="s">
        <v>18</v>
      </c>
      <c r="K234" s="175" t="s">
        <v>85</v>
      </c>
      <c r="L234" s="172" t="s">
        <v>86</v>
      </c>
    </row>
    <row r="235" spans="1:12" x14ac:dyDescent="0.2">
      <c r="A235" s="172" t="s">
        <v>83</v>
      </c>
      <c r="B235" s="172" t="s">
        <v>84</v>
      </c>
      <c r="C235" s="172" t="s">
        <v>14</v>
      </c>
      <c r="D235" s="172" t="s">
        <v>15</v>
      </c>
      <c r="E235" s="173">
        <v>42787</v>
      </c>
      <c r="F235" s="174">
        <v>105.294168</v>
      </c>
      <c r="G235" s="175" t="s">
        <v>19</v>
      </c>
      <c r="H235" s="172" t="s">
        <v>17</v>
      </c>
      <c r="I235" s="175">
        <v>1</v>
      </c>
      <c r="J235" s="175" t="s">
        <v>18</v>
      </c>
      <c r="K235" s="175" t="s">
        <v>85</v>
      </c>
      <c r="L235" s="172" t="s">
        <v>86</v>
      </c>
    </row>
    <row r="236" spans="1:12" x14ac:dyDescent="0.2">
      <c r="A236" s="172" t="s">
        <v>83</v>
      </c>
      <c r="B236" s="172" t="s">
        <v>84</v>
      </c>
      <c r="C236" s="172" t="s">
        <v>14</v>
      </c>
      <c r="D236" s="172" t="s">
        <v>15</v>
      </c>
      <c r="E236" s="173">
        <v>42787</v>
      </c>
      <c r="F236" s="174">
        <v>8.48</v>
      </c>
      <c r="G236" s="175" t="s">
        <v>16</v>
      </c>
      <c r="H236" s="172" t="s">
        <v>20</v>
      </c>
      <c r="I236" s="175">
        <v>1</v>
      </c>
      <c r="J236" s="175" t="s">
        <v>18</v>
      </c>
      <c r="K236" s="175" t="s">
        <v>85</v>
      </c>
      <c r="L236" s="172" t="s">
        <v>86</v>
      </c>
    </row>
    <row r="237" spans="1:12" x14ac:dyDescent="0.2">
      <c r="A237" s="172" t="s">
        <v>83</v>
      </c>
      <c r="B237" s="172" t="s">
        <v>84</v>
      </c>
      <c r="C237" s="172" t="s">
        <v>14</v>
      </c>
      <c r="D237" s="172" t="s">
        <v>15</v>
      </c>
      <c r="E237" s="173">
        <v>42787</v>
      </c>
      <c r="F237" s="174">
        <v>53.466739199999999</v>
      </c>
      <c r="G237" s="175" t="s">
        <v>19</v>
      </c>
      <c r="H237" s="172" t="s">
        <v>20</v>
      </c>
      <c r="I237" s="175">
        <v>1</v>
      </c>
      <c r="J237" s="175" t="s">
        <v>18</v>
      </c>
      <c r="K237" s="175" t="s">
        <v>85</v>
      </c>
      <c r="L237" s="172" t="s">
        <v>86</v>
      </c>
    </row>
    <row r="238" spans="1:12" x14ac:dyDescent="0.2">
      <c r="A238" s="172" t="s">
        <v>83</v>
      </c>
      <c r="B238" s="172" t="s">
        <v>84</v>
      </c>
      <c r="C238" s="172" t="s">
        <v>14</v>
      </c>
      <c r="D238" s="172" t="s">
        <v>15</v>
      </c>
      <c r="E238" s="173">
        <v>42780</v>
      </c>
      <c r="F238" s="174">
        <v>21.3</v>
      </c>
      <c r="G238" s="175" t="s">
        <v>16</v>
      </c>
      <c r="H238" s="172" t="s">
        <v>17</v>
      </c>
      <c r="I238" s="175">
        <v>1</v>
      </c>
      <c r="J238" s="175" t="s">
        <v>18</v>
      </c>
      <c r="K238" s="175" t="s">
        <v>85</v>
      </c>
      <c r="L238" s="172" t="s">
        <v>86</v>
      </c>
    </row>
    <row r="239" spans="1:12" x14ac:dyDescent="0.2">
      <c r="A239" s="172" t="s">
        <v>83</v>
      </c>
      <c r="B239" s="172" t="s">
        <v>84</v>
      </c>
      <c r="C239" s="172" t="s">
        <v>14</v>
      </c>
      <c r="D239" s="172" t="s">
        <v>15</v>
      </c>
      <c r="E239" s="173">
        <v>42780</v>
      </c>
      <c r="F239" s="174">
        <v>86.866937899999996</v>
      </c>
      <c r="G239" s="175" t="s">
        <v>19</v>
      </c>
      <c r="H239" s="172" t="s">
        <v>17</v>
      </c>
      <c r="I239" s="175">
        <v>1</v>
      </c>
      <c r="J239" s="175" t="s">
        <v>18</v>
      </c>
      <c r="K239" s="175" t="s">
        <v>85</v>
      </c>
      <c r="L239" s="172" t="s">
        <v>86</v>
      </c>
    </row>
    <row r="240" spans="1:12" x14ac:dyDescent="0.2">
      <c r="A240" s="172" t="s">
        <v>83</v>
      </c>
      <c r="B240" s="172" t="s">
        <v>84</v>
      </c>
      <c r="C240" s="172" t="s">
        <v>14</v>
      </c>
      <c r="D240" s="172" t="s">
        <v>15</v>
      </c>
      <c r="E240" s="173">
        <v>42780</v>
      </c>
      <c r="F240" s="174">
        <v>10.199999999999999</v>
      </c>
      <c r="G240" s="175" t="s">
        <v>16</v>
      </c>
      <c r="H240" s="172" t="s">
        <v>20</v>
      </c>
      <c r="I240" s="175">
        <v>1</v>
      </c>
      <c r="J240" s="175" t="s">
        <v>18</v>
      </c>
      <c r="K240" s="175" t="s">
        <v>85</v>
      </c>
      <c r="L240" s="172" t="s">
        <v>86</v>
      </c>
    </row>
    <row r="241" spans="1:12" x14ac:dyDescent="0.2">
      <c r="A241" s="172" t="s">
        <v>83</v>
      </c>
      <c r="B241" s="172" t="s">
        <v>84</v>
      </c>
      <c r="C241" s="172" t="s">
        <v>14</v>
      </c>
      <c r="D241" s="172" t="s">
        <v>15</v>
      </c>
      <c r="E241" s="173">
        <v>42780</v>
      </c>
      <c r="F241" s="174">
        <v>41.598251900000001</v>
      </c>
      <c r="G241" s="175" t="s">
        <v>19</v>
      </c>
      <c r="H241" s="172" t="s">
        <v>20</v>
      </c>
      <c r="I241" s="175">
        <v>1</v>
      </c>
      <c r="J241" s="175" t="s">
        <v>18</v>
      </c>
      <c r="K241" s="175" t="s">
        <v>85</v>
      </c>
      <c r="L241" s="172" t="s">
        <v>86</v>
      </c>
    </row>
    <row r="242" spans="1:12" x14ac:dyDescent="0.2">
      <c r="A242" s="172" t="s">
        <v>83</v>
      </c>
      <c r="B242" s="172" t="s">
        <v>84</v>
      </c>
      <c r="C242" s="172" t="s">
        <v>14</v>
      </c>
      <c r="D242" s="172" t="s">
        <v>15</v>
      </c>
      <c r="E242" s="173">
        <v>42773</v>
      </c>
      <c r="F242" s="174">
        <v>22.8</v>
      </c>
      <c r="G242" s="175" t="s">
        <v>16</v>
      </c>
      <c r="H242" s="172" t="s">
        <v>17</v>
      </c>
      <c r="I242" s="175">
        <v>1</v>
      </c>
      <c r="J242" s="175" t="s">
        <v>18</v>
      </c>
      <c r="K242" s="175" t="s">
        <v>85</v>
      </c>
      <c r="L242" s="172" t="s">
        <v>86</v>
      </c>
    </row>
    <row r="243" spans="1:12" x14ac:dyDescent="0.2">
      <c r="A243" s="172" t="s">
        <v>83</v>
      </c>
      <c r="B243" s="172" t="s">
        <v>84</v>
      </c>
      <c r="C243" s="172" t="s">
        <v>14</v>
      </c>
      <c r="D243" s="172" t="s">
        <v>15</v>
      </c>
      <c r="E243" s="173">
        <v>42773</v>
      </c>
      <c r="F243" s="174">
        <v>101.351016</v>
      </c>
      <c r="G243" s="175" t="s">
        <v>19</v>
      </c>
      <c r="H243" s="172" t="s">
        <v>17</v>
      </c>
      <c r="I243" s="175">
        <v>1</v>
      </c>
      <c r="J243" s="175" t="s">
        <v>18</v>
      </c>
      <c r="K243" s="175" t="s">
        <v>85</v>
      </c>
      <c r="L243" s="172" t="s">
        <v>86</v>
      </c>
    </row>
    <row r="244" spans="1:12" x14ac:dyDescent="0.2">
      <c r="A244" s="172" t="s">
        <v>83</v>
      </c>
      <c r="B244" s="172" t="s">
        <v>84</v>
      </c>
      <c r="C244" s="172" t="s">
        <v>14</v>
      </c>
      <c r="D244" s="172" t="s">
        <v>15</v>
      </c>
      <c r="E244" s="173">
        <v>42773</v>
      </c>
      <c r="F244" s="174">
        <v>10.3</v>
      </c>
      <c r="G244" s="175" t="s">
        <v>16</v>
      </c>
      <c r="H244" s="172" t="s">
        <v>20</v>
      </c>
      <c r="I244" s="175">
        <v>1</v>
      </c>
      <c r="J244" s="175" t="s">
        <v>18</v>
      </c>
      <c r="K244" s="175" t="s">
        <v>85</v>
      </c>
      <c r="L244" s="172" t="s">
        <v>86</v>
      </c>
    </row>
    <row r="245" spans="1:12" x14ac:dyDescent="0.2">
      <c r="A245" s="172" t="s">
        <v>83</v>
      </c>
      <c r="B245" s="172" t="s">
        <v>84</v>
      </c>
      <c r="C245" s="172" t="s">
        <v>14</v>
      </c>
      <c r="D245" s="172" t="s">
        <v>15</v>
      </c>
      <c r="E245" s="173">
        <v>42773</v>
      </c>
      <c r="F245" s="174">
        <v>45.785766000000002</v>
      </c>
      <c r="G245" s="175" t="s">
        <v>19</v>
      </c>
      <c r="H245" s="172" t="s">
        <v>20</v>
      </c>
      <c r="I245" s="175">
        <v>1</v>
      </c>
      <c r="J245" s="175" t="s">
        <v>18</v>
      </c>
      <c r="K245" s="175" t="s">
        <v>85</v>
      </c>
      <c r="L245" s="172" t="s">
        <v>86</v>
      </c>
    </row>
    <row r="246" spans="1:12" x14ac:dyDescent="0.2">
      <c r="A246" s="172" t="s">
        <v>83</v>
      </c>
      <c r="B246" s="172" t="s">
        <v>84</v>
      </c>
      <c r="C246" s="172" t="s">
        <v>14</v>
      </c>
      <c r="D246" s="172" t="s">
        <v>15</v>
      </c>
      <c r="E246" s="173">
        <v>42768</v>
      </c>
      <c r="F246" s="174">
        <v>18.399999999999999</v>
      </c>
      <c r="G246" s="175" t="s">
        <v>16</v>
      </c>
      <c r="H246" s="172" t="s">
        <v>17</v>
      </c>
      <c r="I246" s="175">
        <v>1</v>
      </c>
      <c r="J246" s="175" t="s">
        <v>18</v>
      </c>
      <c r="K246" s="175" t="s">
        <v>85</v>
      </c>
      <c r="L246" s="172" t="s">
        <v>86</v>
      </c>
    </row>
    <row r="247" spans="1:12" x14ac:dyDescent="0.2">
      <c r="A247" s="172" t="s">
        <v>83</v>
      </c>
      <c r="B247" s="172" t="s">
        <v>84</v>
      </c>
      <c r="C247" s="172" t="s">
        <v>14</v>
      </c>
      <c r="D247" s="172" t="s">
        <v>15</v>
      </c>
      <c r="E247" s="173">
        <v>42768</v>
      </c>
      <c r="F247" s="174">
        <v>79.183295900000005</v>
      </c>
      <c r="G247" s="175" t="s">
        <v>19</v>
      </c>
      <c r="H247" s="172" t="s">
        <v>17</v>
      </c>
      <c r="I247" s="175">
        <v>1</v>
      </c>
      <c r="J247" s="175" t="s">
        <v>18</v>
      </c>
      <c r="K247" s="175" t="s">
        <v>85</v>
      </c>
      <c r="L247" s="172" t="s">
        <v>86</v>
      </c>
    </row>
    <row r="248" spans="1:12" x14ac:dyDescent="0.2">
      <c r="A248" s="172" t="s">
        <v>83</v>
      </c>
      <c r="B248" s="172" t="s">
        <v>84</v>
      </c>
      <c r="C248" s="172" t="s">
        <v>14</v>
      </c>
      <c r="D248" s="172" t="s">
        <v>15</v>
      </c>
      <c r="E248" s="173">
        <v>42768</v>
      </c>
      <c r="F248" s="174">
        <v>9.91</v>
      </c>
      <c r="G248" s="175" t="s">
        <v>16</v>
      </c>
      <c r="H248" s="172" t="s">
        <v>20</v>
      </c>
      <c r="I248" s="175">
        <v>1</v>
      </c>
      <c r="J248" s="175" t="s">
        <v>18</v>
      </c>
      <c r="K248" s="175" t="s">
        <v>85</v>
      </c>
      <c r="L248" s="172" t="s">
        <v>86</v>
      </c>
    </row>
    <row r="249" spans="1:12" x14ac:dyDescent="0.2">
      <c r="A249" s="172" t="s">
        <v>83</v>
      </c>
      <c r="B249" s="172" t="s">
        <v>84</v>
      </c>
      <c r="C249" s="172" t="s">
        <v>14</v>
      </c>
      <c r="D249" s="172" t="s">
        <v>15</v>
      </c>
      <c r="E249" s="173">
        <v>42768</v>
      </c>
      <c r="F249" s="174">
        <v>42.647090400000003</v>
      </c>
      <c r="G249" s="175" t="s">
        <v>19</v>
      </c>
      <c r="H249" s="172" t="s">
        <v>20</v>
      </c>
      <c r="I249" s="175">
        <v>1</v>
      </c>
      <c r="J249" s="175" t="s">
        <v>18</v>
      </c>
      <c r="K249" s="175" t="s">
        <v>85</v>
      </c>
      <c r="L249" s="172" t="s">
        <v>86</v>
      </c>
    </row>
    <row r="250" spans="1:12" x14ac:dyDescent="0.2">
      <c r="A250" s="172" t="s">
        <v>83</v>
      </c>
      <c r="B250" s="172" t="s">
        <v>84</v>
      </c>
      <c r="C250" s="172" t="s">
        <v>14</v>
      </c>
      <c r="D250" s="172" t="s">
        <v>15</v>
      </c>
      <c r="E250" s="173">
        <v>42759</v>
      </c>
      <c r="F250" s="174">
        <v>15.8</v>
      </c>
      <c r="G250" s="175" t="s">
        <v>16</v>
      </c>
      <c r="H250" s="172" t="s">
        <v>17</v>
      </c>
      <c r="I250" s="175">
        <v>1</v>
      </c>
      <c r="J250" s="175" t="s">
        <v>18</v>
      </c>
      <c r="K250" s="175" t="s">
        <v>85</v>
      </c>
      <c r="L250" s="172" t="s">
        <v>86</v>
      </c>
    </row>
    <row r="251" spans="1:12" x14ac:dyDescent="0.2">
      <c r="A251" s="172" t="s">
        <v>83</v>
      </c>
      <c r="B251" s="172" t="s">
        <v>84</v>
      </c>
      <c r="C251" s="172" t="s">
        <v>14</v>
      </c>
      <c r="D251" s="172" t="s">
        <v>15</v>
      </c>
      <c r="E251" s="173">
        <v>42759</v>
      </c>
      <c r="F251" s="174">
        <v>76.559532000000004</v>
      </c>
      <c r="G251" s="175" t="s">
        <v>19</v>
      </c>
      <c r="H251" s="172" t="s">
        <v>17</v>
      </c>
      <c r="I251" s="175">
        <v>1</v>
      </c>
      <c r="J251" s="175" t="s">
        <v>18</v>
      </c>
      <c r="K251" s="175" t="s">
        <v>85</v>
      </c>
      <c r="L251" s="172" t="s">
        <v>86</v>
      </c>
    </row>
    <row r="252" spans="1:12" x14ac:dyDescent="0.2">
      <c r="A252" s="172" t="s">
        <v>83</v>
      </c>
      <c r="B252" s="172" t="s">
        <v>84</v>
      </c>
      <c r="C252" s="172" t="s">
        <v>14</v>
      </c>
      <c r="D252" s="172" t="s">
        <v>15</v>
      </c>
      <c r="E252" s="173">
        <v>42759</v>
      </c>
      <c r="F252" s="174">
        <v>7.32</v>
      </c>
      <c r="G252" s="175" t="s">
        <v>16</v>
      </c>
      <c r="H252" s="172" t="s">
        <v>20</v>
      </c>
      <c r="I252" s="175">
        <v>1</v>
      </c>
      <c r="J252" s="175" t="s">
        <v>18</v>
      </c>
      <c r="K252" s="175" t="s">
        <v>85</v>
      </c>
      <c r="L252" s="172" t="s">
        <v>86</v>
      </c>
    </row>
    <row r="253" spans="1:12" x14ac:dyDescent="0.2">
      <c r="A253" s="172" t="s">
        <v>83</v>
      </c>
      <c r="B253" s="172" t="s">
        <v>84</v>
      </c>
      <c r="C253" s="172" t="s">
        <v>14</v>
      </c>
      <c r="D253" s="172" t="s">
        <v>15</v>
      </c>
      <c r="E253" s="173">
        <v>42759</v>
      </c>
      <c r="F253" s="174">
        <v>35.469352700000002</v>
      </c>
      <c r="G253" s="175" t="s">
        <v>19</v>
      </c>
      <c r="H253" s="172" t="s">
        <v>20</v>
      </c>
      <c r="I253" s="175">
        <v>1</v>
      </c>
      <c r="J253" s="175" t="s">
        <v>18</v>
      </c>
      <c r="K253" s="175" t="s">
        <v>85</v>
      </c>
      <c r="L253" s="172" t="s">
        <v>86</v>
      </c>
    </row>
    <row r="254" spans="1:12" x14ac:dyDescent="0.2">
      <c r="A254" s="172" t="s">
        <v>83</v>
      </c>
      <c r="B254" s="172" t="s">
        <v>84</v>
      </c>
      <c r="C254" s="172" t="s">
        <v>14</v>
      </c>
      <c r="D254" s="172" t="s">
        <v>15</v>
      </c>
      <c r="E254" s="173">
        <v>42752</v>
      </c>
      <c r="F254" s="174">
        <v>20.9</v>
      </c>
      <c r="G254" s="175" t="s">
        <v>16</v>
      </c>
      <c r="H254" s="172" t="s">
        <v>17</v>
      </c>
      <c r="I254" s="175">
        <v>1</v>
      </c>
      <c r="J254" s="175" t="s">
        <v>18</v>
      </c>
      <c r="K254" s="175" t="s">
        <v>85</v>
      </c>
      <c r="L254" s="172" t="s">
        <v>86</v>
      </c>
    </row>
    <row r="255" spans="1:12" x14ac:dyDescent="0.2">
      <c r="A255" s="172" t="s">
        <v>83</v>
      </c>
      <c r="B255" s="172" t="s">
        <v>84</v>
      </c>
      <c r="C255" s="172" t="s">
        <v>14</v>
      </c>
      <c r="D255" s="172" t="s">
        <v>15</v>
      </c>
      <c r="E255" s="173">
        <v>42752</v>
      </c>
      <c r="F255" s="174">
        <v>116.087796</v>
      </c>
      <c r="G255" s="175" t="s">
        <v>19</v>
      </c>
      <c r="H255" s="172" t="s">
        <v>17</v>
      </c>
      <c r="I255" s="175">
        <v>1</v>
      </c>
      <c r="J255" s="175" t="s">
        <v>18</v>
      </c>
      <c r="K255" s="175" t="s">
        <v>85</v>
      </c>
      <c r="L255" s="172" t="s">
        <v>86</v>
      </c>
    </row>
    <row r="256" spans="1:12" x14ac:dyDescent="0.2">
      <c r="A256" s="172" t="s">
        <v>83</v>
      </c>
      <c r="B256" s="172" t="s">
        <v>84</v>
      </c>
      <c r="C256" s="172" t="s">
        <v>14</v>
      </c>
      <c r="D256" s="172" t="s">
        <v>15</v>
      </c>
      <c r="E256" s="173">
        <v>42752</v>
      </c>
      <c r="F256" s="174">
        <v>9.92</v>
      </c>
      <c r="G256" s="175" t="s">
        <v>16</v>
      </c>
      <c r="H256" s="172" t="s">
        <v>20</v>
      </c>
      <c r="I256" s="175">
        <v>1</v>
      </c>
      <c r="J256" s="175" t="s">
        <v>18</v>
      </c>
      <c r="K256" s="175" t="s">
        <v>85</v>
      </c>
      <c r="L256" s="172" t="s">
        <v>86</v>
      </c>
    </row>
    <row r="257" spans="1:12" x14ac:dyDescent="0.2">
      <c r="A257" s="172" t="s">
        <v>83</v>
      </c>
      <c r="B257" s="172" t="s">
        <v>84</v>
      </c>
      <c r="C257" s="172" t="s">
        <v>14</v>
      </c>
      <c r="D257" s="172" t="s">
        <v>15</v>
      </c>
      <c r="E257" s="173">
        <v>42752</v>
      </c>
      <c r="F257" s="174">
        <v>55.100044799999999</v>
      </c>
      <c r="G257" s="175" t="s">
        <v>19</v>
      </c>
      <c r="H257" s="172" t="s">
        <v>20</v>
      </c>
      <c r="I257" s="175">
        <v>1</v>
      </c>
      <c r="J257" s="175" t="s">
        <v>18</v>
      </c>
      <c r="K257" s="175" t="s">
        <v>85</v>
      </c>
      <c r="L257" s="172" t="s">
        <v>86</v>
      </c>
    </row>
    <row r="258" spans="1:12" x14ac:dyDescent="0.2">
      <c r="A258" s="172" t="s">
        <v>83</v>
      </c>
      <c r="B258" s="172" t="s">
        <v>84</v>
      </c>
      <c r="C258" s="172" t="s">
        <v>14</v>
      </c>
      <c r="D258" s="172" t="s">
        <v>15</v>
      </c>
      <c r="E258" s="173">
        <v>42745</v>
      </c>
      <c r="F258" s="174">
        <v>27.3</v>
      </c>
      <c r="G258" s="175" t="s">
        <v>16</v>
      </c>
      <c r="H258" s="172" t="s">
        <v>17</v>
      </c>
      <c r="I258" s="175">
        <v>1</v>
      </c>
      <c r="J258" s="175" t="s">
        <v>18</v>
      </c>
      <c r="K258" s="175" t="s">
        <v>85</v>
      </c>
      <c r="L258" s="172" t="s">
        <v>86</v>
      </c>
    </row>
    <row r="259" spans="1:12" x14ac:dyDescent="0.2">
      <c r="A259" s="172" t="s">
        <v>83</v>
      </c>
      <c r="B259" s="172" t="s">
        <v>84</v>
      </c>
      <c r="C259" s="172" t="s">
        <v>14</v>
      </c>
      <c r="D259" s="172" t="s">
        <v>15</v>
      </c>
      <c r="E259" s="173">
        <v>42745</v>
      </c>
      <c r="F259" s="174">
        <v>100.18008</v>
      </c>
      <c r="G259" s="175" t="s">
        <v>19</v>
      </c>
      <c r="H259" s="172" t="s">
        <v>17</v>
      </c>
      <c r="I259" s="175">
        <v>1</v>
      </c>
      <c r="J259" s="175" t="s">
        <v>18</v>
      </c>
      <c r="K259" s="175" t="s">
        <v>85</v>
      </c>
      <c r="L259" s="172" t="s">
        <v>86</v>
      </c>
    </row>
    <row r="260" spans="1:12" x14ac:dyDescent="0.2">
      <c r="A260" s="172" t="s">
        <v>83</v>
      </c>
      <c r="B260" s="172" t="s">
        <v>84</v>
      </c>
      <c r="C260" s="172" t="s">
        <v>14</v>
      </c>
      <c r="D260" s="172" t="s">
        <v>15</v>
      </c>
      <c r="E260" s="173">
        <v>42745</v>
      </c>
      <c r="F260" s="174">
        <v>11</v>
      </c>
      <c r="G260" s="175" t="s">
        <v>16</v>
      </c>
      <c r="H260" s="172" t="s">
        <v>20</v>
      </c>
      <c r="I260" s="175">
        <v>1</v>
      </c>
      <c r="J260" s="175" t="s">
        <v>18</v>
      </c>
      <c r="K260" s="175" t="s">
        <v>85</v>
      </c>
      <c r="L260" s="172" t="s">
        <v>86</v>
      </c>
    </row>
    <row r="261" spans="1:12" x14ac:dyDescent="0.2">
      <c r="A261" s="172" t="s">
        <v>83</v>
      </c>
      <c r="B261" s="172" t="s">
        <v>84</v>
      </c>
      <c r="C261" s="172" t="s">
        <v>14</v>
      </c>
      <c r="D261" s="172" t="s">
        <v>15</v>
      </c>
      <c r="E261" s="173">
        <v>42745</v>
      </c>
      <c r="F261" s="174">
        <v>40.365600000000001</v>
      </c>
      <c r="G261" s="175" t="s">
        <v>19</v>
      </c>
      <c r="H261" s="172" t="s">
        <v>20</v>
      </c>
      <c r="I261" s="175">
        <v>1</v>
      </c>
      <c r="J261" s="175" t="s">
        <v>18</v>
      </c>
      <c r="K261" s="175" t="s">
        <v>85</v>
      </c>
      <c r="L261" s="172" t="s">
        <v>86</v>
      </c>
    </row>
    <row r="262" spans="1:12" x14ac:dyDescent="0.2">
      <c r="A262" s="172" t="s">
        <v>83</v>
      </c>
      <c r="B262" s="172" t="s">
        <v>84</v>
      </c>
      <c r="C262" s="172" t="s">
        <v>14</v>
      </c>
      <c r="D262" s="172" t="s">
        <v>15</v>
      </c>
      <c r="E262" s="173">
        <v>42738</v>
      </c>
      <c r="F262" s="174">
        <v>23.3</v>
      </c>
      <c r="G262" s="175" t="s">
        <v>16</v>
      </c>
      <c r="H262" s="172" t="s">
        <v>17</v>
      </c>
      <c r="I262" s="175">
        <v>1</v>
      </c>
      <c r="J262" s="175" t="s">
        <v>18</v>
      </c>
      <c r="K262" s="175" t="s">
        <v>85</v>
      </c>
      <c r="L262" s="172" t="s">
        <v>86</v>
      </c>
    </row>
    <row r="263" spans="1:12" x14ac:dyDescent="0.2">
      <c r="A263" s="172" t="s">
        <v>83</v>
      </c>
      <c r="B263" s="172" t="s">
        <v>84</v>
      </c>
      <c r="C263" s="172" t="s">
        <v>14</v>
      </c>
      <c r="D263" s="172" t="s">
        <v>15</v>
      </c>
      <c r="E263" s="173">
        <v>42738</v>
      </c>
      <c r="F263" s="174">
        <v>109.20896399999999</v>
      </c>
      <c r="G263" s="175" t="s">
        <v>19</v>
      </c>
      <c r="H263" s="172" t="s">
        <v>17</v>
      </c>
      <c r="I263" s="175">
        <v>1</v>
      </c>
      <c r="J263" s="175" t="s">
        <v>18</v>
      </c>
      <c r="K263" s="175" t="s">
        <v>85</v>
      </c>
      <c r="L263" s="172" t="s">
        <v>86</v>
      </c>
    </row>
    <row r="264" spans="1:12" x14ac:dyDescent="0.2">
      <c r="A264" s="172" t="s">
        <v>83</v>
      </c>
      <c r="B264" s="172" t="s">
        <v>84</v>
      </c>
      <c r="C264" s="172" t="s">
        <v>14</v>
      </c>
      <c r="D264" s="172" t="s">
        <v>15</v>
      </c>
      <c r="E264" s="173">
        <v>42738</v>
      </c>
      <c r="F264" s="174">
        <v>8.4</v>
      </c>
      <c r="G264" s="175" t="s">
        <v>16</v>
      </c>
      <c r="H264" s="172" t="s">
        <v>20</v>
      </c>
      <c r="I264" s="175">
        <v>1</v>
      </c>
      <c r="J264" s="175" t="s">
        <v>18</v>
      </c>
      <c r="K264" s="175" t="s">
        <v>85</v>
      </c>
      <c r="L264" s="172" t="s">
        <v>86</v>
      </c>
    </row>
    <row r="265" spans="1:12" x14ac:dyDescent="0.2">
      <c r="A265" s="172" t="s">
        <v>83</v>
      </c>
      <c r="B265" s="172" t="s">
        <v>84</v>
      </c>
      <c r="C265" s="172" t="s">
        <v>14</v>
      </c>
      <c r="D265" s="172" t="s">
        <v>15</v>
      </c>
      <c r="E265" s="173">
        <v>42738</v>
      </c>
      <c r="F265" s="174">
        <v>39.371471999999997</v>
      </c>
      <c r="G265" s="175" t="s">
        <v>19</v>
      </c>
      <c r="H265" s="172" t="s">
        <v>20</v>
      </c>
      <c r="I265" s="175">
        <v>1</v>
      </c>
      <c r="J265" s="175" t="s">
        <v>18</v>
      </c>
      <c r="K265" s="175" t="s">
        <v>85</v>
      </c>
      <c r="L265" s="172" t="s">
        <v>86</v>
      </c>
    </row>
    <row r="266" spans="1:12" x14ac:dyDescent="0.2">
      <c r="A266" s="172" t="s">
        <v>83</v>
      </c>
      <c r="B266" s="172" t="s">
        <v>84</v>
      </c>
      <c r="C266" s="172" t="s">
        <v>14</v>
      </c>
      <c r="D266" s="172" t="s">
        <v>15</v>
      </c>
      <c r="E266" s="173">
        <v>42731</v>
      </c>
      <c r="F266" s="174">
        <v>19.8</v>
      </c>
      <c r="G266" s="175" t="s">
        <v>16</v>
      </c>
      <c r="H266" s="172" t="s">
        <v>17</v>
      </c>
      <c r="I266" s="175">
        <v>1</v>
      </c>
      <c r="J266" s="175" t="s">
        <v>18</v>
      </c>
      <c r="K266" s="175" t="s">
        <v>85</v>
      </c>
      <c r="L266" s="172" t="s">
        <v>86</v>
      </c>
    </row>
    <row r="267" spans="1:12" x14ac:dyDescent="0.2">
      <c r="A267" s="172" t="s">
        <v>83</v>
      </c>
      <c r="B267" s="172" t="s">
        <v>84</v>
      </c>
      <c r="C267" s="172" t="s">
        <v>14</v>
      </c>
      <c r="D267" s="172" t="s">
        <v>15</v>
      </c>
      <c r="E267" s="173">
        <v>42731</v>
      </c>
      <c r="F267" s="174">
        <v>101.225916</v>
      </c>
      <c r="G267" s="175" t="s">
        <v>19</v>
      </c>
      <c r="H267" s="172" t="s">
        <v>17</v>
      </c>
      <c r="I267" s="175">
        <v>1</v>
      </c>
      <c r="J267" s="175" t="s">
        <v>18</v>
      </c>
      <c r="K267" s="175" t="s">
        <v>85</v>
      </c>
      <c r="L267" s="172" t="s">
        <v>86</v>
      </c>
    </row>
    <row r="268" spans="1:12" x14ac:dyDescent="0.2">
      <c r="A268" s="172" t="s">
        <v>83</v>
      </c>
      <c r="B268" s="172" t="s">
        <v>84</v>
      </c>
      <c r="C268" s="172" t="s">
        <v>14</v>
      </c>
      <c r="D268" s="172" t="s">
        <v>15</v>
      </c>
      <c r="E268" s="173">
        <v>42731</v>
      </c>
      <c r="F268" s="174">
        <v>10.4</v>
      </c>
      <c r="G268" s="175" t="s">
        <v>16</v>
      </c>
      <c r="H268" s="172" t="s">
        <v>20</v>
      </c>
      <c r="I268" s="175">
        <v>1</v>
      </c>
      <c r="J268" s="175" t="s">
        <v>18</v>
      </c>
      <c r="K268" s="175" t="s">
        <v>85</v>
      </c>
      <c r="L268" s="172" t="s">
        <v>86</v>
      </c>
    </row>
    <row r="269" spans="1:12" x14ac:dyDescent="0.2">
      <c r="A269" s="172" t="s">
        <v>83</v>
      </c>
      <c r="B269" s="172" t="s">
        <v>84</v>
      </c>
      <c r="C269" s="172" t="s">
        <v>14</v>
      </c>
      <c r="D269" s="172" t="s">
        <v>15</v>
      </c>
      <c r="E269" s="173">
        <v>42731</v>
      </c>
      <c r="F269" s="174">
        <v>53.169167999999999</v>
      </c>
      <c r="G269" s="175" t="s">
        <v>19</v>
      </c>
      <c r="H269" s="172" t="s">
        <v>20</v>
      </c>
      <c r="I269" s="175">
        <v>1</v>
      </c>
      <c r="J269" s="175" t="s">
        <v>18</v>
      </c>
      <c r="K269" s="175" t="s">
        <v>85</v>
      </c>
      <c r="L269" s="172" t="s">
        <v>86</v>
      </c>
    </row>
    <row r="270" spans="1:12" x14ac:dyDescent="0.2">
      <c r="A270" s="172" t="s">
        <v>83</v>
      </c>
      <c r="B270" s="172" t="s">
        <v>84</v>
      </c>
      <c r="C270" s="172" t="s">
        <v>14</v>
      </c>
      <c r="D270" s="172" t="s">
        <v>15</v>
      </c>
      <c r="E270" s="173">
        <v>42724</v>
      </c>
      <c r="F270" s="174">
        <v>23.6</v>
      </c>
      <c r="G270" s="175" t="s">
        <v>16</v>
      </c>
      <c r="H270" s="172" t="s">
        <v>17</v>
      </c>
      <c r="I270" s="175">
        <v>1</v>
      </c>
      <c r="J270" s="175" t="s">
        <v>18</v>
      </c>
      <c r="K270" s="175" t="s">
        <v>85</v>
      </c>
      <c r="L270" s="172" t="s">
        <v>86</v>
      </c>
    </row>
    <row r="271" spans="1:12" x14ac:dyDescent="0.2">
      <c r="A271" s="172" t="s">
        <v>83</v>
      </c>
      <c r="B271" s="172" t="s">
        <v>84</v>
      </c>
      <c r="C271" s="172" t="s">
        <v>14</v>
      </c>
      <c r="D271" s="172" t="s">
        <v>15</v>
      </c>
      <c r="E271" s="173">
        <v>42724</v>
      </c>
      <c r="F271" s="174">
        <v>83.847024000000005</v>
      </c>
      <c r="G271" s="175" t="s">
        <v>19</v>
      </c>
      <c r="H271" s="172" t="s">
        <v>17</v>
      </c>
      <c r="I271" s="175">
        <v>1</v>
      </c>
      <c r="J271" s="175" t="s">
        <v>18</v>
      </c>
      <c r="K271" s="175" t="s">
        <v>85</v>
      </c>
      <c r="L271" s="172" t="s">
        <v>86</v>
      </c>
    </row>
    <row r="272" spans="1:12" x14ac:dyDescent="0.2">
      <c r="A272" s="172" t="s">
        <v>83</v>
      </c>
      <c r="B272" s="172" t="s">
        <v>84</v>
      </c>
      <c r="C272" s="172" t="s">
        <v>14</v>
      </c>
      <c r="D272" s="172" t="s">
        <v>15</v>
      </c>
      <c r="E272" s="173">
        <v>42724</v>
      </c>
      <c r="F272" s="174">
        <v>11.2</v>
      </c>
      <c r="G272" s="175" t="s">
        <v>16</v>
      </c>
      <c r="H272" s="172" t="s">
        <v>20</v>
      </c>
      <c r="I272" s="175">
        <v>1</v>
      </c>
      <c r="J272" s="175" t="s">
        <v>18</v>
      </c>
      <c r="K272" s="175" t="s">
        <v>85</v>
      </c>
      <c r="L272" s="172" t="s">
        <v>86</v>
      </c>
    </row>
    <row r="273" spans="1:12" x14ac:dyDescent="0.2">
      <c r="A273" s="172" t="s">
        <v>83</v>
      </c>
      <c r="B273" s="172" t="s">
        <v>84</v>
      </c>
      <c r="C273" s="172" t="s">
        <v>14</v>
      </c>
      <c r="D273" s="172" t="s">
        <v>15</v>
      </c>
      <c r="E273" s="173">
        <v>42724</v>
      </c>
      <c r="F273" s="174">
        <v>39.791807900000002</v>
      </c>
      <c r="G273" s="175" t="s">
        <v>19</v>
      </c>
      <c r="H273" s="172" t="s">
        <v>20</v>
      </c>
      <c r="I273" s="175">
        <v>1</v>
      </c>
      <c r="J273" s="175" t="s">
        <v>18</v>
      </c>
      <c r="K273" s="175" t="s">
        <v>85</v>
      </c>
      <c r="L273" s="172" t="s">
        <v>86</v>
      </c>
    </row>
    <row r="274" spans="1:12" x14ac:dyDescent="0.2">
      <c r="A274" s="172" t="s">
        <v>83</v>
      </c>
      <c r="B274" s="172" t="s">
        <v>84</v>
      </c>
      <c r="C274" s="172" t="s">
        <v>14</v>
      </c>
      <c r="D274" s="172" t="s">
        <v>15</v>
      </c>
      <c r="E274" s="173">
        <v>42717</v>
      </c>
      <c r="F274" s="174">
        <v>21.5</v>
      </c>
      <c r="G274" s="175" t="s">
        <v>16</v>
      </c>
      <c r="H274" s="172" t="s">
        <v>17</v>
      </c>
      <c r="I274" s="175">
        <v>1</v>
      </c>
      <c r="J274" s="175" t="s">
        <v>18</v>
      </c>
      <c r="K274" s="175" t="s">
        <v>85</v>
      </c>
      <c r="L274" s="172" t="s">
        <v>86</v>
      </c>
    </row>
    <row r="275" spans="1:12" x14ac:dyDescent="0.2">
      <c r="A275" s="172" t="s">
        <v>83</v>
      </c>
      <c r="B275" s="172" t="s">
        <v>84</v>
      </c>
      <c r="C275" s="172" t="s">
        <v>14</v>
      </c>
      <c r="D275" s="172" t="s">
        <v>15</v>
      </c>
      <c r="E275" s="173">
        <v>42717</v>
      </c>
      <c r="F275" s="174">
        <v>82.303290000000004</v>
      </c>
      <c r="G275" s="175" t="s">
        <v>19</v>
      </c>
      <c r="H275" s="172" t="s">
        <v>17</v>
      </c>
      <c r="I275" s="175">
        <v>1</v>
      </c>
      <c r="J275" s="175" t="s">
        <v>18</v>
      </c>
      <c r="K275" s="175" t="s">
        <v>85</v>
      </c>
      <c r="L275" s="172" t="s">
        <v>86</v>
      </c>
    </row>
    <row r="276" spans="1:12" x14ac:dyDescent="0.2">
      <c r="A276" s="172" t="s">
        <v>83</v>
      </c>
      <c r="B276" s="172" t="s">
        <v>84</v>
      </c>
      <c r="C276" s="172" t="s">
        <v>14</v>
      </c>
      <c r="D276" s="172" t="s">
        <v>15</v>
      </c>
      <c r="E276" s="173">
        <v>42717</v>
      </c>
      <c r="F276" s="174">
        <v>11.6</v>
      </c>
      <c r="G276" s="175" t="s">
        <v>16</v>
      </c>
      <c r="H276" s="172" t="s">
        <v>20</v>
      </c>
      <c r="I276" s="175">
        <v>1</v>
      </c>
      <c r="J276" s="175" t="s">
        <v>18</v>
      </c>
      <c r="K276" s="175" t="s">
        <v>85</v>
      </c>
      <c r="L276" s="172" t="s">
        <v>86</v>
      </c>
    </row>
    <row r="277" spans="1:12" x14ac:dyDescent="0.2">
      <c r="A277" s="172" t="s">
        <v>83</v>
      </c>
      <c r="B277" s="172" t="s">
        <v>84</v>
      </c>
      <c r="C277" s="172" t="s">
        <v>14</v>
      </c>
      <c r="D277" s="172" t="s">
        <v>15</v>
      </c>
      <c r="E277" s="173">
        <v>42717</v>
      </c>
      <c r="F277" s="174">
        <v>44.405495999999999</v>
      </c>
      <c r="G277" s="175" t="s">
        <v>19</v>
      </c>
      <c r="H277" s="172" t="s">
        <v>20</v>
      </c>
      <c r="I277" s="175">
        <v>1</v>
      </c>
      <c r="J277" s="175" t="s">
        <v>18</v>
      </c>
      <c r="K277" s="175" t="s">
        <v>85</v>
      </c>
      <c r="L277" s="172" t="s">
        <v>86</v>
      </c>
    </row>
    <row r="278" spans="1:12" x14ac:dyDescent="0.2">
      <c r="A278" s="172" t="s">
        <v>83</v>
      </c>
      <c r="B278" s="172" t="s">
        <v>84</v>
      </c>
      <c r="C278" s="172" t="s">
        <v>14</v>
      </c>
      <c r="D278" s="172" t="s">
        <v>15</v>
      </c>
      <c r="E278" s="173">
        <v>42710</v>
      </c>
      <c r="F278" s="174">
        <v>21.4</v>
      </c>
      <c r="G278" s="175" t="s">
        <v>16</v>
      </c>
      <c r="H278" s="172" t="s">
        <v>17</v>
      </c>
      <c r="I278" s="175">
        <v>1</v>
      </c>
      <c r="J278" s="175" t="s">
        <v>18</v>
      </c>
      <c r="K278" s="175" t="s">
        <v>85</v>
      </c>
      <c r="L278" s="172" t="s">
        <v>86</v>
      </c>
    </row>
    <row r="279" spans="1:12" x14ac:dyDescent="0.2">
      <c r="A279" s="172" t="s">
        <v>83</v>
      </c>
      <c r="B279" s="172" t="s">
        <v>84</v>
      </c>
      <c r="C279" s="172" t="s">
        <v>14</v>
      </c>
      <c r="D279" s="172" t="s">
        <v>15</v>
      </c>
      <c r="E279" s="173">
        <v>42710</v>
      </c>
      <c r="F279" s="174">
        <v>90.844284000000002</v>
      </c>
      <c r="G279" s="175" t="s">
        <v>19</v>
      </c>
      <c r="H279" s="172" t="s">
        <v>17</v>
      </c>
      <c r="I279" s="175">
        <v>1</v>
      </c>
      <c r="J279" s="175" t="s">
        <v>18</v>
      </c>
      <c r="K279" s="175" t="s">
        <v>85</v>
      </c>
      <c r="L279" s="172" t="s">
        <v>86</v>
      </c>
    </row>
    <row r="280" spans="1:12" x14ac:dyDescent="0.2">
      <c r="A280" s="172" t="s">
        <v>83</v>
      </c>
      <c r="B280" s="172" t="s">
        <v>84</v>
      </c>
      <c r="C280" s="172" t="s">
        <v>14</v>
      </c>
      <c r="D280" s="172" t="s">
        <v>15</v>
      </c>
      <c r="E280" s="173">
        <v>42710</v>
      </c>
      <c r="F280" s="174">
        <v>10.6</v>
      </c>
      <c r="G280" s="175" t="s">
        <v>16</v>
      </c>
      <c r="H280" s="172" t="s">
        <v>20</v>
      </c>
      <c r="I280" s="175">
        <v>1</v>
      </c>
      <c r="J280" s="175" t="s">
        <v>18</v>
      </c>
      <c r="K280" s="175" t="s">
        <v>85</v>
      </c>
      <c r="L280" s="172" t="s">
        <v>86</v>
      </c>
    </row>
    <row r="281" spans="1:12" x14ac:dyDescent="0.2">
      <c r="A281" s="172" t="s">
        <v>83</v>
      </c>
      <c r="B281" s="172" t="s">
        <v>84</v>
      </c>
      <c r="C281" s="172" t="s">
        <v>14</v>
      </c>
      <c r="D281" s="172" t="s">
        <v>15</v>
      </c>
      <c r="E281" s="173">
        <v>42710</v>
      </c>
      <c r="F281" s="174">
        <v>44.997635899999999</v>
      </c>
      <c r="G281" s="175" t="s">
        <v>19</v>
      </c>
      <c r="H281" s="172" t="s">
        <v>20</v>
      </c>
      <c r="I281" s="175">
        <v>1</v>
      </c>
      <c r="J281" s="175" t="s">
        <v>18</v>
      </c>
      <c r="K281" s="175" t="s">
        <v>85</v>
      </c>
      <c r="L281" s="172" t="s">
        <v>86</v>
      </c>
    </row>
    <row r="282" spans="1:12" x14ac:dyDescent="0.2">
      <c r="A282" s="172" t="s">
        <v>83</v>
      </c>
      <c r="B282" s="172" t="s">
        <v>84</v>
      </c>
      <c r="C282" s="172" t="s">
        <v>14</v>
      </c>
      <c r="D282" s="172" t="s">
        <v>15</v>
      </c>
      <c r="E282" s="173">
        <v>42703</v>
      </c>
      <c r="F282" s="174">
        <v>21.7</v>
      </c>
      <c r="G282" s="175" t="s">
        <v>16</v>
      </c>
      <c r="H282" s="172" t="s">
        <v>17</v>
      </c>
      <c r="I282" s="175">
        <v>1</v>
      </c>
      <c r="J282" s="175" t="s">
        <v>18</v>
      </c>
      <c r="K282" s="175" t="s">
        <v>85</v>
      </c>
      <c r="L282" s="172" t="s">
        <v>86</v>
      </c>
    </row>
    <row r="283" spans="1:12" x14ac:dyDescent="0.2">
      <c r="A283" s="172" t="s">
        <v>83</v>
      </c>
      <c r="B283" s="172" t="s">
        <v>84</v>
      </c>
      <c r="C283" s="172" t="s">
        <v>14</v>
      </c>
      <c r="D283" s="172" t="s">
        <v>15</v>
      </c>
      <c r="E283" s="173">
        <v>42703</v>
      </c>
      <c r="F283" s="174">
        <v>91.755845899999997</v>
      </c>
      <c r="G283" s="175" t="s">
        <v>19</v>
      </c>
      <c r="H283" s="172" t="s">
        <v>17</v>
      </c>
      <c r="I283" s="175">
        <v>1</v>
      </c>
      <c r="J283" s="175" t="s">
        <v>18</v>
      </c>
      <c r="K283" s="175" t="s">
        <v>85</v>
      </c>
      <c r="L283" s="172" t="s">
        <v>86</v>
      </c>
    </row>
    <row r="284" spans="1:12" x14ac:dyDescent="0.2">
      <c r="A284" s="172" t="s">
        <v>83</v>
      </c>
      <c r="B284" s="172" t="s">
        <v>84</v>
      </c>
      <c r="C284" s="172" t="s">
        <v>14</v>
      </c>
      <c r="D284" s="172" t="s">
        <v>15</v>
      </c>
      <c r="E284" s="173">
        <v>42703</v>
      </c>
      <c r="F284" s="174">
        <v>9.35</v>
      </c>
      <c r="G284" s="175" t="s">
        <v>16</v>
      </c>
      <c r="H284" s="172" t="s">
        <v>20</v>
      </c>
      <c r="I284" s="175">
        <v>1</v>
      </c>
      <c r="J284" s="175" t="s">
        <v>18</v>
      </c>
      <c r="K284" s="175" t="s">
        <v>85</v>
      </c>
      <c r="L284" s="172" t="s">
        <v>86</v>
      </c>
    </row>
    <row r="285" spans="1:12" x14ac:dyDescent="0.2">
      <c r="A285" s="172" t="s">
        <v>83</v>
      </c>
      <c r="B285" s="172" t="s">
        <v>84</v>
      </c>
      <c r="C285" s="172" t="s">
        <v>14</v>
      </c>
      <c r="D285" s="172" t="s">
        <v>15</v>
      </c>
      <c r="E285" s="173">
        <v>42703</v>
      </c>
      <c r="F285" s="174">
        <v>39.535353000000001</v>
      </c>
      <c r="G285" s="175" t="s">
        <v>19</v>
      </c>
      <c r="H285" s="172" t="s">
        <v>20</v>
      </c>
      <c r="I285" s="175">
        <v>1</v>
      </c>
      <c r="J285" s="175" t="s">
        <v>18</v>
      </c>
      <c r="K285" s="175" t="s">
        <v>85</v>
      </c>
      <c r="L285" s="172" t="s">
        <v>86</v>
      </c>
    </row>
    <row r="286" spans="1:12" x14ac:dyDescent="0.2">
      <c r="A286" s="172" t="s">
        <v>83</v>
      </c>
      <c r="B286" s="172" t="s">
        <v>84</v>
      </c>
      <c r="C286" s="172" t="s">
        <v>14</v>
      </c>
      <c r="D286" s="172" t="s">
        <v>15</v>
      </c>
      <c r="E286" s="173">
        <v>42696</v>
      </c>
      <c r="F286" s="174">
        <v>25.1</v>
      </c>
      <c r="G286" s="175" t="s">
        <v>16</v>
      </c>
      <c r="H286" s="172" t="s">
        <v>17</v>
      </c>
      <c r="I286" s="175">
        <v>1</v>
      </c>
      <c r="J286" s="175" t="s">
        <v>18</v>
      </c>
      <c r="K286" s="175" t="s">
        <v>85</v>
      </c>
      <c r="L286" s="172" t="s">
        <v>86</v>
      </c>
    </row>
    <row r="287" spans="1:12" x14ac:dyDescent="0.2">
      <c r="A287" s="172" t="s">
        <v>83</v>
      </c>
      <c r="B287" s="172" t="s">
        <v>84</v>
      </c>
      <c r="C287" s="172" t="s">
        <v>14</v>
      </c>
      <c r="D287" s="172" t="s">
        <v>15</v>
      </c>
      <c r="E287" s="173">
        <v>42696</v>
      </c>
      <c r="F287" s="174">
        <v>92.734961999999996</v>
      </c>
      <c r="G287" s="175" t="s">
        <v>19</v>
      </c>
      <c r="H287" s="172" t="s">
        <v>17</v>
      </c>
      <c r="I287" s="175">
        <v>1</v>
      </c>
      <c r="J287" s="175" t="s">
        <v>18</v>
      </c>
      <c r="K287" s="175" t="s">
        <v>85</v>
      </c>
      <c r="L287" s="172" t="s">
        <v>86</v>
      </c>
    </row>
    <row r="288" spans="1:12" x14ac:dyDescent="0.2">
      <c r="A288" s="172" t="s">
        <v>83</v>
      </c>
      <c r="B288" s="172" t="s">
        <v>84</v>
      </c>
      <c r="C288" s="172" t="s">
        <v>14</v>
      </c>
      <c r="D288" s="172" t="s">
        <v>15</v>
      </c>
      <c r="E288" s="173">
        <v>42696</v>
      </c>
      <c r="F288" s="174">
        <v>10.3</v>
      </c>
      <c r="G288" s="175" t="s">
        <v>16</v>
      </c>
      <c r="H288" s="172" t="s">
        <v>20</v>
      </c>
      <c r="I288" s="175">
        <v>1</v>
      </c>
      <c r="J288" s="175" t="s">
        <v>18</v>
      </c>
      <c r="K288" s="175" t="s">
        <v>85</v>
      </c>
      <c r="L288" s="172" t="s">
        <v>86</v>
      </c>
    </row>
    <row r="289" spans="1:12" x14ac:dyDescent="0.2">
      <c r="A289" s="172" t="s">
        <v>83</v>
      </c>
      <c r="B289" s="172" t="s">
        <v>84</v>
      </c>
      <c r="C289" s="172" t="s">
        <v>14</v>
      </c>
      <c r="D289" s="172" t="s">
        <v>15</v>
      </c>
      <c r="E289" s="173">
        <v>42696</v>
      </c>
      <c r="F289" s="174">
        <v>38.054586</v>
      </c>
      <c r="G289" s="175" t="s">
        <v>19</v>
      </c>
      <c r="H289" s="172" t="s">
        <v>20</v>
      </c>
      <c r="I289" s="175">
        <v>1</v>
      </c>
      <c r="J289" s="175" t="s">
        <v>18</v>
      </c>
      <c r="K289" s="175" t="s">
        <v>85</v>
      </c>
      <c r="L289" s="172" t="s">
        <v>86</v>
      </c>
    </row>
    <row r="290" spans="1:12" x14ac:dyDescent="0.2">
      <c r="A290" s="172" t="s">
        <v>83</v>
      </c>
      <c r="B290" s="172" t="s">
        <v>84</v>
      </c>
      <c r="C290" s="172" t="s">
        <v>14</v>
      </c>
      <c r="D290" s="172" t="s">
        <v>15</v>
      </c>
      <c r="E290" s="173">
        <v>42689</v>
      </c>
      <c r="F290" s="174">
        <v>37.299999999999997</v>
      </c>
      <c r="G290" s="175" t="s">
        <v>16</v>
      </c>
      <c r="H290" s="172" t="s">
        <v>17</v>
      </c>
      <c r="I290" s="175">
        <v>1</v>
      </c>
      <c r="J290" s="175" t="s">
        <v>18</v>
      </c>
      <c r="K290" s="175" t="s">
        <v>85</v>
      </c>
      <c r="L290" s="172" t="s">
        <v>86</v>
      </c>
    </row>
    <row r="291" spans="1:12" x14ac:dyDescent="0.2">
      <c r="A291" s="172" t="s">
        <v>83</v>
      </c>
      <c r="B291" s="172" t="s">
        <v>84</v>
      </c>
      <c r="C291" s="172" t="s">
        <v>14</v>
      </c>
      <c r="D291" s="172" t="s">
        <v>15</v>
      </c>
      <c r="E291" s="173">
        <v>42689</v>
      </c>
      <c r="F291" s="174">
        <v>137.18716190000001</v>
      </c>
      <c r="G291" s="175" t="s">
        <v>19</v>
      </c>
      <c r="H291" s="172" t="s">
        <v>17</v>
      </c>
      <c r="I291" s="175">
        <v>1</v>
      </c>
      <c r="J291" s="175" t="s">
        <v>18</v>
      </c>
      <c r="K291" s="175" t="s">
        <v>85</v>
      </c>
      <c r="L291" s="172" t="s">
        <v>86</v>
      </c>
    </row>
    <row r="292" spans="1:12" x14ac:dyDescent="0.2">
      <c r="A292" s="172" t="s">
        <v>83</v>
      </c>
      <c r="B292" s="172" t="s">
        <v>84</v>
      </c>
      <c r="C292" s="172" t="s">
        <v>14</v>
      </c>
      <c r="D292" s="172" t="s">
        <v>15</v>
      </c>
      <c r="E292" s="173">
        <v>42689</v>
      </c>
      <c r="F292" s="174">
        <v>10.9</v>
      </c>
      <c r="G292" s="175" t="s">
        <v>16</v>
      </c>
      <c r="H292" s="172" t="s">
        <v>20</v>
      </c>
      <c r="I292" s="175">
        <v>1</v>
      </c>
      <c r="J292" s="175" t="s">
        <v>18</v>
      </c>
      <c r="K292" s="175" t="s">
        <v>85</v>
      </c>
      <c r="L292" s="172" t="s">
        <v>86</v>
      </c>
    </row>
    <row r="293" spans="1:12" x14ac:dyDescent="0.2">
      <c r="A293" s="172" t="s">
        <v>83</v>
      </c>
      <c r="B293" s="172" t="s">
        <v>84</v>
      </c>
      <c r="C293" s="172" t="s">
        <v>14</v>
      </c>
      <c r="D293" s="172" t="s">
        <v>15</v>
      </c>
      <c r="E293" s="173">
        <v>42689</v>
      </c>
      <c r="F293" s="174">
        <v>40.089545999999999</v>
      </c>
      <c r="G293" s="175" t="s">
        <v>19</v>
      </c>
      <c r="H293" s="172" t="s">
        <v>20</v>
      </c>
      <c r="I293" s="175">
        <v>1</v>
      </c>
      <c r="J293" s="175" t="s">
        <v>18</v>
      </c>
      <c r="K293" s="175" t="s">
        <v>85</v>
      </c>
      <c r="L293" s="172" t="s">
        <v>86</v>
      </c>
    </row>
    <row r="294" spans="1:12" x14ac:dyDescent="0.2">
      <c r="A294" s="172" t="s">
        <v>83</v>
      </c>
      <c r="B294" s="172" t="s">
        <v>84</v>
      </c>
      <c r="C294" s="172" t="s">
        <v>14</v>
      </c>
      <c r="D294" s="172" t="s">
        <v>15</v>
      </c>
      <c r="E294" s="173">
        <v>42682</v>
      </c>
      <c r="F294" s="174">
        <v>20.399999999999999</v>
      </c>
      <c r="G294" s="175" t="s">
        <v>16</v>
      </c>
      <c r="H294" s="172" t="s">
        <v>17</v>
      </c>
      <c r="I294" s="175">
        <v>1</v>
      </c>
      <c r="J294" s="175" t="s">
        <v>18</v>
      </c>
      <c r="K294" s="175" t="s">
        <v>85</v>
      </c>
      <c r="L294" s="172" t="s">
        <v>86</v>
      </c>
    </row>
    <row r="295" spans="1:12" x14ac:dyDescent="0.2">
      <c r="A295" s="172" t="s">
        <v>83</v>
      </c>
      <c r="B295" s="172" t="s">
        <v>84</v>
      </c>
      <c r="C295" s="172" t="s">
        <v>14</v>
      </c>
      <c r="D295" s="172" t="s">
        <v>15</v>
      </c>
      <c r="E295" s="173">
        <v>42682</v>
      </c>
      <c r="F295" s="174">
        <v>76.731335999999999</v>
      </c>
      <c r="G295" s="175" t="s">
        <v>19</v>
      </c>
      <c r="H295" s="172" t="s">
        <v>17</v>
      </c>
      <c r="I295" s="175">
        <v>1</v>
      </c>
      <c r="J295" s="175" t="s">
        <v>18</v>
      </c>
      <c r="K295" s="175" t="s">
        <v>85</v>
      </c>
      <c r="L295" s="172" t="s">
        <v>86</v>
      </c>
    </row>
    <row r="296" spans="1:12" x14ac:dyDescent="0.2">
      <c r="A296" s="172" t="s">
        <v>83</v>
      </c>
      <c r="B296" s="172" t="s">
        <v>84</v>
      </c>
      <c r="C296" s="172" t="s">
        <v>14</v>
      </c>
      <c r="D296" s="172" t="s">
        <v>15</v>
      </c>
      <c r="E296" s="173">
        <v>42682</v>
      </c>
      <c r="F296" s="174">
        <v>10.8</v>
      </c>
      <c r="G296" s="175" t="s">
        <v>16</v>
      </c>
      <c r="H296" s="172" t="s">
        <v>20</v>
      </c>
      <c r="I296" s="175">
        <v>1</v>
      </c>
      <c r="J296" s="175" t="s">
        <v>18</v>
      </c>
      <c r="K296" s="175" t="s">
        <v>85</v>
      </c>
      <c r="L296" s="172" t="s">
        <v>86</v>
      </c>
    </row>
    <row r="297" spans="1:12" x14ac:dyDescent="0.2">
      <c r="A297" s="172" t="s">
        <v>83</v>
      </c>
      <c r="B297" s="172" t="s">
        <v>84</v>
      </c>
      <c r="C297" s="172" t="s">
        <v>14</v>
      </c>
      <c r="D297" s="172" t="s">
        <v>15</v>
      </c>
      <c r="E297" s="173">
        <v>42682</v>
      </c>
      <c r="F297" s="174">
        <v>40.622472000000002</v>
      </c>
      <c r="G297" s="175" t="s">
        <v>19</v>
      </c>
      <c r="H297" s="172" t="s">
        <v>20</v>
      </c>
      <c r="I297" s="175">
        <v>1</v>
      </c>
      <c r="J297" s="175" t="s">
        <v>18</v>
      </c>
      <c r="K297" s="175" t="s">
        <v>85</v>
      </c>
      <c r="L297" s="172" t="s">
        <v>86</v>
      </c>
    </row>
    <row r="298" spans="1:12" x14ac:dyDescent="0.2">
      <c r="A298" s="172" t="s">
        <v>83</v>
      </c>
      <c r="B298" s="172" t="s">
        <v>84</v>
      </c>
      <c r="C298" s="172" t="s">
        <v>14</v>
      </c>
      <c r="D298" s="172" t="s">
        <v>15</v>
      </c>
      <c r="E298" s="173">
        <v>42675</v>
      </c>
      <c r="F298" s="174">
        <v>18.399999999999999</v>
      </c>
      <c r="G298" s="175" t="s">
        <v>16</v>
      </c>
      <c r="H298" s="172" t="s">
        <v>17</v>
      </c>
      <c r="I298" s="175">
        <v>1</v>
      </c>
      <c r="J298" s="175" t="s">
        <v>18</v>
      </c>
      <c r="K298" s="175" t="s">
        <v>85</v>
      </c>
      <c r="L298" s="172" t="s">
        <v>86</v>
      </c>
    </row>
    <row r="299" spans="1:12" x14ac:dyDescent="0.2">
      <c r="A299" s="172" t="s">
        <v>83</v>
      </c>
      <c r="B299" s="172" t="s">
        <v>84</v>
      </c>
      <c r="C299" s="172" t="s">
        <v>14</v>
      </c>
      <c r="D299" s="172" t="s">
        <v>15</v>
      </c>
      <c r="E299" s="173">
        <v>42675</v>
      </c>
      <c r="F299" s="174">
        <v>82.252415999999997</v>
      </c>
      <c r="G299" s="175" t="s">
        <v>19</v>
      </c>
      <c r="H299" s="172" t="s">
        <v>17</v>
      </c>
      <c r="I299" s="175">
        <v>1</v>
      </c>
      <c r="J299" s="175" t="s">
        <v>18</v>
      </c>
      <c r="K299" s="175" t="s">
        <v>85</v>
      </c>
      <c r="L299" s="172" t="s">
        <v>86</v>
      </c>
    </row>
    <row r="300" spans="1:12" x14ac:dyDescent="0.2">
      <c r="A300" s="172" t="s">
        <v>83</v>
      </c>
      <c r="B300" s="172" t="s">
        <v>84</v>
      </c>
      <c r="C300" s="172" t="s">
        <v>14</v>
      </c>
      <c r="D300" s="172" t="s">
        <v>15</v>
      </c>
      <c r="E300" s="173">
        <v>42675</v>
      </c>
      <c r="F300" s="174">
        <v>9.51</v>
      </c>
      <c r="G300" s="175" t="s">
        <v>16</v>
      </c>
      <c r="H300" s="172" t="s">
        <v>20</v>
      </c>
      <c r="I300" s="175">
        <v>1</v>
      </c>
      <c r="J300" s="175" t="s">
        <v>18</v>
      </c>
      <c r="K300" s="175" t="s">
        <v>85</v>
      </c>
      <c r="L300" s="172" t="s">
        <v>86</v>
      </c>
    </row>
    <row r="301" spans="1:12" x14ac:dyDescent="0.2">
      <c r="A301" s="172" t="s">
        <v>83</v>
      </c>
      <c r="B301" s="172" t="s">
        <v>84</v>
      </c>
      <c r="C301" s="172" t="s">
        <v>14</v>
      </c>
      <c r="D301" s="172" t="s">
        <v>15</v>
      </c>
      <c r="E301" s="173">
        <v>42675</v>
      </c>
      <c r="F301" s="174">
        <v>42.511982400000001</v>
      </c>
      <c r="G301" s="175" t="s">
        <v>19</v>
      </c>
      <c r="H301" s="172" t="s">
        <v>20</v>
      </c>
      <c r="I301" s="175">
        <v>1</v>
      </c>
      <c r="J301" s="175" t="s">
        <v>18</v>
      </c>
      <c r="K301" s="175" t="s">
        <v>85</v>
      </c>
      <c r="L301" s="172" t="s">
        <v>86</v>
      </c>
    </row>
    <row r="302" spans="1:12" x14ac:dyDescent="0.2">
      <c r="A302" s="172" t="s">
        <v>83</v>
      </c>
      <c r="B302" s="172" t="s">
        <v>84</v>
      </c>
      <c r="C302" s="172" t="s">
        <v>14</v>
      </c>
      <c r="D302" s="172" t="s">
        <v>15</v>
      </c>
      <c r="E302" s="173">
        <v>42668</v>
      </c>
      <c r="F302" s="174">
        <v>18.2</v>
      </c>
      <c r="G302" s="175" t="s">
        <v>16</v>
      </c>
      <c r="H302" s="172" t="s">
        <v>17</v>
      </c>
      <c r="I302" s="175">
        <v>1</v>
      </c>
      <c r="J302" s="175" t="s">
        <v>18</v>
      </c>
      <c r="K302" s="175" t="s">
        <v>85</v>
      </c>
      <c r="L302" s="172" t="s">
        <v>86</v>
      </c>
    </row>
    <row r="303" spans="1:12" x14ac:dyDescent="0.2">
      <c r="A303" s="172" t="s">
        <v>83</v>
      </c>
      <c r="B303" s="172" t="s">
        <v>84</v>
      </c>
      <c r="C303" s="172" t="s">
        <v>14</v>
      </c>
      <c r="D303" s="172" t="s">
        <v>15</v>
      </c>
      <c r="E303" s="173">
        <v>42668</v>
      </c>
      <c r="F303" s="174">
        <v>51.0007679</v>
      </c>
      <c r="G303" s="175" t="s">
        <v>19</v>
      </c>
      <c r="H303" s="172" t="s">
        <v>17</v>
      </c>
      <c r="I303" s="175">
        <v>1</v>
      </c>
      <c r="J303" s="175" t="s">
        <v>18</v>
      </c>
      <c r="K303" s="175" t="s">
        <v>85</v>
      </c>
      <c r="L303" s="172" t="s">
        <v>86</v>
      </c>
    </row>
    <row r="304" spans="1:12" x14ac:dyDescent="0.2">
      <c r="A304" s="172" t="s">
        <v>83</v>
      </c>
      <c r="B304" s="172" t="s">
        <v>84</v>
      </c>
      <c r="C304" s="172" t="s">
        <v>14</v>
      </c>
      <c r="D304" s="172" t="s">
        <v>15</v>
      </c>
      <c r="E304" s="173">
        <v>42668</v>
      </c>
      <c r="F304" s="174">
        <v>11.4</v>
      </c>
      <c r="G304" s="175" t="s">
        <v>16</v>
      </c>
      <c r="H304" s="172" t="s">
        <v>20</v>
      </c>
      <c r="I304" s="175">
        <v>1</v>
      </c>
      <c r="J304" s="175" t="s">
        <v>18</v>
      </c>
      <c r="K304" s="175" t="s">
        <v>85</v>
      </c>
      <c r="L304" s="172" t="s">
        <v>86</v>
      </c>
    </row>
    <row r="305" spans="1:12" x14ac:dyDescent="0.2">
      <c r="A305" s="172" t="s">
        <v>83</v>
      </c>
      <c r="B305" s="172" t="s">
        <v>84</v>
      </c>
      <c r="C305" s="172" t="s">
        <v>14</v>
      </c>
      <c r="D305" s="172" t="s">
        <v>15</v>
      </c>
      <c r="E305" s="173">
        <v>42668</v>
      </c>
      <c r="F305" s="174">
        <v>31.945536000000001</v>
      </c>
      <c r="G305" s="175" t="s">
        <v>19</v>
      </c>
      <c r="H305" s="172" t="s">
        <v>20</v>
      </c>
      <c r="I305" s="175">
        <v>1</v>
      </c>
      <c r="J305" s="175" t="s">
        <v>18</v>
      </c>
      <c r="K305" s="175" t="s">
        <v>85</v>
      </c>
      <c r="L305" s="172" t="s">
        <v>86</v>
      </c>
    </row>
    <row r="306" spans="1:12" x14ac:dyDescent="0.2">
      <c r="A306" s="172" t="s">
        <v>83</v>
      </c>
      <c r="B306" s="172" t="s">
        <v>84</v>
      </c>
      <c r="C306" s="172" t="s">
        <v>14</v>
      </c>
      <c r="D306" s="172" t="s">
        <v>15</v>
      </c>
      <c r="E306" s="173">
        <v>42661</v>
      </c>
      <c r="F306" s="174">
        <v>18.100000000000001</v>
      </c>
      <c r="G306" s="175" t="s">
        <v>16</v>
      </c>
      <c r="H306" s="172" t="s">
        <v>17</v>
      </c>
      <c r="I306" s="175">
        <v>1</v>
      </c>
      <c r="J306" s="175" t="s">
        <v>18</v>
      </c>
      <c r="K306" s="175" t="s">
        <v>85</v>
      </c>
      <c r="L306" s="172" t="s">
        <v>86</v>
      </c>
    </row>
    <row r="307" spans="1:12" x14ac:dyDescent="0.2">
      <c r="A307" s="172" t="s">
        <v>83</v>
      </c>
      <c r="B307" s="172" t="s">
        <v>84</v>
      </c>
      <c r="C307" s="172" t="s">
        <v>14</v>
      </c>
      <c r="D307" s="172" t="s">
        <v>15</v>
      </c>
      <c r="E307" s="173">
        <v>42661</v>
      </c>
      <c r="F307" s="174">
        <v>81.666113999999993</v>
      </c>
      <c r="G307" s="175" t="s">
        <v>19</v>
      </c>
      <c r="H307" s="172" t="s">
        <v>17</v>
      </c>
      <c r="I307" s="175">
        <v>1</v>
      </c>
      <c r="J307" s="175" t="s">
        <v>18</v>
      </c>
      <c r="K307" s="175" t="s">
        <v>85</v>
      </c>
      <c r="L307" s="172" t="s">
        <v>86</v>
      </c>
    </row>
    <row r="308" spans="1:12" x14ac:dyDescent="0.2">
      <c r="A308" s="172" t="s">
        <v>83</v>
      </c>
      <c r="B308" s="172" t="s">
        <v>84</v>
      </c>
      <c r="C308" s="172" t="s">
        <v>14</v>
      </c>
      <c r="D308" s="172" t="s">
        <v>15</v>
      </c>
      <c r="E308" s="173">
        <v>42661</v>
      </c>
      <c r="F308" s="174">
        <v>9.59</v>
      </c>
      <c r="G308" s="175" t="s">
        <v>16</v>
      </c>
      <c r="H308" s="172" t="s">
        <v>20</v>
      </c>
      <c r="I308" s="175">
        <v>1</v>
      </c>
      <c r="J308" s="175" t="s">
        <v>18</v>
      </c>
      <c r="K308" s="175" t="s">
        <v>85</v>
      </c>
      <c r="L308" s="172" t="s">
        <v>86</v>
      </c>
    </row>
    <row r="309" spans="1:12" x14ac:dyDescent="0.2">
      <c r="A309" s="172" t="s">
        <v>83</v>
      </c>
      <c r="B309" s="172" t="s">
        <v>84</v>
      </c>
      <c r="C309" s="172" t="s">
        <v>14</v>
      </c>
      <c r="D309" s="172" t="s">
        <v>15</v>
      </c>
      <c r="E309" s="173">
        <v>42661</v>
      </c>
      <c r="F309" s="174">
        <v>43.269504599999998</v>
      </c>
      <c r="G309" s="175" t="s">
        <v>19</v>
      </c>
      <c r="H309" s="172" t="s">
        <v>20</v>
      </c>
      <c r="I309" s="175">
        <v>1</v>
      </c>
      <c r="J309" s="175" t="s">
        <v>18</v>
      </c>
      <c r="K309" s="175" t="s">
        <v>85</v>
      </c>
      <c r="L309" s="172" t="s">
        <v>86</v>
      </c>
    </row>
    <row r="310" spans="1:12" x14ac:dyDescent="0.2">
      <c r="A310" s="172" t="s">
        <v>83</v>
      </c>
      <c r="B310" s="172" t="s">
        <v>84</v>
      </c>
      <c r="C310" s="172" t="s">
        <v>14</v>
      </c>
      <c r="D310" s="172" t="s">
        <v>15</v>
      </c>
      <c r="E310" s="173">
        <v>42654</v>
      </c>
      <c r="F310" s="174">
        <v>15.7</v>
      </c>
      <c r="G310" s="175" t="s">
        <v>16</v>
      </c>
      <c r="H310" s="172" t="s">
        <v>17</v>
      </c>
      <c r="I310" s="175">
        <v>1</v>
      </c>
      <c r="J310" s="175" t="s">
        <v>18</v>
      </c>
      <c r="K310" s="175" t="s">
        <v>85</v>
      </c>
      <c r="L310" s="172" t="s">
        <v>86</v>
      </c>
    </row>
    <row r="311" spans="1:12" x14ac:dyDescent="0.2">
      <c r="A311" s="172" t="s">
        <v>83</v>
      </c>
      <c r="B311" s="172" t="s">
        <v>84</v>
      </c>
      <c r="C311" s="172" t="s">
        <v>14</v>
      </c>
      <c r="D311" s="172" t="s">
        <v>15</v>
      </c>
      <c r="E311" s="173">
        <v>42654</v>
      </c>
      <c r="F311" s="174">
        <v>80.264993899999993</v>
      </c>
      <c r="G311" s="175" t="s">
        <v>19</v>
      </c>
      <c r="H311" s="172" t="s">
        <v>17</v>
      </c>
      <c r="I311" s="175">
        <v>1</v>
      </c>
      <c r="J311" s="175" t="s">
        <v>18</v>
      </c>
      <c r="K311" s="175" t="s">
        <v>85</v>
      </c>
      <c r="L311" s="172" t="s">
        <v>86</v>
      </c>
    </row>
    <row r="312" spans="1:12" x14ac:dyDescent="0.2">
      <c r="A312" s="172" t="s">
        <v>83</v>
      </c>
      <c r="B312" s="172" t="s">
        <v>84</v>
      </c>
      <c r="C312" s="172" t="s">
        <v>14</v>
      </c>
      <c r="D312" s="172" t="s">
        <v>15</v>
      </c>
      <c r="E312" s="173">
        <v>42654</v>
      </c>
      <c r="F312" s="174">
        <v>9.34</v>
      </c>
      <c r="G312" s="175" t="s">
        <v>16</v>
      </c>
      <c r="H312" s="172" t="s">
        <v>20</v>
      </c>
      <c r="I312" s="175">
        <v>1</v>
      </c>
      <c r="J312" s="175" t="s">
        <v>18</v>
      </c>
      <c r="K312" s="175" t="s">
        <v>85</v>
      </c>
      <c r="L312" s="172" t="s">
        <v>86</v>
      </c>
    </row>
    <row r="313" spans="1:12" x14ac:dyDescent="0.2">
      <c r="A313" s="172" t="s">
        <v>83</v>
      </c>
      <c r="B313" s="172" t="s">
        <v>84</v>
      </c>
      <c r="C313" s="172" t="s">
        <v>14</v>
      </c>
      <c r="D313" s="172" t="s">
        <v>15</v>
      </c>
      <c r="E313" s="173">
        <v>42654</v>
      </c>
      <c r="F313" s="174">
        <v>47.750002799999997</v>
      </c>
      <c r="G313" s="175" t="s">
        <v>19</v>
      </c>
      <c r="H313" s="172" t="s">
        <v>20</v>
      </c>
      <c r="I313" s="175">
        <v>1</v>
      </c>
      <c r="J313" s="175" t="s">
        <v>18</v>
      </c>
      <c r="K313" s="175" t="s">
        <v>85</v>
      </c>
      <c r="L313" s="172" t="s">
        <v>86</v>
      </c>
    </row>
    <row r="314" spans="1:12" x14ac:dyDescent="0.2">
      <c r="A314" s="172" t="s">
        <v>83</v>
      </c>
      <c r="B314" s="172" t="s">
        <v>84</v>
      </c>
      <c r="C314" s="172" t="s">
        <v>14</v>
      </c>
      <c r="D314" s="172" t="s">
        <v>15</v>
      </c>
      <c r="E314" s="173">
        <v>42647</v>
      </c>
      <c r="F314" s="174">
        <v>12.2</v>
      </c>
      <c r="G314" s="175" t="s">
        <v>16</v>
      </c>
      <c r="H314" s="172" t="s">
        <v>17</v>
      </c>
      <c r="I314" s="175">
        <v>1</v>
      </c>
      <c r="J314" s="175" t="s">
        <v>18</v>
      </c>
      <c r="K314" s="175" t="s">
        <v>85</v>
      </c>
      <c r="L314" s="172" t="s">
        <v>86</v>
      </c>
    </row>
    <row r="315" spans="1:12" x14ac:dyDescent="0.2">
      <c r="A315" s="172" t="s">
        <v>83</v>
      </c>
      <c r="B315" s="172" t="s">
        <v>84</v>
      </c>
      <c r="C315" s="172" t="s">
        <v>14</v>
      </c>
      <c r="D315" s="172" t="s">
        <v>15</v>
      </c>
      <c r="E315" s="173">
        <v>42647</v>
      </c>
      <c r="F315" s="174">
        <v>86.689295999999999</v>
      </c>
      <c r="G315" s="175" t="s">
        <v>19</v>
      </c>
      <c r="H315" s="172" t="s">
        <v>17</v>
      </c>
      <c r="I315" s="175">
        <v>1</v>
      </c>
      <c r="J315" s="175" t="s">
        <v>18</v>
      </c>
      <c r="K315" s="175" t="s">
        <v>85</v>
      </c>
      <c r="L315" s="172" t="s">
        <v>86</v>
      </c>
    </row>
    <row r="316" spans="1:12" x14ac:dyDescent="0.2">
      <c r="A316" s="172" t="s">
        <v>83</v>
      </c>
      <c r="B316" s="172" t="s">
        <v>84</v>
      </c>
      <c r="C316" s="172" t="s">
        <v>14</v>
      </c>
      <c r="D316" s="172" t="s">
        <v>15</v>
      </c>
      <c r="E316" s="173">
        <v>42647</v>
      </c>
      <c r="F316" s="174">
        <v>8.3000000000000007</v>
      </c>
      <c r="G316" s="175" t="s">
        <v>16</v>
      </c>
      <c r="H316" s="172" t="s">
        <v>20</v>
      </c>
      <c r="I316" s="175">
        <v>1</v>
      </c>
      <c r="J316" s="175" t="s">
        <v>18</v>
      </c>
      <c r="K316" s="175" t="s">
        <v>85</v>
      </c>
      <c r="L316" s="172" t="s">
        <v>86</v>
      </c>
    </row>
    <row r="317" spans="1:12" x14ac:dyDescent="0.2">
      <c r="A317" s="172" t="s">
        <v>83</v>
      </c>
      <c r="B317" s="172" t="s">
        <v>84</v>
      </c>
      <c r="C317" s="172" t="s">
        <v>14</v>
      </c>
      <c r="D317" s="172" t="s">
        <v>15</v>
      </c>
      <c r="E317" s="173">
        <v>42647</v>
      </c>
      <c r="F317" s="174">
        <v>58.977144000000003</v>
      </c>
      <c r="G317" s="175" t="s">
        <v>19</v>
      </c>
      <c r="H317" s="172" t="s">
        <v>20</v>
      </c>
      <c r="I317" s="175">
        <v>1</v>
      </c>
      <c r="J317" s="175" t="s">
        <v>18</v>
      </c>
      <c r="K317" s="175" t="s">
        <v>85</v>
      </c>
      <c r="L317" s="172" t="s">
        <v>86</v>
      </c>
    </row>
    <row r="318" spans="1:12" x14ac:dyDescent="0.2">
      <c r="A318" s="172" t="s">
        <v>83</v>
      </c>
      <c r="B318" s="172" t="s">
        <v>84</v>
      </c>
      <c r="C318" s="172" t="s">
        <v>14</v>
      </c>
      <c r="D318" s="172" t="s">
        <v>15</v>
      </c>
      <c r="E318" s="173">
        <v>42642</v>
      </c>
      <c r="F318" s="174">
        <v>9.85</v>
      </c>
      <c r="G318" s="175" t="s">
        <v>16</v>
      </c>
      <c r="H318" s="172" t="s">
        <v>17</v>
      </c>
      <c r="I318" s="175">
        <v>1</v>
      </c>
      <c r="J318" s="175" t="s">
        <v>18</v>
      </c>
      <c r="K318" s="175" t="s">
        <v>85</v>
      </c>
      <c r="L318" s="172" t="s">
        <v>86</v>
      </c>
    </row>
    <row r="319" spans="1:12" x14ac:dyDescent="0.2">
      <c r="A319" s="172" t="s">
        <v>83</v>
      </c>
      <c r="B319" s="172" t="s">
        <v>84</v>
      </c>
      <c r="C319" s="172" t="s">
        <v>14</v>
      </c>
      <c r="D319" s="172" t="s">
        <v>15</v>
      </c>
      <c r="E319" s="173">
        <v>42642</v>
      </c>
      <c r="F319" s="174">
        <v>91.185389999999998</v>
      </c>
      <c r="G319" s="175" t="s">
        <v>19</v>
      </c>
      <c r="H319" s="172" t="s">
        <v>17</v>
      </c>
      <c r="I319" s="175">
        <v>1</v>
      </c>
      <c r="J319" s="175" t="s">
        <v>18</v>
      </c>
      <c r="K319" s="175" t="s">
        <v>85</v>
      </c>
      <c r="L319" s="172" t="s">
        <v>86</v>
      </c>
    </row>
    <row r="320" spans="1:12" x14ac:dyDescent="0.2">
      <c r="A320" s="172" t="s">
        <v>83</v>
      </c>
      <c r="B320" s="172" t="s">
        <v>84</v>
      </c>
      <c r="C320" s="172" t="s">
        <v>14</v>
      </c>
      <c r="D320" s="172" t="s">
        <v>15</v>
      </c>
      <c r="E320" s="173">
        <v>42642</v>
      </c>
      <c r="F320" s="174">
        <v>7.35</v>
      </c>
      <c r="G320" s="175" t="s">
        <v>16</v>
      </c>
      <c r="H320" s="172" t="s">
        <v>20</v>
      </c>
      <c r="I320" s="175">
        <v>1</v>
      </c>
      <c r="J320" s="175" t="s">
        <v>18</v>
      </c>
      <c r="K320" s="175" t="s">
        <v>85</v>
      </c>
      <c r="L320" s="172" t="s">
        <v>86</v>
      </c>
    </row>
    <row r="321" spans="1:12" x14ac:dyDescent="0.2">
      <c r="A321" s="172" t="s">
        <v>83</v>
      </c>
      <c r="B321" s="172" t="s">
        <v>84</v>
      </c>
      <c r="C321" s="172" t="s">
        <v>14</v>
      </c>
      <c r="D321" s="172" t="s">
        <v>15</v>
      </c>
      <c r="E321" s="173">
        <v>42642</v>
      </c>
      <c r="F321" s="174">
        <v>68.041889999999995</v>
      </c>
      <c r="G321" s="175" t="s">
        <v>19</v>
      </c>
      <c r="H321" s="172" t="s">
        <v>20</v>
      </c>
      <c r="I321" s="175">
        <v>1</v>
      </c>
      <c r="J321" s="175" t="s">
        <v>18</v>
      </c>
      <c r="K321" s="175" t="s">
        <v>85</v>
      </c>
      <c r="L321" s="172" t="s">
        <v>86</v>
      </c>
    </row>
    <row r="322" spans="1:12" x14ac:dyDescent="0.2">
      <c r="A322" s="172" t="s">
        <v>83</v>
      </c>
      <c r="B322" s="172" t="s">
        <v>84</v>
      </c>
      <c r="C322" s="172" t="s">
        <v>14</v>
      </c>
      <c r="D322" s="172" t="s">
        <v>15</v>
      </c>
      <c r="E322" s="173">
        <v>42633</v>
      </c>
      <c r="F322" s="174">
        <v>16.899999999999999</v>
      </c>
      <c r="G322" s="175" t="s">
        <v>16</v>
      </c>
      <c r="H322" s="172" t="s">
        <v>17</v>
      </c>
      <c r="I322" s="175">
        <v>1</v>
      </c>
      <c r="J322" s="175" t="s">
        <v>18</v>
      </c>
      <c r="K322" s="175" t="s">
        <v>85</v>
      </c>
      <c r="L322" s="172" t="s">
        <v>86</v>
      </c>
    </row>
    <row r="323" spans="1:12" x14ac:dyDescent="0.2">
      <c r="A323" s="172" t="s">
        <v>83</v>
      </c>
      <c r="B323" s="172" t="s">
        <v>84</v>
      </c>
      <c r="C323" s="172" t="s">
        <v>14</v>
      </c>
      <c r="D323" s="172" t="s">
        <v>15</v>
      </c>
      <c r="E323" s="173">
        <v>42633</v>
      </c>
      <c r="F323" s="174">
        <v>93.024360000000001</v>
      </c>
      <c r="G323" s="175" t="s">
        <v>19</v>
      </c>
      <c r="H323" s="172" t="s">
        <v>17</v>
      </c>
      <c r="I323" s="175">
        <v>1</v>
      </c>
      <c r="J323" s="175" t="s">
        <v>18</v>
      </c>
      <c r="K323" s="175" t="s">
        <v>85</v>
      </c>
      <c r="L323" s="172" t="s">
        <v>86</v>
      </c>
    </row>
    <row r="324" spans="1:12" x14ac:dyDescent="0.2">
      <c r="A324" s="172" t="s">
        <v>83</v>
      </c>
      <c r="B324" s="172" t="s">
        <v>84</v>
      </c>
      <c r="C324" s="172" t="s">
        <v>14</v>
      </c>
      <c r="D324" s="172" t="s">
        <v>15</v>
      </c>
      <c r="E324" s="173">
        <v>42633</v>
      </c>
      <c r="F324" s="174">
        <v>8.2100000000000009</v>
      </c>
      <c r="G324" s="175" t="s">
        <v>16</v>
      </c>
      <c r="H324" s="172" t="s">
        <v>20</v>
      </c>
      <c r="I324" s="175">
        <v>1</v>
      </c>
      <c r="J324" s="175" t="s">
        <v>18</v>
      </c>
      <c r="K324" s="175" t="s">
        <v>85</v>
      </c>
      <c r="L324" s="172" t="s">
        <v>86</v>
      </c>
    </row>
    <row r="325" spans="1:12" x14ac:dyDescent="0.2">
      <c r="A325" s="172" t="s">
        <v>83</v>
      </c>
      <c r="B325" s="172" t="s">
        <v>84</v>
      </c>
      <c r="C325" s="172" t="s">
        <v>14</v>
      </c>
      <c r="D325" s="172" t="s">
        <v>15</v>
      </c>
      <c r="E325" s="173">
        <v>42633</v>
      </c>
      <c r="F325" s="174">
        <v>45.191124000000002</v>
      </c>
      <c r="G325" s="175" t="s">
        <v>19</v>
      </c>
      <c r="H325" s="172" t="s">
        <v>20</v>
      </c>
      <c r="I325" s="175">
        <v>1</v>
      </c>
      <c r="J325" s="175" t="s">
        <v>18</v>
      </c>
      <c r="K325" s="175" t="s">
        <v>85</v>
      </c>
      <c r="L325" s="172" t="s">
        <v>86</v>
      </c>
    </row>
    <row r="326" spans="1:12" x14ac:dyDescent="0.2">
      <c r="A326" s="172" t="s">
        <v>83</v>
      </c>
      <c r="B326" s="172" t="s">
        <v>84</v>
      </c>
      <c r="C326" s="172" t="s">
        <v>14</v>
      </c>
      <c r="D326" s="172" t="s">
        <v>15</v>
      </c>
      <c r="E326" s="173">
        <v>42626</v>
      </c>
      <c r="F326" s="174">
        <v>18.7</v>
      </c>
      <c r="G326" s="175" t="s">
        <v>16</v>
      </c>
      <c r="H326" s="172" t="s">
        <v>17</v>
      </c>
      <c r="I326" s="175">
        <v>1</v>
      </c>
      <c r="J326" s="175" t="s">
        <v>18</v>
      </c>
      <c r="K326" s="175" t="s">
        <v>85</v>
      </c>
      <c r="L326" s="172" t="s">
        <v>86</v>
      </c>
    </row>
    <row r="327" spans="1:12" x14ac:dyDescent="0.2">
      <c r="A327" s="172" t="s">
        <v>83</v>
      </c>
      <c r="B327" s="172" t="s">
        <v>84</v>
      </c>
      <c r="C327" s="172" t="s">
        <v>14</v>
      </c>
      <c r="D327" s="172" t="s">
        <v>15</v>
      </c>
      <c r="E327" s="173">
        <v>42626</v>
      </c>
      <c r="F327" s="174">
        <v>89.052017899999996</v>
      </c>
      <c r="G327" s="175" t="s">
        <v>19</v>
      </c>
      <c r="H327" s="172" t="s">
        <v>17</v>
      </c>
      <c r="I327" s="175">
        <v>1</v>
      </c>
      <c r="J327" s="175" t="s">
        <v>18</v>
      </c>
      <c r="K327" s="175" t="s">
        <v>85</v>
      </c>
      <c r="L327" s="172" t="s">
        <v>86</v>
      </c>
    </row>
    <row r="328" spans="1:12" x14ac:dyDescent="0.2">
      <c r="A328" s="172" t="s">
        <v>83</v>
      </c>
      <c r="B328" s="172" t="s">
        <v>84</v>
      </c>
      <c r="C328" s="172" t="s">
        <v>14</v>
      </c>
      <c r="D328" s="172" t="s">
        <v>15</v>
      </c>
      <c r="E328" s="173">
        <v>42626</v>
      </c>
      <c r="F328" s="174">
        <v>9.35</v>
      </c>
      <c r="G328" s="175" t="s">
        <v>16</v>
      </c>
      <c r="H328" s="172" t="s">
        <v>20</v>
      </c>
      <c r="I328" s="175">
        <v>1</v>
      </c>
      <c r="J328" s="175" t="s">
        <v>18</v>
      </c>
      <c r="K328" s="175" t="s">
        <v>85</v>
      </c>
      <c r="L328" s="172" t="s">
        <v>86</v>
      </c>
    </row>
    <row r="329" spans="1:12" x14ac:dyDescent="0.2">
      <c r="A329" s="172" t="s">
        <v>83</v>
      </c>
      <c r="B329" s="172" t="s">
        <v>84</v>
      </c>
      <c r="C329" s="172" t="s">
        <v>14</v>
      </c>
      <c r="D329" s="172" t="s">
        <v>15</v>
      </c>
      <c r="E329" s="173">
        <v>42626</v>
      </c>
      <c r="F329" s="174">
        <v>44.526008900000001</v>
      </c>
      <c r="G329" s="175" t="s">
        <v>19</v>
      </c>
      <c r="H329" s="172" t="s">
        <v>20</v>
      </c>
      <c r="I329" s="175">
        <v>1</v>
      </c>
      <c r="J329" s="175" t="s">
        <v>18</v>
      </c>
      <c r="K329" s="175" t="s">
        <v>85</v>
      </c>
      <c r="L329" s="172" t="s">
        <v>86</v>
      </c>
    </row>
    <row r="330" spans="1:12" x14ac:dyDescent="0.2">
      <c r="A330" s="172" t="s">
        <v>83</v>
      </c>
      <c r="B330" s="172" t="s">
        <v>84</v>
      </c>
      <c r="C330" s="172" t="s">
        <v>14</v>
      </c>
      <c r="D330" s="172" t="s">
        <v>15</v>
      </c>
      <c r="E330" s="173">
        <v>42621</v>
      </c>
      <c r="F330" s="174">
        <v>19.600000000000001</v>
      </c>
      <c r="G330" s="175" t="s">
        <v>16</v>
      </c>
      <c r="H330" s="172" t="s">
        <v>17</v>
      </c>
      <c r="I330" s="175">
        <v>1</v>
      </c>
      <c r="J330" s="175" t="s">
        <v>18</v>
      </c>
      <c r="K330" s="175" t="s">
        <v>85</v>
      </c>
      <c r="L330" s="172" t="s">
        <v>86</v>
      </c>
    </row>
    <row r="331" spans="1:12" x14ac:dyDescent="0.2">
      <c r="A331" s="172" t="s">
        <v>83</v>
      </c>
      <c r="B331" s="172" t="s">
        <v>84</v>
      </c>
      <c r="C331" s="172" t="s">
        <v>14</v>
      </c>
      <c r="D331" s="172" t="s">
        <v>15</v>
      </c>
      <c r="E331" s="173">
        <v>42621</v>
      </c>
      <c r="F331" s="174">
        <v>96.607224000000002</v>
      </c>
      <c r="G331" s="175" t="s">
        <v>19</v>
      </c>
      <c r="H331" s="172" t="s">
        <v>17</v>
      </c>
      <c r="I331" s="175">
        <v>1</v>
      </c>
      <c r="J331" s="175" t="s">
        <v>18</v>
      </c>
      <c r="K331" s="175" t="s">
        <v>85</v>
      </c>
      <c r="L331" s="172" t="s">
        <v>86</v>
      </c>
    </row>
    <row r="332" spans="1:12" x14ac:dyDescent="0.2">
      <c r="A332" s="172" t="s">
        <v>83</v>
      </c>
      <c r="B332" s="172" t="s">
        <v>84</v>
      </c>
      <c r="C332" s="172" t="s">
        <v>14</v>
      </c>
      <c r="D332" s="172" t="s">
        <v>15</v>
      </c>
      <c r="E332" s="173">
        <v>42621</v>
      </c>
      <c r="F332" s="174">
        <v>10</v>
      </c>
      <c r="G332" s="175" t="s">
        <v>16</v>
      </c>
      <c r="H332" s="172" t="s">
        <v>20</v>
      </c>
      <c r="I332" s="175">
        <v>1</v>
      </c>
      <c r="J332" s="175" t="s">
        <v>18</v>
      </c>
      <c r="K332" s="175" t="s">
        <v>85</v>
      </c>
      <c r="L332" s="172" t="s">
        <v>86</v>
      </c>
    </row>
    <row r="333" spans="1:12" x14ac:dyDescent="0.2">
      <c r="A333" s="172" t="s">
        <v>83</v>
      </c>
      <c r="B333" s="172" t="s">
        <v>84</v>
      </c>
      <c r="C333" s="172" t="s">
        <v>14</v>
      </c>
      <c r="D333" s="172" t="s">
        <v>15</v>
      </c>
      <c r="E333" s="173">
        <v>42621</v>
      </c>
      <c r="F333" s="174">
        <v>49.289400000000001</v>
      </c>
      <c r="G333" s="175" t="s">
        <v>19</v>
      </c>
      <c r="H333" s="172" t="s">
        <v>20</v>
      </c>
      <c r="I333" s="175">
        <v>1</v>
      </c>
      <c r="J333" s="175" t="s">
        <v>18</v>
      </c>
      <c r="K333" s="175" t="s">
        <v>85</v>
      </c>
      <c r="L333" s="172" t="s">
        <v>86</v>
      </c>
    </row>
    <row r="334" spans="1:12" x14ac:dyDescent="0.2">
      <c r="A334" s="172" t="s">
        <v>83</v>
      </c>
      <c r="B334" s="172" t="s">
        <v>84</v>
      </c>
      <c r="C334" s="172" t="s">
        <v>14</v>
      </c>
      <c r="D334" s="172" t="s">
        <v>15</v>
      </c>
      <c r="E334" s="173">
        <v>42612</v>
      </c>
      <c r="F334" s="174">
        <v>8.15</v>
      </c>
      <c r="G334" s="175" t="s">
        <v>16</v>
      </c>
      <c r="H334" s="172" t="s">
        <v>17</v>
      </c>
      <c r="I334" s="175">
        <v>1</v>
      </c>
      <c r="J334" s="175" t="s">
        <v>18</v>
      </c>
      <c r="K334" s="175" t="s">
        <v>85</v>
      </c>
      <c r="L334" s="172" t="s">
        <v>86</v>
      </c>
    </row>
    <row r="335" spans="1:12" x14ac:dyDescent="0.2">
      <c r="A335" s="172" t="s">
        <v>83</v>
      </c>
      <c r="B335" s="172" t="s">
        <v>84</v>
      </c>
      <c r="C335" s="172" t="s">
        <v>14</v>
      </c>
      <c r="D335" s="172" t="s">
        <v>15</v>
      </c>
      <c r="E335" s="173">
        <v>42612</v>
      </c>
      <c r="F335" s="174">
        <v>53.153322000000003</v>
      </c>
      <c r="G335" s="175" t="s">
        <v>19</v>
      </c>
      <c r="H335" s="172" t="s">
        <v>17</v>
      </c>
      <c r="I335" s="175">
        <v>1</v>
      </c>
      <c r="J335" s="175" t="s">
        <v>18</v>
      </c>
      <c r="K335" s="175" t="s">
        <v>85</v>
      </c>
      <c r="L335" s="172" t="s">
        <v>86</v>
      </c>
    </row>
    <row r="336" spans="1:12" x14ac:dyDescent="0.2">
      <c r="A336" s="172" t="s">
        <v>83</v>
      </c>
      <c r="B336" s="172" t="s">
        <v>84</v>
      </c>
      <c r="C336" s="172" t="s">
        <v>14</v>
      </c>
      <c r="D336" s="172" t="s">
        <v>15</v>
      </c>
      <c r="E336" s="173">
        <v>42612</v>
      </c>
      <c r="F336" s="174">
        <v>7.47</v>
      </c>
      <c r="G336" s="175" t="s">
        <v>16</v>
      </c>
      <c r="H336" s="172" t="s">
        <v>20</v>
      </c>
      <c r="I336" s="175">
        <v>1</v>
      </c>
      <c r="J336" s="175" t="s">
        <v>18</v>
      </c>
      <c r="K336" s="175" t="s">
        <v>85</v>
      </c>
      <c r="L336" s="172" t="s">
        <v>86</v>
      </c>
    </row>
    <row r="337" spans="1:12" x14ac:dyDescent="0.2">
      <c r="A337" s="172" t="s">
        <v>83</v>
      </c>
      <c r="B337" s="172" t="s">
        <v>84</v>
      </c>
      <c r="C337" s="172" t="s">
        <v>14</v>
      </c>
      <c r="D337" s="172" t="s">
        <v>15</v>
      </c>
      <c r="E337" s="173">
        <v>42612</v>
      </c>
      <c r="F337" s="174">
        <v>48.718443600000001</v>
      </c>
      <c r="G337" s="175" t="s">
        <v>19</v>
      </c>
      <c r="H337" s="172" t="s">
        <v>20</v>
      </c>
      <c r="I337" s="175">
        <v>1</v>
      </c>
      <c r="J337" s="175" t="s">
        <v>18</v>
      </c>
      <c r="K337" s="175" t="s">
        <v>85</v>
      </c>
      <c r="L337" s="172" t="s">
        <v>86</v>
      </c>
    </row>
    <row r="338" spans="1:12" x14ac:dyDescent="0.2">
      <c r="A338" s="172" t="s">
        <v>83</v>
      </c>
      <c r="B338" s="172" t="s">
        <v>84</v>
      </c>
      <c r="C338" s="172" t="s">
        <v>14</v>
      </c>
      <c r="D338" s="172" t="s">
        <v>15</v>
      </c>
      <c r="E338" s="173">
        <v>42605</v>
      </c>
      <c r="F338" s="174">
        <v>13.9</v>
      </c>
      <c r="G338" s="175" t="s">
        <v>16</v>
      </c>
      <c r="H338" s="172" t="s">
        <v>17</v>
      </c>
      <c r="I338" s="175">
        <v>1</v>
      </c>
      <c r="J338" s="175" t="s">
        <v>18</v>
      </c>
      <c r="K338" s="175" t="s">
        <v>85</v>
      </c>
      <c r="L338" s="172" t="s">
        <v>86</v>
      </c>
    </row>
    <row r="339" spans="1:12" x14ac:dyDescent="0.2">
      <c r="A339" s="172" t="s">
        <v>83</v>
      </c>
      <c r="B339" s="172" t="s">
        <v>84</v>
      </c>
      <c r="C339" s="172" t="s">
        <v>14</v>
      </c>
      <c r="D339" s="172" t="s">
        <v>15</v>
      </c>
      <c r="E339" s="173">
        <v>42605</v>
      </c>
      <c r="F339" s="174">
        <v>106.65192</v>
      </c>
      <c r="G339" s="175" t="s">
        <v>19</v>
      </c>
      <c r="H339" s="172" t="s">
        <v>17</v>
      </c>
      <c r="I339" s="175">
        <v>1</v>
      </c>
      <c r="J339" s="175" t="s">
        <v>18</v>
      </c>
      <c r="K339" s="175" t="s">
        <v>85</v>
      </c>
      <c r="L339" s="172" t="s">
        <v>86</v>
      </c>
    </row>
    <row r="340" spans="1:12" x14ac:dyDescent="0.2">
      <c r="A340" s="172" t="s">
        <v>83</v>
      </c>
      <c r="B340" s="172" t="s">
        <v>84</v>
      </c>
      <c r="C340" s="172" t="s">
        <v>14</v>
      </c>
      <c r="D340" s="172" t="s">
        <v>15</v>
      </c>
      <c r="E340" s="173">
        <v>42605</v>
      </c>
      <c r="F340" s="174">
        <v>7.47</v>
      </c>
      <c r="G340" s="175" t="s">
        <v>16</v>
      </c>
      <c r="H340" s="172" t="s">
        <v>20</v>
      </c>
      <c r="I340" s="175">
        <v>1</v>
      </c>
      <c r="J340" s="175" t="s">
        <v>18</v>
      </c>
      <c r="K340" s="175" t="s">
        <v>85</v>
      </c>
      <c r="L340" s="172" t="s">
        <v>86</v>
      </c>
    </row>
    <row r="341" spans="1:12" x14ac:dyDescent="0.2">
      <c r="A341" s="172" t="s">
        <v>83</v>
      </c>
      <c r="B341" s="172" t="s">
        <v>84</v>
      </c>
      <c r="C341" s="172" t="s">
        <v>14</v>
      </c>
      <c r="D341" s="172" t="s">
        <v>15</v>
      </c>
      <c r="E341" s="173">
        <v>42605</v>
      </c>
      <c r="F341" s="174">
        <v>57.315815999999998</v>
      </c>
      <c r="G341" s="175" t="s">
        <v>19</v>
      </c>
      <c r="H341" s="172" t="s">
        <v>20</v>
      </c>
      <c r="I341" s="175">
        <v>1</v>
      </c>
      <c r="J341" s="175" t="s">
        <v>18</v>
      </c>
      <c r="K341" s="175" t="s">
        <v>85</v>
      </c>
      <c r="L341" s="172" t="s">
        <v>86</v>
      </c>
    </row>
    <row r="342" spans="1:12" x14ac:dyDescent="0.2">
      <c r="A342" s="172" t="s">
        <v>83</v>
      </c>
      <c r="B342" s="172" t="s">
        <v>84</v>
      </c>
      <c r="C342" s="172" t="s">
        <v>14</v>
      </c>
      <c r="D342" s="172" t="s">
        <v>15</v>
      </c>
      <c r="E342" s="173">
        <v>42598</v>
      </c>
      <c r="F342" s="174">
        <v>21.1</v>
      </c>
      <c r="G342" s="175" t="s">
        <v>16</v>
      </c>
      <c r="H342" s="172" t="s">
        <v>17</v>
      </c>
      <c r="I342" s="175">
        <v>1</v>
      </c>
      <c r="J342" s="175" t="s">
        <v>18</v>
      </c>
      <c r="K342" s="175" t="s">
        <v>85</v>
      </c>
      <c r="L342" s="172" t="s">
        <v>86</v>
      </c>
    </row>
    <row r="343" spans="1:12" x14ac:dyDescent="0.2">
      <c r="A343" s="172" t="s">
        <v>83</v>
      </c>
      <c r="B343" s="172" t="s">
        <v>84</v>
      </c>
      <c r="C343" s="172" t="s">
        <v>14</v>
      </c>
      <c r="D343" s="172" t="s">
        <v>15</v>
      </c>
      <c r="E343" s="173">
        <v>42598</v>
      </c>
      <c r="F343" s="174">
        <v>88.338948000000002</v>
      </c>
      <c r="G343" s="175" t="s">
        <v>19</v>
      </c>
      <c r="H343" s="172" t="s">
        <v>17</v>
      </c>
      <c r="I343" s="175">
        <v>1</v>
      </c>
      <c r="J343" s="175" t="s">
        <v>18</v>
      </c>
      <c r="K343" s="175" t="s">
        <v>85</v>
      </c>
      <c r="L343" s="172" t="s">
        <v>86</v>
      </c>
    </row>
    <row r="344" spans="1:12" x14ac:dyDescent="0.2">
      <c r="A344" s="172" t="s">
        <v>83</v>
      </c>
      <c r="B344" s="172" t="s">
        <v>84</v>
      </c>
      <c r="C344" s="172" t="s">
        <v>14</v>
      </c>
      <c r="D344" s="172" t="s">
        <v>15</v>
      </c>
      <c r="E344" s="173">
        <v>42598</v>
      </c>
      <c r="F344" s="174">
        <v>9.14</v>
      </c>
      <c r="G344" s="175" t="s">
        <v>16</v>
      </c>
      <c r="H344" s="172" t="s">
        <v>20</v>
      </c>
      <c r="I344" s="175">
        <v>1</v>
      </c>
      <c r="J344" s="175" t="s">
        <v>18</v>
      </c>
      <c r="K344" s="175" t="s">
        <v>85</v>
      </c>
      <c r="L344" s="172" t="s">
        <v>86</v>
      </c>
    </row>
    <row r="345" spans="1:12" x14ac:dyDescent="0.2">
      <c r="A345" s="172" t="s">
        <v>83</v>
      </c>
      <c r="B345" s="172" t="s">
        <v>84</v>
      </c>
      <c r="C345" s="172" t="s">
        <v>14</v>
      </c>
      <c r="D345" s="172" t="s">
        <v>15</v>
      </c>
      <c r="E345" s="173">
        <v>42598</v>
      </c>
      <c r="F345" s="174">
        <v>38.266255200000003</v>
      </c>
      <c r="G345" s="175" t="s">
        <v>19</v>
      </c>
      <c r="H345" s="172" t="s">
        <v>20</v>
      </c>
      <c r="I345" s="175">
        <v>1</v>
      </c>
      <c r="J345" s="175" t="s">
        <v>18</v>
      </c>
      <c r="K345" s="175" t="s">
        <v>85</v>
      </c>
      <c r="L345" s="172" t="s">
        <v>86</v>
      </c>
    </row>
    <row r="346" spans="1:12" x14ac:dyDescent="0.2">
      <c r="A346" s="172" t="s">
        <v>83</v>
      </c>
      <c r="B346" s="172" t="s">
        <v>84</v>
      </c>
      <c r="C346" s="172" t="s">
        <v>14</v>
      </c>
      <c r="D346" s="172" t="s">
        <v>15</v>
      </c>
      <c r="E346" s="173">
        <v>42591</v>
      </c>
      <c r="F346" s="174">
        <v>34.799999999999997</v>
      </c>
      <c r="G346" s="175" t="s">
        <v>16</v>
      </c>
      <c r="H346" s="172" t="s">
        <v>17</v>
      </c>
      <c r="I346" s="175">
        <v>1</v>
      </c>
      <c r="J346" s="175" t="s">
        <v>18</v>
      </c>
      <c r="K346" s="175" t="s">
        <v>85</v>
      </c>
      <c r="L346" s="172" t="s">
        <v>86</v>
      </c>
    </row>
    <row r="347" spans="1:12" x14ac:dyDescent="0.2">
      <c r="A347" s="172" t="s">
        <v>83</v>
      </c>
      <c r="B347" s="172" t="s">
        <v>84</v>
      </c>
      <c r="C347" s="172" t="s">
        <v>14</v>
      </c>
      <c r="D347" s="172" t="s">
        <v>15</v>
      </c>
      <c r="E347" s="173">
        <v>42591</v>
      </c>
      <c r="F347" s="174">
        <v>90.552383899999995</v>
      </c>
      <c r="G347" s="175" t="s">
        <v>19</v>
      </c>
      <c r="H347" s="172" t="s">
        <v>17</v>
      </c>
      <c r="I347" s="175">
        <v>1</v>
      </c>
      <c r="J347" s="175" t="s">
        <v>18</v>
      </c>
      <c r="K347" s="175" t="s">
        <v>85</v>
      </c>
      <c r="L347" s="172" t="s">
        <v>86</v>
      </c>
    </row>
    <row r="348" spans="1:12" x14ac:dyDescent="0.2">
      <c r="A348" s="172" t="s">
        <v>83</v>
      </c>
      <c r="B348" s="172" t="s">
        <v>84</v>
      </c>
      <c r="C348" s="172" t="s">
        <v>14</v>
      </c>
      <c r="D348" s="172" t="s">
        <v>15</v>
      </c>
      <c r="E348" s="173">
        <v>42591</v>
      </c>
      <c r="F348" s="174">
        <v>12.3</v>
      </c>
      <c r="G348" s="175" t="s">
        <v>16</v>
      </c>
      <c r="H348" s="172" t="s">
        <v>20</v>
      </c>
      <c r="I348" s="175">
        <v>1</v>
      </c>
      <c r="J348" s="175" t="s">
        <v>18</v>
      </c>
      <c r="K348" s="175" t="s">
        <v>85</v>
      </c>
      <c r="L348" s="172" t="s">
        <v>86</v>
      </c>
    </row>
    <row r="349" spans="1:12" x14ac:dyDescent="0.2">
      <c r="A349" s="172" t="s">
        <v>83</v>
      </c>
      <c r="B349" s="172" t="s">
        <v>84</v>
      </c>
      <c r="C349" s="172" t="s">
        <v>14</v>
      </c>
      <c r="D349" s="172" t="s">
        <v>15</v>
      </c>
      <c r="E349" s="173">
        <v>42591</v>
      </c>
      <c r="F349" s="174">
        <v>32.005583999999999</v>
      </c>
      <c r="G349" s="175" t="s">
        <v>19</v>
      </c>
      <c r="H349" s="172" t="s">
        <v>20</v>
      </c>
      <c r="I349" s="175">
        <v>1</v>
      </c>
      <c r="J349" s="175" t="s">
        <v>18</v>
      </c>
      <c r="K349" s="175" t="s">
        <v>85</v>
      </c>
      <c r="L349" s="172" t="s">
        <v>86</v>
      </c>
    </row>
    <row r="350" spans="1:12" x14ac:dyDescent="0.2">
      <c r="A350" s="172" t="s">
        <v>83</v>
      </c>
      <c r="B350" s="172" t="s">
        <v>84</v>
      </c>
      <c r="C350" s="172" t="s">
        <v>14</v>
      </c>
      <c r="D350" s="172" t="s">
        <v>15</v>
      </c>
      <c r="E350" s="173">
        <v>42584</v>
      </c>
      <c r="F350" s="174">
        <v>30.1</v>
      </c>
      <c r="G350" s="175" t="s">
        <v>16</v>
      </c>
      <c r="H350" s="172" t="s">
        <v>17</v>
      </c>
      <c r="I350" s="175">
        <v>1</v>
      </c>
      <c r="J350" s="175" t="s">
        <v>18</v>
      </c>
      <c r="K350" s="175" t="s">
        <v>85</v>
      </c>
      <c r="L350" s="172" t="s">
        <v>86</v>
      </c>
    </row>
    <row r="351" spans="1:12" x14ac:dyDescent="0.2">
      <c r="A351" s="172" t="s">
        <v>83</v>
      </c>
      <c r="B351" s="172" t="s">
        <v>84</v>
      </c>
      <c r="C351" s="172" t="s">
        <v>14</v>
      </c>
      <c r="D351" s="172" t="s">
        <v>15</v>
      </c>
      <c r="E351" s="173">
        <v>42584</v>
      </c>
      <c r="F351" s="174">
        <v>87.610865899999993</v>
      </c>
      <c r="G351" s="175" t="s">
        <v>19</v>
      </c>
      <c r="H351" s="172" t="s">
        <v>17</v>
      </c>
      <c r="I351" s="175">
        <v>1</v>
      </c>
      <c r="J351" s="175" t="s">
        <v>18</v>
      </c>
      <c r="K351" s="175" t="s">
        <v>85</v>
      </c>
      <c r="L351" s="172" t="s">
        <v>86</v>
      </c>
    </row>
    <row r="352" spans="1:12" x14ac:dyDescent="0.2">
      <c r="A352" s="172" t="s">
        <v>83</v>
      </c>
      <c r="B352" s="172" t="s">
        <v>84</v>
      </c>
      <c r="C352" s="172" t="s">
        <v>14</v>
      </c>
      <c r="D352" s="172" t="s">
        <v>15</v>
      </c>
      <c r="E352" s="173">
        <v>42584</v>
      </c>
      <c r="F352" s="174">
        <v>11.5</v>
      </c>
      <c r="G352" s="175" t="s">
        <v>16</v>
      </c>
      <c r="H352" s="172" t="s">
        <v>20</v>
      </c>
      <c r="I352" s="175">
        <v>1</v>
      </c>
      <c r="J352" s="175" t="s">
        <v>18</v>
      </c>
      <c r="K352" s="175" t="s">
        <v>85</v>
      </c>
      <c r="L352" s="172" t="s">
        <v>86</v>
      </c>
    </row>
    <row r="353" spans="1:12" x14ac:dyDescent="0.2">
      <c r="A353" s="172" t="s">
        <v>83</v>
      </c>
      <c r="B353" s="172" t="s">
        <v>84</v>
      </c>
      <c r="C353" s="172" t="s">
        <v>14</v>
      </c>
      <c r="D353" s="172" t="s">
        <v>15</v>
      </c>
      <c r="E353" s="173">
        <v>42584</v>
      </c>
      <c r="F353" s="174">
        <v>33.472589999999997</v>
      </c>
      <c r="G353" s="175" t="s">
        <v>19</v>
      </c>
      <c r="H353" s="172" t="s">
        <v>20</v>
      </c>
      <c r="I353" s="175">
        <v>1</v>
      </c>
      <c r="J353" s="175" t="s">
        <v>18</v>
      </c>
      <c r="K353" s="175" t="s">
        <v>85</v>
      </c>
      <c r="L353" s="172" t="s">
        <v>86</v>
      </c>
    </row>
    <row r="354" spans="1:12" x14ac:dyDescent="0.2">
      <c r="A354" s="172" t="s">
        <v>83</v>
      </c>
      <c r="B354" s="172" t="s">
        <v>84</v>
      </c>
      <c r="C354" s="172" t="s">
        <v>14</v>
      </c>
      <c r="D354" s="172" t="s">
        <v>15</v>
      </c>
      <c r="E354" s="173">
        <v>42577</v>
      </c>
      <c r="F354" s="174">
        <v>19.100000000000001</v>
      </c>
      <c r="G354" s="175" t="s">
        <v>16</v>
      </c>
      <c r="H354" s="172" t="s">
        <v>17</v>
      </c>
      <c r="I354" s="175">
        <v>1</v>
      </c>
      <c r="J354" s="175" t="s">
        <v>18</v>
      </c>
      <c r="K354" s="175" t="s">
        <v>85</v>
      </c>
      <c r="L354" s="172" t="s">
        <v>86</v>
      </c>
    </row>
    <row r="355" spans="1:12" x14ac:dyDescent="0.2">
      <c r="A355" s="172" t="s">
        <v>83</v>
      </c>
      <c r="B355" s="172" t="s">
        <v>84</v>
      </c>
      <c r="C355" s="172" t="s">
        <v>14</v>
      </c>
      <c r="D355" s="172" t="s">
        <v>15</v>
      </c>
      <c r="E355" s="173">
        <v>42577</v>
      </c>
      <c r="F355" s="174">
        <v>81.717821999999998</v>
      </c>
      <c r="G355" s="175" t="s">
        <v>19</v>
      </c>
      <c r="H355" s="172" t="s">
        <v>17</v>
      </c>
      <c r="I355" s="175">
        <v>1</v>
      </c>
      <c r="J355" s="175" t="s">
        <v>18</v>
      </c>
      <c r="K355" s="175" t="s">
        <v>85</v>
      </c>
      <c r="L355" s="172" t="s">
        <v>86</v>
      </c>
    </row>
    <row r="356" spans="1:12" x14ac:dyDescent="0.2">
      <c r="A356" s="172" t="s">
        <v>83</v>
      </c>
      <c r="B356" s="172" t="s">
        <v>84</v>
      </c>
      <c r="C356" s="172" t="s">
        <v>14</v>
      </c>
      <c r="D356" s="172" t="s">
        <v>15</v>
      </c>
      <c r="E356" s="173">
        <v>42577</v>
      </c>
      <c r="F356" s="174">
        <v>8.67</v>
      </c>
      <c r="G356" s="175" t="s">
        <v>16</v>
      </c>
      <c r="H356" s="172" t="s">
        <v>20</v>
      </c>
      <c r="I356" s="175">
        <v>1</v>
      </c>
      <c r="J356" s="175" t="s">
        <v>18</v>
      </c>
      <c r="K356" s="175" t="s">
        <v>85</v>
      </c>
      <c r="L356" s="172" t="s">
        <v>86</v>
      </c>
    </row>
    <row r="357" spans="1:12" x14ac:dyDescent="0.2">
      <c r="A357" s="172" t="s">
        <v>83</v>
      </c>
      <c r="B357" s="172" t="s">
        <v>84</v>
      </c>
      <c r="C357" s="172" t="s">
        <v>14</v>
      </c>
      <c r="D357" s="172" t="s">
        <v>15</v>
      </c>
      <c r="E357" s="173">
        <v>42577</v>
      </c>
      <c r="F357" s="174">
        <v>37.0939014</v>
      </c>
      <c r="G357" s="175" t="s">
        <v>19</v>
      </c>
      <c r="H357" s="172" t="s">
        <v>20</v>
      </c>
      <c r="I357" s="175">
        <v>1</v>
      </c>
      <c r="J357" s="175" t="s">
        <v>18</v>
      </c>
      <c r="K357" s="175" t="s">
        <v>85</v>
      </c>
      <c r="L357" s="172" t="s">
        <v>86</v>
      </c>
    </row>
    <row r="358" spans="1:12" x14ac:dyDescent="0.2">
      <c r="A358" s="172" t="s">
        <v>83</v>
      </c>
      <c r="B358" s="172" t="s">
        <v>84</v>
      </c>
      <c r="C358" s="172" t="s">
        <v>14</v>
      </c>
      <c r="D358" s="172" t="s">
        <v>15</v>
      </c>
      <c r="E358" s="173">
        <v>42570</v>
      </c>
      <c r="F358" s="174">
        <v>18.3</v>
      </c>
      <c r="G358" s="175" t="s">
        <v>16</v>
      </c>
      <c r="H358" s="172" t="s">
        <v>17</v>
      </c>
      <c r="I358" s="175">
        <v>1</v>
      </c>
      <c r="J358" s="175" t="s">
        <v>18</v>
      </c>
      <c r="K358" s="175" t="s">
        <v>85</v>
      </c>
      <c r="L358" s="172" t="s">
        <v>86</v>
      </c>
    </row>
    <row r="359" spans="1:12" x14ac:dyDescent="0.2">
      <c r="A359" s="172" t="s">
        <v>83</v>
      </c>
      <c r="B359" s="172" t="s">
        <v>84</v>
      </c>
      <c r="C359" s="172" t="s">
        <v>14</v>
      </c>
      <c r="D359" s="172" t="s">
        <v>15</v>
      </c>
      <c r="E359" s="173">
        <v>42570</v>
      </c>
      <c r="F359" s="174">
        <v>70.206119999999999</v>
      </c>
      <c r="G359" s="175" t="s">
        <v>19</v>
      </c>
      <c r="H359" s="172" t="s">
        <v>17</v>
      </c>
      <c r="I359" s="175">
        <v>1</v>
      </c>
      <c r="J359" s="175" t="s">
        <v>18</v>
      </c>
      <c r="K359" s="175" t="s">
        <v>85</v>
      </c>
      <c r="L359" s="172" t="s">
        <v>86</v>
      </c>
    </row>
    <row r="360" spans="1:12" x14ac:dyDescent="0.2">
      <c r="A360" s="172" t="s">
        <v>83</v>
      </c>
      <c r="B360" s="172" t="s">
        <v>84</v>
      </c>
      <c r="C360" s="172" t="s">
        <v>14</v>
      </c>
      <c r="D360" s="172" t="s">
        <v>15</v>
      </c>
      <c r="E360" s="173">
        <v>42570</v>
      </c>
      <c r="F360" s="174">
        <v>7.9</v>
      </c>
      <c r="G360" s="175" t="s">
        <v>16</v>
      </c>
      <c r="H360" s="172" t="s">
        <v>20</v>
      </c>
      <c r="I360" s="175">
        <v>1</v>
      </c>
      <c r="J360" s="175" t="s">
        <v>18</v>
      </c>
      <c r="K360" s="175" t="s">
        <v>85</v>
      </c>
      <c r="L360" s="172" t="s">
        <v>86</v>
      </c>
    </row>
    <row r="361" spans="1:12" x14ac:dyDescent="0.2">
      <c r="A361" s="172" t="s">
        <v>83</v>
      </c>
      <c r="B361" s="172" t="s">
        <v>84</v>
      </c>
      <c r="C361" s="172" t="s">
        <v>14</v>
      </c>
      <c r="D361" s="172" t="s">
        <v>15</v>
      </c>
      <c r="E361" s="173">
        <v>42570</v>
      </c>
      <c r="F361" s="174">
        <v>30.307559999999999</v>
      </c>
      <c r="G361" s="175" t="s">
        <v>19</v>
      </c>
      <c r="H361" s="172" t="s">
        <v>20</v>
      </c>
      <c r="I361" s="175">
        <v>1</v>
      </c>
      <c r="J361" s="175" t="s">
        <v>18</v>
      </c>
      <c r="K361" s="175" t="s">
        <v>85</v>
      </c>
      <c r="L361" s="172" t="s">
        <v>86</v>
      </c>
    </row>
    <row r="362" spans="1:12" x14ac:dyDescent="0.2">
      <c r="A362" s="172" t="s">
        <v>83</v>
      </c>
      <c r="B362" s="172" t="s">
        <v>84</v>
      </c>
      <c r="C362" s="172" t="s">
        <v>14</v>
      </c>
      <c r="D362" s="172" t="s">
        <v>15</v>
      </c>
      <c r="E362" s="173">
        <v>42563</v>
      </c>
      <c r="F362" s="174">
        <v>20.2</v>
      </c>
      <c r="G362" s="175" t="s">
        <v>16</v>
      </c>
      <c r="H362" s="172" t="s">
        <v>17</v>
      </c>
      <c r="I362" s="175">
        <v>1</v>
      </c>
      <c r="J362" s="175" t="s">
        <v>18</v>
      </c>
      <c r="K362" s="175" t="s">
        <v>85</v>
      </c>
      <c r="L362" s="172" t="s">
        <v>86</v>
      </c>
    </row>
    <row r="363" spans="1:12" x14ac:dyDescent="0.2">
      <c r="A363" s="172" t="s">
        <v>83</v>
      </c>
      <c r="B363" s="172" t="s">
        <v>84</v>
      </c>
      <c r="C363" s="172" t="s">
        <v>14</v>
      </c>
      <c r="D363" s="172" t="s">
        <v>15</v>
      </c>
      <c r="E363" s="173">
        <v>42563</v>
      </c>
      <c r="F363" s="174">
        <v>94.679016000000004</v>
      </c>
      <c r="G363" s="175" t="s">
        <v>19</v>
      </c>
      <c r="H363" s="172" t="s">
        <v>17</v>
      </c>
      <c r="I363" s="175">
        <v>1</v>
      </c>
      <c r="J363" s="175" t="s">
        <v>18</v>
      </c>
      <c r="K363" s="175" t="s">
        <v>85</v>
      </c>
      <c r="L363" s="172" t="s">
        <v>86</v>
      </c>
    </row>
    <row r="364" spans="1:12" x14ac:dyDescent="0.2">
      <c r="A364" s="172" t="s">
        <v>83</v>
      </c>
      <c r="B364" s="172" t="s">
        <v>84</v>
      </c>
      <c r="C364" s="172" t="s">
        <v>14</v>
      </c>
      <c r="D364" s="172" t="s">
        <v>15</v>
      </c>
      <c r="E364" s="173">
        <v>42563</v>
      </c>
      <c r="F364" s="174">
        <v>10.8</v>
      </c>
      <c r="G364" s="175" t="s">
        <v>16</v>
      </c>
      <c r="H364" s="172" t="s">
        <v>20</v>
      </c>
      <c r="I364" s="175">
        <v>1</v>
      </c>
      <c r="J364" s="175" t="s">
        <v>18</v>
      </c>
      <c r="K364" s="175" t="s">
        <v>85</v>
      </c>
      <c r="L364" s="172" t="s">
        <v>86</v>
      </c>
    </row>
    <row r="365" spans="1:12" x14ac:dyDescent="0.2">
      <c r="A365" s="172" t="s">
        <v>83</v>
      </c>
      <c r="B365" s="172" t="s">
        <v>84</v>
      </c>
      <c r="C365" s="172" t="s">
        <v>14</v>
      </c>
      <c r="D365" s="172" t="s">
        <v>15</v>
      </c>
      <c r="E365" s="173">
        <v>42563</v>
      </c>
      <c r="F365" s="174">
        <v>50.620463999999998</v>
      </c>
      <c r="G365" s="175" t="s">
        <v>19</v>
      </c>
      <c r="H365" s="172" t="s">
        <v>20</v>
      </c>
      <c r="I365" s="175">
        <v>1</v>
      </c>
      <c r="J365" s="175" t="s">
        <v>18</v>
      </c>
      <c r="K365" s="175" t="s">
        <v>85</v>
      </c>
      <c r="L365" s="172" t="s">
        <v>86</v>
      </c>
    </row>
    <row r="366" spans="1:12" x14ac:dyDescent="0.2">
      <c r="A366" s="172" t="s">
        <v>83</v>
      </c>
      <c r="B366" s="172" t="s">
        <v>84</v>
      </c>
      <c r="C366" s="172" t="s">
        <v>14</v>
      </c>
      <c r="D366" s="172" t="s">
        <v>15</v>
      </c>
      <c r="E366" s="173">
        <v>42556</v>
      </c>
      <c r="F366" s="174">
        <v>24.2</v>
      </c>
      <c r="G366" s="175" t="s">
        <v>16</v>
      </c>
      <c r="H366" s="172" t="s">
        <v>17</v>
      </c>
      <c r="I366" s="175">
        <v>1</v>
      </c>
      <c r="J366" s="175" t="s">
        <v>18</v>
      </c>
      <c r="K366" s="175" t="s">
        <v>85</v>
      </c>
      <c r="L366" s="172" t="s">
        <v>86</v>
      </c>
    </row>
    <row r="367" spans="1:12" x14ac:dyDescent="0.2">
      <c r="A367" s="172" t="s">
        <v>83</v>
      </c>
      <c r="B367" s="172" t="s">
        <v>84</v>
      </c>
      <c r="C367" s="172" t="s">
        <v>14</v>
      </c>
      <c r="D367" s="172" t="s">
        <v>15</v>
      </c>
      <c r="E367" s="173">
        <v>42556</v>
      </c>
      <c r="F367" s="174">
        <v>81.134855999999999</v>
      </c>
      <c r="G367" s="175" t="s">
        <v>19</v>
      </c>
      <c r="H367" s="172" t="s">
        <v>17</v>
      </c>
      <c r="I367" s="175">
        <v>1</v>
      </c>
      <c r="J367" s="175" t="s">
        <v>18</v>
      </c>
      <c r="K367" s="175" t="s">
        <v>85</v>
      </c>
      <c r="L367" s="172" t="s">
        <v>86</v>
      </c>
    </row>
    <row r="368" spans="1:12" x14ac:dyDescent="0.2">
      <c r="A368" s="172" t="s">
        <v>83</v>
      </c>
      <c r="B368" s="172" t="s">
        <v>84</v>
      </c>
      <c r="C368" s="172" t="s">
        <v>14</v>
      </c>
      <c r="D368" s="172" t="s">
        <v>15</v>
      </c>
      <c r="E368" s="173">
        <v>42556</v>
      </c>
      <c r="F368" s="174">
        <v>10.119999999999999</v>
      </c>
      <c r="G368" s="175" t="s">
        <v>16</v>
      </c>
      <c r="H368" s="172" t="s">
        <v>20</v>
      </c>
      <c r="I368" s="175">
        <v>1</v>
      </c>
      <c r="J368" s="175" t="s">
        <v>18</v>
      </c>
      <c r="K368" s="175" t="s">
        <v>85</v>
      </c>
      <c r="L368" s="172" t="s">
        <v>86</v>
      </c>
    </row>
    <row r="369" spans="1:12" x14ac:dyDescent="0.2">
      <c r="A369" s="172" t="s">
        <v>83</v>
      </c>
      <c r="B369" s="172" t="s">
        <v>84</v>
      </c>
      <c r="C369" s="172" t="s">
        <v>14</v>
      </c>
      <c r="D369" s="172" t="s">
        <v>15</v>
      </c>
      <c r="E369" s="173">
        <v>42556</v>
      </c>
      <c r="F369" s="174">
        <v>33.929121600000002</v>
      </c>
      <c r="G369" s="175" t="s">
        <v>19</v>
      </c>
      <c r="H369" s="172" t="s">
        <v>20</v>
      </c>
      <c r="I369" s="175">
        <v>1</v>
      </c>
      <c r="J369" s="175" t="s">
        <v>18</v>
      </c>
      <c r="K369" s="175" t="s">
        <v>85</v>
      </c>
      <c r="L369" s="172" t="s">
        <v>86</v>
      </c>
    </row>
    <row r="370" spans="1:12" x14ac:dyDescent="0.2">
      <c r="A370" s="172" t="s">
        <v>83</v>
      </c>
      <c r="B370" s="172" t="s">
        <v>84</v>
      </c>
      <c r="C370" s="172" t="s">
        <v>14</v>
      </c>
      <c r="D370" s="172" t="s">
        <v>15</v>
      </c>
      <c r="E370" s="173">
        <v>42549</v>
      </c>
      <c r="F370" s="174">
        <v>24.2</v>
      </c>
      <c r="G370" s="175" t="s">
        <v>16</v>
      </c>
      <c r="H370" s="172" t="s">
        <v>17</v>
      </c>
      <c r="I370" s="175">
        <v>1</v>
      </c>
      <c r="J370" s="175" t="s">
        <v>18</v>
      </c>
      <c r="K370" s="175" t="s">
        <v>85</v>
      </c>
      <c r="L370" s="172" t="s">
        <v>86</v>
      </c>
    </row>
    <row r="371" spans="1:12" x14ac:dyDescent="0.2">
      <c r="A371" s="172" t="s">
        <v>83</v>
      </c>
      <c r="B371" s="172" t="s">
        <v>84</v>
      </c>
      <c r="C371" s="172" t="s">
        <v>14</v>
      </c>
      <c r="D371" s="172" t="s">
        <v>15</v>
      </c>
      <c r="E371" s="173">
        <v>42549</v>
      </c>
      <c r="F371" s="174">
        <v>81.134855999999999</v>
      </c>
      <c r="G371" s="175" t="s">
        <v>19</v>
      </c>
      <c r="H371" s="172" t="s">
        <v>17</v>
      </c>
      <c r="I371" s="175">
        <v>1</v>
      </c>
      <c r="J371" s="175" t="s">
        <v>18</v>
      </c>
      <c r="K371" s="175" t="s">
        <v>85</v>
      </c>
      <c r="L371" s="172" t="s">
        <v>86</v>
      </c>
    </row>
    <row r="372" spans="1:12" x14ac:dyDescent="0.2">
      <c r="A372" s="172" t="s">
        <v>83</v>
      </c>
      <c r="B372" s="172" t="s">
        <v>84</v>
      </c>
      <c r="C372" s="172" t="s">
        <v>14</v>
      </c>
      <c r="D372" s="172" t="s">
        <v>15</v>
      </c>
      <c r="E372" s="173">
        <v>42549</v>
      </c>
      <c r="F372" s="174">
        <v>9.59</v>
      </c>
      <c r="G372" s="175" t="s">
        <v>16</v>
      </c>
      <c r="H372" s="172" t="s">
        <v>20</v>
      </c>
      <c r="I372" s="175">
        <v>1</v>
      </c>
      <c r="J372" s="175" t="s">
        <v>18</v>
      </c>
      <c r="K372" s="175" t="s">
        <v>85</v>
      </c>
      <c r="L372" s="172" t="s">
        <v>86</v>
      </c>
    </row>
    <row r="373" spans="1:12" x14ac:dyDescent="0.2">
      <c r="A373" s="172" t="s">
        <v>83</v>
      </c>
      <c r="B373" s="172" t="s">
        <v>84</v>
      </c>
      <c r="C373" s="172" t="s">
        <v>14</v>
      </c>
      <c r="D373" s="172" t="s">
        <v>15</v>
      </c>
      <c r="E373" s="173">
        <v>42549</v>
      </c>
      <c r="F373" s="174">
        <v>32.1522012</v>
      </c>
      <c r="G373" s="175" t="s">
        <v>19</v>
      </c>
      <c r="H373" s="172" t="s">
        <v>20</v>
      </c>
      <c r="I373" s="175">
        <v>1</v>
      </c>
      <c r="J373" s="175" t="s">
        <v>18</v>
      </c>
      <c r="K373" s="175" t="s">
        <v>85</v>
      </c>
      <c r="L373" s="172" t="s">
        <v>86</v>
      </c>
    </row>
    <row r="374" spans="1:12" x14ac:dyDescent="0.2">
      <c r="A374" s="172" t="s">
        <v>83</v>
      </c>
      <c r="B374" s="172" t="s">
        <v>84</v>
      </c>
      <c r="C374" s="172" t="s">
        <v>14</v>
      </c>
      <c r="D374" s="172" t="s">
        <v>15</v>
      </c>
      <c r="E374" s="173">
        <v>42542</v>
      </c>
      <c r="F374" s="174">
        <v>23.9</v>
      </c>
      <c r="G374" s="175" t="s">
        <v>16</v>
      </c>
      <c r="H374" s="172" t="s">
        <v>17</v>
      </c>
      <c r="I374" s="175">
        <v>1</v>
      </c>
      <c r="J374" s="175" t="s">
        <v>18</v>
      </c>
      <c r="K374" s="175" t="s">
        <v>85</v>
      </c>
      <c r="L374" s="172" t="s">
        <v>86</v>
      </c>
    </row>
    <row r="375" spans="1:12" x14ac:dyDescent="0.2">
      <c r="A375" s="172" t="s">
        <v>83</v>
      </c>
      <c r="B375" s="172" t="s">
        <v>84</v>
      </c>
      <c r="C375" s="172" t="s">
        <v>14</v>
      </c>
      <c r="D375" s="172" t="s">
        <v>15</v>
      </c>
      <c r="E375" s="173">
        <v>42542</v>
      </c>
      <c r="F375" s="174">
        <v>93.683219899999997</v>
      </c>
      <c r="G375" s="175" t="s">
        <v>19</v>
      </c>
      <c r="H375" s="172" t="s">
        <v>17</v>
      </c>
      <c r="I375" s="175">
        <v>1</v>
      </c>
      <c r="J375" s="175" t="s">
        <v>18</v>
      </c>
      <c r="K375" s="175" t="s">
        <v>85</v>
      </c>
      <c r="L375" s="172" t="s">
        <v>86</v>
      </c>
    </row>
    <row r="376" spans="1:12" x14ac:dyDescent="0.2">
      <c r="A376" s="172" t="s">
        <v>83</v>
      </c>
      <c r="B376" s="172" t="s">
        <v>84</v>
      </c>
      <c r="C376" s="172" t="s">
        <v>14</v>
      </c>
      <c r="D376" s="172" t="s">
        <v>15</v>
      </c>
      <c r="E376" s="173">
        <v>42542</v>
      </c>
      <c r="F376" s="174">
        <v>9.16</v>
      </c>
      <c r="G376" s="175" t="s">
        <v>16</v>
      </c>
      <c r="H376" s="172" t="s">
        <v>20</v>
      </c>
      <c r="I376" s="175">
        <v>1</v>
      </c>
      <c r="J376" s="175" t="s">
        <v>18</v>
      </c>
      <c r="K376" s="175" t="s">
        <v>85</v>
      </c>
      <c r="L376" s="172" t="s">
        <v>86</v>
      </c>
    </row>
    <row r="377" spans="1:12" x14ac:dyDescent="0.2">
      <c r="A377" s="172" t="s">
        <v>83</v>
      </c>
      <c r="B377" s="172" t="s">
        <v>84</v>
      </c>
      <c r="C377" s="172" t="s">
        <v>14</v>
      </c>
      <c r="D377" s="172" t="s">
        <v>15</v>
      </c>
      <c r="E377" s="173">
        <v>42542</v>
      </c>
      <c r="F377" s="174">
        <v>35.905368000000003</v>
      </c>
      <c r="G377" s="175" t="s">
        <v>19</v>
      </c>
      <c r="H377" s="172" t="s">
        <v>20</v>
      </c>
      <c r="I377" s="175">
        <v>1</v>
      </c>
      <c r="J377" s="175" t="s">
        <v>18</v>
      </c>
      <c r="K377" s="175" t="s">
        <v>85</v>
      </c>
      <c r="L377" s="172" t="s">
        <v>86</v>
      </c>
    </row>
    <row r="378" spans="1:12" x14ac:dyDescent="0.2">
      <c r="A378" s="172" t="s">
        <v>83</v>
      </c>
      <c r="B378" s="172" t="s">
        <v>84</v>
      </c>
      <c r="C378" s="172" t="s">
        <v>14</v>
      </c>
      <c r="D378" s="172" t="s">
        <v>15</v>
      </c>
      <c r="E378" s="173">
        <v>42535</v>
      </c>
      <c r="F378" s="174">
        <v>19.899999999999999</v>
      </c>
      <c r="G378" s="175" t="s">
        <v>16</v>
      </c>
      <c r="H378" s="172" t="s">
        <v>17</v>
      </c>
      <c r="I378" s="175">
        <v>1</v>
      </c>
      <c r="J378" s="175" t="s">
        <v>18</v>
      </c>
      <c r="K378" s="175" t="s">
        <v>85</v>
      </c>
      <c r="L378" s="172" t="s">
        <v>86</v>
      </c>
    </row>
    <row r="379" spans="1:12" x14ac:dyDescent="0.2">
      <c r="A379" s="172" t="s">
        <v>83</v>
      </c>
      <c r="B379" s="172" t="s">
        <v>84</v>
      </c>
      <c r="C379" s="172" t="s">
        <v>14</v>
      </c>
      <c r="D379" s="172" t="s">
        <v>15</v>
      </c>
      <c r="E379" s="173">
        <v>42535</v>
      </c>
      <c r="F379" s="174">
        <v>93.272891999999999</v>
      </c>
      <c r="G379" s="175" t="s">
        <v>19</v>
      </c>
      <c r="H379" s="172" t="s">
        <v>17</v>
      </c>
      <c r="I379" s="175">
        <v>1</v>
      </c>
      <c r="J379" s="175" t="s">
        <v>18</v>
      </c>
      <c r="K379" s="175" t="s">
        <v>85</v>
      </c>
      <c r="L379" s="172" t="s">
        <v>86</v>
      </c>
    </row>
    <row r="380" spans="1:12" x14ac:dyDescent="0.2">
      <c r="A380" s="172" t="s">
        <v>83</v>
      </c>
      <c r="B380" s="172" t="s">
        <v>84</v>
      </c>
      <c r="C380" s="172" t="s">
        <v>14</v>
      </c>
      <c r="D380" s="172" t="s">
        <v>15</v>
      </c>
      <c r="E380" s="173">
        <v>42535</v>
      </c>
      <c r="F380" s="174">
        <v>7.48</v>
      </c>
      <c r="G380" s="175" t="s">
        <v>16</v>
      </c>
      <c r="H380" s="172" t="s">
        <v>20</v>
      </c>
      <c r="I380" s="175">
        <v>1</v>
      </c>
      <c r="J380" s="175" t="s">
        <v>18</v>
      </c>
      <c r="K380" s="175" t="s">
        <v>85</v>
      </c>
      <c r="L380" s="172" t="s">
        <v>86</v>
      </c>
    </row>
    <row r="381" spans="1:12" x14ac:dyDescent="0.2">
      <c r="A381" s="172" t="s">
        <v>83</v>
      </c>
      <c r="B381" s="172" t="s">
        <v>84</v>
      </c>
      <c r="C381" s="172" t="s">
        <v>14</v>
      </c>
      <c r="D381" s="172" t="s">
        <v>15</v>
      </c>
      <c r="E381" s="173">
        <v>42535</v>
      </c>
      <c r="F381" s="174">
        <v>35.059358400000001</v>
      </c>
      <c r="G381" s="175" t="s">
        <v>19</v>
      </c>
      <c r="H381" s="172" t="s">
        <v>20</v>
      </c>
      <c r="I381" s="175">
        <v>1</v>
      </c>
      <c r="J381" s="175" t="s">
        <v>18</v>
      </c>
      <c r="K381" s="175" t="s">
        <v>85</v>
      </c>
      <c r="L381" s="172" t="s">
        <v>86</v>
      </c>
    </row>
    <row r="382" spans="1:12" x14ac:dyDescent="0.2">
      <c r="A382" s="172" t="s">
        <v>83</v>
      </c>
      <c r="B382" s="172" t="s">
        <v>84</v>
      </c>
      <c r="C382" s="172" t="s">
        <v>14</v>
      </c>
      <c r="D382" s="172" t="s">
        <v>15</v>
      </c>
      <c r="E382" s="173">
        <v>42528</v>
      </c>
      <c r="F382" s="174">
        <v>16.100000000000001</v>
      </c>
      <c r="G382" s="175" t="s">
        <v>16</v>
      </c>
      <c r="H382" s="172" t="s">
        <v>17</v>
      </c>
      <c r="I382" s="175">
        <v>1</v>
      </c>
      <c r="J382" s="175" t="s">
        <v>18</v>
      </c>
      <c r="K382" s="175" t="s">
        <v>85</v>
      </c>
      <c r="L382" s="172" t="s">
        <v>86</v>
      </c>
    </row>
    <row r="383" spans="1:12" x14ac:dyDescent="0.2">
      <c r="A383" s="172" t="s">
        <v>83</v>
      </c>
      <c r="B383" s="172" t="s">
        <v>84</v>
      </c>
      <c r="C383" s="172" t="s">
        <v>14</v>
      </c>
      <c r="D383" s="172" t="s">
        <v>15</v>
      </c>
      <c r="E383" s="173">
        <v>42528</v>
      </c>
      <c r="F383" s="174">
        <v>104.196624</v>
      </c>
      <c r="G383" s="175" t="s">
        <v>19</v>
      </c>
      <c r="H383" s="172" t="s">
        <v>17</v>
      </c>
      <c r="I383" s="175">
        <v>1</v>
      </c>
      <c r="J383" s="175" t="s">
        <v>18</v>
      </c>
      <c r="K383" s="175" t="s">
        <v>85</v>
      </c>
      <c r="L383" s="172" t="s">
        <v>86</v>
      </c>
    </row>
    <row r="384" spans="1:12" x14ac:dyDescent="0.2">
      <c r="A384" s="172" t="s">
        <v>83</v>
      </c>
      <c r="B384" s="172" t="s">
        <v>84</v>
      </c>
      <c r="C384" s="172" t="s">
        <v>14</v>
      </c>
      <c r="D384" s="172" t="s">
        <v>15</v>
      </c>
      <c r="E384" s="173">
        <v>42528</v>
      </c>
      <c r="F384" s="174">
        <v>5.63</v>
      </c>
      <c r="G384" s="175" t="s">
        <v>16</v>
      </c>
      <c r="H384" s="172" t="s">
        <v>20</v>
      </c>
      <c r="I384" s="175">
        <v>1</v>
      </c>
      <c r="J384" s="175" t="s">
        <v>18</v>
      </c>
      <c r="K384" s="175" t="s">
        <v>85</v>
      </c>
      <c r="L384" s="172" t="s">
        <v>86</v>
      </c>
    </row>
    <row r="385" spans="1:12" x14ac:dyDescent="0.2">
      <c r="A385" s="172" t="s">
        <v>83</v>
      </c>
      <c r="B385" s="172" t="s">
        <v>84</v>
      </c>
      <c r="C385" s="172" t="s">
        <v>14</v>
      </c>
      <c r="D385" s="172" t="s">
        <v>15</v>
      </c>
      <c r="E385" s="173">
        <v>42528</v>
      </c>
      <c r="F385" s="174">
        <v>36.436459200000002</v>
      </c>
      <c r="G385" s="175" t="s">
        <v>19</v>
      </c>
      <c r="H385" s="172" t="s">
        <v>20</v>
      </c>
      <c r="I385" s="175">
        <v>1</v>
      </c>
      <c r="J385" s="175" t="s">
        <v>18</v>
      </c>
      <c r="K385" s="175" t="s">
        <v>85</v>
      </c>
      <c r="L385" s="172" t="s">
        <v>86</v>
      </c>
    </row>
    <row r="386" spans="1:12" x14ac:dyDescent="0.2">
      <c r="A386" s="172" t="s">
        <v>83</v>
      </c>
      <c r="B386" s="172" t="s">
        <v>84</v>
      </c>
      <c r="C386" s="172" t="s">
        <v>14</v>
      </c>
      <c r="D386" s="172" t="s">
        <v>15</v>
      </c>
      <c r="E386" s="173">
        <v>42522</v>
      </c>
      <c r="F386" s="174">
        <v>21.3</v>
      </c>
      <c r="G386" s="175" t="s">
        <v>16</v>
      </c>
      <c r="H386" s="172" t="s">
        <v>17</v>
      </c>
      <c r="I386" s="175">
        <v>1</v>
      </c>
      <c r="J386" s="175" t="s">
        <v>18</v>
      </c>
      <c r="K386" s="175" t="s">
        <v>85</v>
      </c>
      <c r="L386" s="172" t="s">
        <v>86</v>
      </c>
    </row>
    <row r="387" spans="1:12" x14ac:dyDescent="0.2">
      <c r="A387" s="172" t="s">
        <v>83</v>
      </c>
      <c r="B387" s="172" t="s">
        <v>84</v>
      </c>
      <c r="C387" s="172" t="s">
        <v>14</v>
      </c>
      <c r="D387" s="172" t="s">
        <v>15</v>
      </c>
      <c r="E387" s="173">
        <v>42522</v>
      </c>
      <c r="F387" s="174">
        <v>129.145734</v>
      </c>
      <c r="G387" s="175" t="s">
        <v>19</v>
      </c>
      <c r="H387" s="172" t="s">
        <v>17</v>
      </c>
      <c r="I387" s="175">
        <v>1</v>
      </c>
      <c r="J387" s="175" t="s">
        <v>18</v>
      </c>
      <c r="K387" s="175" t="s">
        <v>85</v>
      </c>
      <c r="L387" s="172" t="s">
        <v>86</v>
      </c>
    </row>
    <row r="388" spans="1:12" x14ac:dyDescent="0.2">
      <c r="A388" s="172" t="s">
        <v>83</v>
      </c>
      <c r="B388" s="172" t="s">
        <v>84</v>
      </c>
      <c r="C388" s="172" t="s">
        <v>14</v>
      </c>
      <c r="D388" s="172" t="s">
        <v>15</v>
      </c>
      <c r="E388" s="173">
        <v>42522</v>
      </c>
      <c r="F388" s="174">
        <v>8.16</v>
      </c>
      <c r="G388" s="175" t="s">
        <v>16</v>
      </c>
      <c r="H388" s="172" t="s">
        <v>20</v>
      </c>
      <c r="I388" s="175">
        <v>1</v>
      </c>
      <c r="J388" s="175" t="s">
        <v>18</v>
      </c>
      <c r="K388" s="175" t="s">
        <v>85</v>
      </c>
      <c r="L388" s="172" t="s">
        <v>86</v>
      </c>
    </row>
    <row r="389" spans="1:12" x14ac:dyDescent="0.2">
      <c r="A389" s="172" t="s">
        <v>83</v>
      </c>
      <c r="B389" s="172" t="s">
        <v>84</v>
      </c>
      <c r="C389" s="172" t="s">
        <v>14</v>
      </c>
      <c r="D389" s="172" t="s">
        <v>15</v>
      </c>
      <c r="E389" s="173">
        <v>42522</v>
      </c>
      <c r="F389" s="174">
        <v>49.475548799999999</v>
      </c>
      <c r="G389" s="175" t="s">
        <v>19</v>
      </c>
      <c r="H389" s="172" t="s">
        <v>20</v>
      </c>
      <c r="I389" s="175">
        <v>1</v>
      </c>
      <c r="J389" s="175" t="s">
        <v>18</v>
      </c>
      <c r="K389" s="175" t="s">
        <v>85</v>
      </c>
      <c r="L389" s="172" t="s">
        <v>86</v>
      </c>
    </row>
    <row r="390" spans="1:12" x14ac:dyDescent="0.2">
      <c r="A390" s="172" t="s">
        <v>83</v>
      </c>
      <c r="B390" s="172" t="s">
        <v>84</v>
      </c>
      <c r="C390" s="172" t="s">
        <v>14</v>
      </c>
      <c r="D390" s="172" t="s">
        <v>15</v>
      </c>
      <c r="E390" s="173">
        <v>42514</v>
      </c>
      <c r="F390" s="174">
        <v>25.1</v>
      </c>
      <c r="G390" s="175" t="s">
        <v>16</v>
      </c>
      <c r="H390" s="172" t="s">
        <v>17</v>
      </c>
      <c r="I390" s="175">
        <v>1</v>
      </c>
      <c r="J390" s="175" t="s">
        <v>18</v>
      </c>
      <c r="K390" s="175" t="s">
        <v>85</v>
      </c>
      <c r="L390" s="172" t="s">
        <v>86</v>
      </c>
    </row>
    <row r="391" spans="1:12" x14ac:dyDescent="0.2">
      <c r="A391" s="172" t="s">
        <v>83</v>
      </c>
      <c r="B391" s="172" t="s">
        <v>84</v>
      </c>
      <c r="C391" s="172" t="s">
        <v>14</v>
      </c>
      <c r="D391" s="172" t="s">
        <v>15</v>
      </c>
      <c r="E391" s="173">
        <v>42514</v>
      </c>
      <c r="F391" s="174">
        <v>106.341672</v>
      </c>
      <c r="G391" s="175" t="s">
        <v>19</v>
      </c>
      <c r="H391" s="172" t="s">
        <v>17</v>
      </c>
      <c r="I391" s="175">
        <v>1</v>
      </c>
      <c r="J391" s="175" t="s">
        <v>18</v>
      </c>
      <c r="K391" s="175" t="s">
        <v>85</v>
      </c>
      <c r="L391" s="172" t="s">
        <v>86</v>
      </c>
    </row>
    <row r="392" spans="1:12" x14ac:dyDescent="0.2">
      <c r="A392" s="172" t="s">
        <v>83</v>
      </c>
      <c r="B392" s="172" t="s">
        <v>84</v>
      </c>
      <c r="C392" s="172" t="s">
        <v>14</v>
      </c>
      <c r="D392" s="172" t="s">
        <v>15</v>
      </c>
      <c r="E392" s="173">
        <v>42514</v>
      </c>
      <c r="F392" s="174">
        <v>10.1</v>
      </c>
      <c r="G392" s="175" t="s">
        <v>16</v>
      </c>
      <c r="H392" s="172" t="s">
        <v>20</v>
      </c>
      <c r="I392" s="175">
        <v>1</v>
      </c>
      <c r="J392" s="175" t="s">
        <v>18</v>
      </c>
      <c r="K392" s="175" t="s">
        <v>85</v>
      </c>
      <c r="L392" s="172" t="s">
        <v>86</v>
      </c>
    </row>
    <row r="393" spans="1:12" x14ac:dyDescent="0.2">
      <c r="A393" s="172" t="s">
        <v>83</v>
      </c>
      <c r="B393" s="172" t="s">
        <v>84</v>
      </c>
      <c r="C393" s="172" t="s">
        <v>14</v>
      </c>
      <c r="D393" s="172" t="s">
        <v>15</v>
      </c>
      <c r="E393" s="173">
        <v>42514</v>
      </c>
      <c r="F393" s="174">
        <v>42.790872</v>
      </c>
      <c r="G393" s="175" t="s">
        <v>19</v>
      </c>
      <c r="H393" s="172" t="s">
        <v>20</v>
      </c>
      <c r="I393" s="175">
        <v>1</v>
      </c>
      <c r="J393" s="175" t="s">
        <v>18</v>
      </c>
      <c r="K393" s="175" t="s">
        <v>85</v>
      </c>
      <c r="L393" s="172" t="s">
        <v>86</v>
      </c>
    </row>
    <row r="394" spans="1:12" x14ac:dyDescent="0.2">
      <c r="A394" s="172" t="s">
        <v>83</v>
      </c>
      <c r="B394" s="172" t="s">
        <v>84</v>
      </c>
      <c r="C394" s="172" t="s">
        <v>14</v>
      </c>
      <c r="D394" s="172" t="s">
        <v>15</v>
      </c>
      <c r="E394" s="173">
        <v>42507</v>
      </c>
      <c r="F394" s="174">
        <v>19</v>
      </c>
      <c r="G394" s="175" t="s">
        <v>16</v>
      </c>
      <c r="H394" s="172" t="s">
        <v>17</v>
      </c>
      <c r="I394" s="175">
        <v>1</v>
      </c>
      <c r="J394" s="175" t="s">
        <v>18</v>
      </c>
      <c r="K394" s="175" t="s">
        <v>85</v>
      </c>
      <c r="L394" s="172" t="s">
        <v>86</v>
      </c>
    </row>
    <row r="395" spans="1:12" x14ac:dyDescent="0.2">
      <c r="A395" s="172" t="s">
        <v>83</v>
      </c>
      <c r="B395" s="172" t="s">
        <v>84</v>
      </c>
      <c r="C395" s="172" t="s">
        <v>14</v>
      </c>
      <c r="D395" s="172" t="s">
        <v>15</v>
      </c>
      <c r="E395" s="173">
        <v>42507</v>
      </c>
      <c r="F395" s="174">
        <v>90.322199900000001</v>
      </c>
      <c r="G395" s="175" t="s">
        <v>19</v>
      </c>
      <c r="H395" s="172" t="s">
        <v>17</v>
      </c>
      <c r="I395" s="175">
        <v>1</v>
      </c>
      <c r="J395" s="175" t="s">
        <v>18</v>
      </c>
      <c r="K395" s="175" t="s">
        <v>85</v>
      </c>
      <c r="L395" s="172" t="s">
        <v>86</v>
      </c>
    </row>
    <row r="396" spans="1:12" x14ac:dyDescent="0.2">
      <c r="A396" s="172" t="s">
        <v>83</v>
      </c>
      <c r="B396" s="172" t="s">
        <v>84</v>
      </c>
      <c r="C396" s="172" t="s">
        <v>14</v>
      </c>
      <c r="D396" s="172" t="s">
        <v>15</v>
      </c>
      <c r="E396" s="173">
        <v>42507</v>
      </c>
      <c r="F396" s="174">
        <v>8.84</v>
      </c>
      <c r="G396" s="175" t="s">
        <v>16</v>
      </c>
      <c r="H396" s="172" t="s">
        <v>20</v>
      </c>
      <c r="I396" s="175">
        <v>1</v>
      </c>
      <c r="J396" s="175" t="s">
        <v>18</v>
      </c>
      <c r="K396" s="175" t="s">
        <v>85</v>
      </c>
      <c r="L396" s="172" t="s">
        <v>86</v>
      </c>
    </row>
    <row r="397" spans="1:12" x14ac:dyDescent="0.2">
      <c r="A397" s="172" t="s">
        <v>83</v>
      </c>
      <c r="B397" s="172" t="s">
        <v>84</v>
      </c>
      <c r="C397" s="172" t="s">
        <v>14</v>
      </c>
      <c r="D397" s="172" t="s">
        <v>15</v>
      </c>
      <c r="E397" s="173">
        <v>42507</v>
      </c>
      <c r="F397" s="174">
        <v>42.0235919</v>
      </c>
      <c r="G397" s="175" t="s">
        <v>19</v>
      </c>
      <c r="H397" s="172" t="s">
        <v>20</v>
      </c>
      <c r="I397" s="175">
        <v>1</v>
      </c>
      <c r="J397" s="175" t="s">
        <v>18</v>
      </c>
      <c r="K397" s="175" t="s">
        <v>85</v>
      </c>
      <c r="L397" s="172" t="s">
        <v>86</v>
      </c>
    </row>
    <row r="398" spans="1:12" x14ac:dyDescent="0.2">
      <c r="A398" s="172" t="s">
        <v>83</v>
      </c>
      <c r="B398" s="172" t="s">
        <v>84</v>
      </c>
      <c r="C398" s="172" t="s">
        <v>14</v>
      </c>
      <c r="D398" s="172" t="s">
        <v>15</v>
      </c>
      <c r="E398" s="173">
        <v>42500</v>
      </c>
      <c r="F398" s="174">
        <v>19.2</v>
      </c>
      <c r="G398" s="175" t="s">
        <v>16</v>
      </c>
      <c r="H398" s="172" t="s">
        <v>17</v>
      </c>
      <c r="I398" s="175">
        <v>1</v>
      </c>
      <c r="J398" s="175" t="s">
        <v>18</v>
      </c>
      <c r="K398" s="175" t="s">
        <v>85</v>
      </c>
      <c r="L398" s="172" t="s">
        <v>86</v>
      </c>
    </row>
    <row r="399" spans="1:12" x14ac:dyDescent="0.2">
      <c r="A399" s="172" t="s">
        <v>83</v>
      </c>
      <c r="B399" s="172" t="s">
        <v>84</v>
      </c>
      <c r="C399" s="172" t="s">
        <v>14</v>
      </c>
      <c r="D399" s="172" t="s">
        <v>15</v>
      </c>
      <c r="E399" s="173">
        <v>42500</v>
      </c>
      <c r="F399" s="174">
        <v>107.445888</v>
      </c>
      <c r="G399" s="175" t="s">
        <v>19</v>
      </c>
      <c r="H399" s="172" t="s">
        <v>17</v>
      </c>
      <c r="I399" s="175">
        <v>1</v>
      </c>
      <c r="J399" s="175" t="s">
        <v>18</v>
      </c>
      <c r="K399" s="175" t="s">
        <v>85</v>
      </c>
      <c r="L399" s="172" t="s">
        <v>86</v>
      </c>
    </row>
    <row r="400" spans="1:12" x14ac:dyDescent="0.2">
      <c r="A400" s="172" t="s">
        <v>83</v>
      </c>
      <c r="B400" s="172" t="s">
        <v>84</v>
      </c>
      <c r="C400" s="172" t="s">
        <v>14</v>
      </c>
      <c r="D400" s="172" t="s">
        <v>15</v>
      </c>
      <c r="E400" s="173">
        <v>42500</v>
      </c>
      <c r="F400" s="174">
        <v>7.89</v>
      </c>
      <c r="G400" s="175" t="s">
        <v>16</v>
      </c>
      <c r="H400" s="172" t="s">
        <v>20</v>
      </c>
      <c r="I400" s="175">
        <v>1</v>
      </c>
      <c r="J400" s="175" t="s">
        <v>18</v>
      </c>
      <c r="K400" s="175" t="s">
        <v>85</v>
      </c>
      <c r="L400" s="172" t="s">
        <v>86</v>
      </c>
    </row>
    <row r="401" spans="1:12" x14ac:dyDescent="0.2">
      <c r="A401" s="172" t="s">
        <v>83</v>
      </c>
      <c r="B401" s="172" t="s">
        <v>84</v>
      </c>
      <c r="C401" s="172" t="s">
        <v>14</v>
      </c>
      <c r="D401" s="172" t="s">
        <v>15</v>
      </c>
      <c r="E401" s="173">
        <v>42500</v>
      </c>
      <c r="F401" s="174">
        <v>44.153544599999996</v>
      </c>
      <c r="G401" s="175" t="s">
        <v>19</v>
      </c>
      <c r="H401" s="172" t="s">
        <v>20</v>
      </c>
      <c r="I401" s="175">
        <v>1</v>
      </c>
      <c r="J401" s="175" t="s">
        <v>18</v>
      </c>
      <c r="K401" s="175" t="s">
        <v>85</v>
      </c>
      <c r="L401" s="172" t="s">
        <v>86</v>
      </c>
    </row>
    <row r="402" spans="1:12" x14ac:dyDescent="0.2">
      <c r="A402" s="172" t="s">
        <v>83</v>
      </c>
      <c r="B402" s="172" t="s">
        <v>84</v>
      </c>
      <c r="C402" s="172" t="s">
        <v>14</v>
      </c>
      <c r="D402" s="172" t="s">
        <v>15</v>
      </c>
      <c r="E402" s="173">
        <v>42493</v>
      </c>
      <c r="F402" s="174">
        <v>16.899999999999999</v>
      </c>
      <c r="G402" s="175" t="s">
        <v>16</v>
      </c>
      <c r="H402" s="172" t="s">
        <v>17</v>
      </c>
      <c r="I402" s="175">
        <v>1</v>
      </c>
      <c r="J402" s="175" t="s">
        <v>18</v>
      </c>
      <c r="K402" s="175" t="s">
        <v>85</v>
      </c>
      <c r="L402" s="172" t="s">
        <v>86</v>
      </c>
    </row>
    <row r="403" spans="1:12" x14ac:dyDescent="0.2">
      <c r="A403" s="172" t="s">
        <v>83</v>
      </c>
      <c r="B403" s="172" t="s">
        <v>84</v>
      </c>
      <c r="C403" s="172" t="s">
        <v>14</v>
      </c>
      <c r="D403" s="172" t="s">
        <v>15</v>
      </c>
      <c r="E403" s="173">
        <v>42493</v>
      </c>
      <c r="F403" s="174">
        <v>113.179638</v>
      </c>
      <c r="G403" s="175" t="s">
        <v>19</v>
      </c>
      <c r="H403" s="172" t="s">
        <v>17</v>
      </c>
      <c r="I403" s="175">
        <v>1</v>
      </c>
      <c r="J403" s="175" t="s">
        <v>18</v>
      </c>
      <c r="K403" s="175" t="s">
        <v>85</v>
      </c>
      <c r="L403" s="172" t="s">
        <v>86</v>
      </c>
    </row>
    <row r="404" spans="1:12" x14ac:dyDescent="0.2">
      <c r="A404" s="172" t="s">
        <v>83</v>
      </c>
      <c r="B404" s="172" t="s">
        <v>84</v>
      </c>
      <c r="C404" s="172" t="s">
        <v>14</v>
      </c>
      <c r="D404" s="172" t="s">
        <v>15</v>
      </c>
      <c r="E404" s="173">
        <v>42493</v>
      </c>
      <c r="F404" s="174">
        <v>8.44</v>
      </c>
      <c r="G404" s="175" t="s">
        <v>16</v>
      </c>
      <c r="H404" s="172" t="s">
        <v>20</v>
      </c>
      <c r="I404" s="175">
        <v>1</v>
      </c>
      <c r="J404" s="175" t="s">
        <v>18</v>
      </c>
      <c r="K404" s="175" t="s">
        <v>85</v>
      </c>
      <c r="L404" s="172" t="s">
        <v>86</v>
      </c>
    </row>
    <row r="405" spans="1:12" x14ac:dyDescent="0.2">
      <c r="A405" s="172" t="s">
        <v>83</v>
      </c>
      <c r="B405" s="172" t="s">
        <v>84</v>
      </c>
      <c r="C405" s="172" t="s">
        <v>14</v>
      </c>
      <c r="D405" s="172" t="s">
        <v>15</v>
      </c>
      <c r="E405" s="173">
        <v>42493</v>
      </c>
      <c r="F405" s="174">
        <v>56.522848799999998</v>
      </c>
      <c r="G405" s="175" t="s">
        <v>19</v>
      </c>
      <c r="H405" s="172" t="s">
        <v>20</v>
      </c>
      <c r="I405" s="175">
        <v>1</v>
      </c>
      <c r="J405" s="175" t="s">
        <v>18</v>
      </c>
      <c r="K405" s="175" t="s">
        <v>85</v>
      </c>
      <c r="L405" s="172" t="s">
        <v>86</v>
      </c>
    </row>
    <row r="406" spans="1:12" x14ac:dyDescent="0.2">
      <c r="A406" s="172" t="s">
        <v>83</v>
      </c>
      <c r="B406" s="172" t="s">
        <v>84</v>
      </c>
      <c r="C406" s="172" t="s">
        <v>14</v>
      </c>
      <c r="D406" s="172" t="s">
        <v>15</v>
      </c>
      <c r="E406" s="173">
        <v>42486</v>
      </c>
      <c r="F406" s="174">
        <v>19</v>
      </c>
      <c r="G406" s="175" t="s">
        <v>16</v>
      </c>
      <c r="H406" s="172" t="s">
        <v>17</v>
      </c>
      <c r="I406" s="175">
        <v>1</v>
      </c>
      <c r="J406" s="175" t="s">
        <v>18</v>
      </c>
      <c r="K406" s="175" t="s">
        <v>85</v>
      </c>
      <c r="L406" s="172" t="s">
        <v>86</v>
      </c>
    </row>
    <row r="407" spans="1:12" x14ac:dyDescent="0.2">
      <c r="A407" s="172" t="s">
        <v>83</v>
      </c>
      <c r="B407" s="172" t="s">
        <v>84</v>
      </c>
      <c r="C407" s="172" t="s">
        <v>14</v>
      </c>
      <c r="D407" s="172" t="s">
        <v>15</v>
      </c>
      <c r="E407" s="173">
        <v>42486</v>
      </c>
      <c r="F407" s="174">
        <v>90.005279999999999</v>
      </c>
      <c r="G407" s="175" t="s">
        <v>19</v>
      </c>
      <c r="H407" s="172" t="s">
        <v>17</v>
      </c>
      <c r="I407" s="175">
        <v>1</v>
      </c>
      <c r="J407" s="175" t="s">
        <v>18</v>
      </c>
      <c r="K407" s="175" t="s">
        <v>85</v>
      </c>
      <c r="L407" s="172" t="s">
        <v>86</v>
      </c>
    </row>
    <row r="408" spans="1:12" x14ac:dyDescent="0.2">
      <c r="A408" s="172" t="s">
        <v>83</v>
      </c>
      <c r="B408" s="172" t="s">
        <v>84</v>
      </c>
      <c r="C408" s="172" t="s">
        <v>14</v>
      </c>
      <c r="D408" s="172" t="s">
        <v>15</v>
      </c>
      <c r="E408" s="173">
        <v>42486</v>
      </c>
      <c r="F408" s="174">
        <v>9.11</v>
      </c>
      <c r="G408" s="175" t="s">
        <v>16</v>
      </c>
      <c r="H408" s="172" t="s">
        <v>20</v>
      </c>
      <c r="I408" s="175">
        <v>1</v>
      </c>
      <c r="J408" s="175" t="s">
        <v>18</v>
      </c>
      <c r="K408" s="175" t="s">
        <v>85</v>
      </c>
      <c r="L408" s="172" t="s">
        <v>86</v>
      </c>
    </row>
    <row r="409" spans="1:12" x14ac:dyDescent="0.2">
      <c r="A409" s="172" t="s">
        <v>83</v>
      </c>
      <c r="B409" s="172" t="s">
        <v>84</v>
      </c>
      <c r="C409" s="172" t="s">
        <v>14</v>
      </c>
      <c r="D409" s="172" t="s">
        <v>15</v>
      </c>
      <c r="E409" s="173">
        <v>42486</v>
      </c>
      <c r="F409" s="174">
        <v>43.155163100000003</v>
      </c>
      <c r="G409" s="175" t="s">
        <v>19</v>
      </c>
      <c r="H409" s="172" t="s">
        <v>20</v>
      </c>
      <c r="I409" s="175">
        <v>1</v>
      </c>
      <c r="J409" s="175" t="s">
        <v>18</v>
      </c>
      <c r="K409" s="175" t="s">
        <v>85</v>
      </c>
      <c r="L409" s="172" t="s">
        <v>86</v>
      </c>
    </row>
    <row r="410" spans="1:12" x14ac:dyDescent="0.2">
      <c r="A410" s="172" t="s">
        <v>83</v>
      </c>
      <c r="B410" s="172" t="s">
        <v>84</v>
      </c>
      <c r="C410" s="172" t="s">
        <v>14</v>
      </c>
      <c r="D410" s="172" t="s">
        <v>15</v>
      </c>
      <c r="E410" s="173">
        <v>42479</v>
      </c>
      <c r="F410" s="174">
        <v>18.5</v>
      </c>
      <c r="G410" s="175" t="s">
        <v>16</v>
      </c>
      <c r="H410" s="172" t="s">
        <v>17</v>
      </c>
      <c r="I410" s="175">
        <v>1</v>
      </c>
      <c r="J410" s="175" t="s">
        <v>18</v>
      </c>
      <c r="K410" s="175" t="s">
        <v>85</v>
      </c>
      <c r="L410" s="172" t="s">
        <v>86</v>
      </c>
    </row>
    <row r="411" spans="1:12" x14ac:dyDescent="0.2">
      <c r="A411" s="172" t="s">
        <v>83</v>
      </c>
      <c r="B411" s="172" t="s">
        <v>84</v>
      </c>
      <c r="C411" s="172" t="s">
        <v>14</v>
      </c>
      <c r="D411" s="172" t="s">
        <v>15</v>
      </c>
      <c r="E411" s="173">
        <v>42479</v>
      </c>
      <c r="F411" s="174">
        <v>91.185389900000004</v>
      </c>
      <c r="G411" s="175" t="s">
        <v>19</v>
      </c>
      <c r="H411" s="172" t="s">
        <v>17</v>
      </c>
      <c r="I411" s="175">
        <v>1</v>
      </c>
      <c r="J411" s="175" t="s">
        <v>18</v>
      </c>
      <c r="K411" s="175" t="s">
        <v>85</v>
      </c>
      <c r="L411" s="172" t="s">
        <v>86</v>
      </c>
    </row>
    <row r="412" spans="1:12" x14ac:dyDescent="0.2">
      <c r="A412" s="172" t="s">
        <v>83</v>
      </c>
      <c r="B412" s="172" t="s">
        <v>84</v>
      </c>
      <c r="C412" s="172" t="s">
        <v>14</v>
      </c>
      <c r="D412" s="172" t="s">
        <v>15</v>
      </c>
      <c r="E412" s="173">
        <v>42479</v>
      </c>
      <c r="F412" s="174">
        <v>9.6</v>
      </c>
      <c r="G412" s="175" t="s">
        <v>16</v>
      </c>
      <c r="H412" s="172" t="s">
        <v>20</v>
      </c>
      <c r="I412" s="175">
        <v>1</v>
      </c>
      <c r="J412" s="175" t="s">
        <v>18</v>
      </c>
      <c r="K412" s="175" t="s">
        <v>85</v>
      </c>
      <c r="L412" s="172" t="s">
        <v>86</v>
      </c>
    </row>
    <row r="413" spans="1:12" x14ac:dyDescent="0.2">
      <c r="A413" s="172" t="s">
        <v>83</v>
      </c>
      <c r="B413" s="172" t="s">
        <v>84</v>
      </c>
      <c r="C413" s="172" t="s">
        <v>14</v>
      </c>
      <c r="D413" s="172" t="s">
        <v>15</v>
      </c>
      <c r="E413" s="173">
        <v>42479</v>
      </c>
      <c r="F413" s="174">
        <v>47.3178239</v>
      </c>
      <c r="G413" s="175" t="s">
        <v>19</v>
      </c>
      <c r="H413" s="172" t="s">
        <v>20</v>
      </c>
      <c r="I413" s="175">
        <v>1</v>
      </c>
      <c r="J413" s="175" t="s">
        <v>18</v>
      </c>
      <c r="K413" s="175" t="s">
        <v>85</v>
      </c>
      <c r="L413" s="172" t="s">
        <v>86</v>
      </c>
    </row>
    <row r="414" spans="1:12" x14ac:dyDescent="0.2">
      <c r="A414" s="172" t="s">
        <v>83</v>
      </c>
      <c r="B414" s="172" t="s">
        <v>84</v>
      </c>
      <c r="C414" s="172" t="s">
        <v>14</v>
      </c>
      <c r="D414" s="172" t="s">
        <v>15</v>
      </c>
      <c r="E414" s="173">
        <v>42473</v>
      </c>
      <c r="F414" s="174">
        <v>15.8</v>
      </c>
      <c r="G414" s="175" t="s">
        <v>16</v>
      </c>
      <c r="H414" s="172" t="s">
        <v>17</v>
      </c>
      <c r="I414" s="175">
        <v>1</v>
      </c>
      <c r="J414" s="175" t="s">
        <v>18</v>
      </c>
      <c r="K414" s="175" t="s">
        <v>85</v>
      </c>
      <c r="L414" s="172" t="s">
        <v>86</v>
      </c>
    </row>
    <row r="415" spans="1:12" x14ac:dyDescent="0.2">
      <c r="A415" s="172" t="s">
        <v>83</v>
      </c>
      <c r="B415" s="172" t="s">
        <v>84</v>
      </c>
      <c r="C415" s="172" t="s">
        <v>14</v>
      </c>
      <c r="D415" s="172" t="s">
        <v>15</v>
      </c>
      <c r="E415" s="173">
        <v>42473</v>
      </c>
      <c r="F415" s="174">
        <v>87.891924000000003</v>
      </c>
      <c r="G415" s="175" t="s">
        <v>19</v>
      </c>
      <c r="H415" s="172" t="s">
        <v>17</v>
      </c>
      <c r="I415" s="175">
        <v>1</v>
      </c>
      <c r="J415" s="175" t="s">
        <v>18</v>
      </c>
      <c r="K415" s="175" t="s">
        <v>85</v>
      </c>
      <c r="L415" s="172" t="s">
        <v>86</v>
      </c>
    </row>
    <row r="416" spans="1:12" x14ac:dyDescent="0.2">
      <c r="A416" s="172" t="s">
        <v>83</v>
      </c>
      <c r="B416" s="172" t="s">
        <v>84</v>
      </c>
      <c r="C416" s="172" t="s">
        <v>14</v>
      </c>
      <c r="D416" s="172" t="s">
        <v>15</v>
      </c>
      <c r="E416" s="173">
        <v>42473</v>
      </c>
      <c r="F416" s="174">
        <v>9.43</v>
      </c>
      <c r="G416" s="175" t="s">
        <v>16</v>
      </c>
      <c r="H416" s="172" t="s">
        <v>20</v>
      </c>
      <c r="I416" s="175">
        <v>1</v>
      </c>
      <c r="J416" s="175" t="s">
        <v>18</v>
      </c>
      <c r="K416" s="175" t="s">
        <v>85</v>
      </c>
      <c r="L416" s="172" t="s">
        <v>86</v>
      </c>
    </row>
    <row r="417" spans="1:12" x14ac:dyDescent="0.2">
      <c r="A417" s="172" t="s">
        <v>83</v>
      </c>
      <c r="B417" s="172" t="s">
        <v>84</v>
      </c>
      <c r="C417" s="172" t="s">
        <v>14</v>
      </c>
      <c r="D417" s="172" t="s">
        <v>15</v>
      </c>
      <c r="E417" s="173">
        <v>42473</v>
      </c>
      <c r="F417" s="174">
        <v>52.457015400000003</v>
      </c>
      <c r="G417" s="175" t="s">
        <v>19</v>
      </c>
      <c r="H417" s="172" t="s">
        <v>20</v>
      </c>
      <c r="I417" s="175">
        <v>1</v>
      </c>
      <c r="J417" s="175" t="s">
        <v>18</v>
      </c>
      <c r="K417" s="175" t="s">
        <v>85</v>
      </c>
      <c r="L417" s="172" t="s">
        <v>86</v>
      </c>
    </row>
    <row r="418" spans="1:12" x14ac:dyDescent="0.2">
      <c r="A418" s="172" t="s">
        <v>83</v>
      </c>
      <c r="B418" s="172" t="s">
        <v>84</v>
      </c>
      <c r="C418" s="172" t="s">
        <v>14</v>
      </c>
      <c r="D418" s="172" t="s">
        <v>15</v>
      </c>
      <c r="E418" s="173">
        <v>42465</v>
      </c>
      <c r="F418" s="174">
        <v>16.3</v>
      </c>
      <c r="G418" s="175" t="s">
        <v>16</v>
      </c>
      <c r="H418" s="172" t="s">
        <v>17</v>
      </c>
      <c r="I418" s="175">
        <v>1</v>
      </c>
      <c r="J418" s="175" t="s">
        <v>18</v>
      </c>
      <c r="K418" s="175" t="s">
        <v>85</v>
      </c>
      <c r="L418" s="172" t="s">
        <v>86</v>
      </c>
    </row>
    <row r="419" spans="1:12" x14ac:dyDescent="0.2">
      <c r="A419" s="172" t="s">
        <v>83</v>
      </c>
      <c r="B419" s="172" t="s">
        <v>84</v>
      </c>
      <c r="C419" s="172" t="s">
        <v>14</v>
      </c>
      <c r="D419" s="172" t="s">
        <v>15</v>
      </c>
      <c r="E419" s="173">
        <v>42465</v>
      </c>
      <c r="F419" s="174">
        <v>104.53939800000001</v>
      </c>
      <c r="G419" s="175" t="s">
        <v>19</v>
      </c>
      <c r="H419" s="172" t="s">
        <v>17</v>
      </c>
      <c r="I419" s="175">
        <v>1</v>
      </c>
      <c r="J419" s="175" t="s">
        <v>18</v>
      </c>
      <c r="K419" s="175" t="s">
        <v>85</v>
      </c>
      <c r="L419" s="172" t="s">
        <v>86</v>
      </c>
    </row>
    <row r="420" spans="1:12" x14ac:dyDescent="0.2">
      <c r="A420" s="172" t="s">
        <v>83</v>
      </c>
      <c r="B420" s="172" t="s">
        <v>84</v>
      </c>
      <c r="C420" s="172" t="s">
        <v>14</v>
      </c>
      <c r="D420" s="172" t="s">
        <v>15</v>
      </c>
      <c r="E420" s="173">
        <v>42465</v>
      </c>
      <c r="F420" s="174">
        <v>8.42</v>
      </c>
      <c r="G420" s="175" t="s">
        <v>16</v>
      </c>
      <c r="H420" s="172" t="s">
        <v>20</v>
      </c>
      <c r="I420" s="175">
        <v>1</v>
      </c>
      <c r="J420" s="175" t="s">
        <v>18</v>
      </c>
      <c r="K420" s="175" t="s">
        <v>85</v>
      </c>
      <c r="L420" s="172" t="s">
        <v>86</v>
      </c>
    </row>
    <row r="421" spans="1:12" x14ac:dyDescent="0.2">
      <c r="A421" s="172" t="s">
        <v>83</v>
      </c>
      <c r="B421" s="172" t="s">
        <v>84</v>
      </c>
      <c r="C421" s="172" t="s">
        <v>14</v>
      </c>
      <c r="D421" s="172" t="s">
        <v>15</v>
      </c>
      <c r="E421" s="173">
        <v>42465</v>
      </c>
      <c r="F421" s="174">
        <v>54.001333199999998</v>
      </c>
      <c r="G421" s="175" t="s">
        <v>19</v>
      </c>
      <c r="H421" s="172" t="s">
        <v>20</v>
      </c>
      <c r="I421" s="175">
        <v>1</v>
      </c>
      <c r="J421" s="175" t="s">
        <v>18</v>
      </c>
      <c r="K421" s="175" t="s">
        <v>85</v>
      </c>
      <c r="L421" s="172" t="s">
        <v>86</v>
      </c>
    </row>
    <row r="422" spans="1:12" x14ac:dyDescent="0.2">
      <c r="A422" s="172" t="s">
        <v>83</v>
      </c>
      <c r="B422" s="172" t="s">
        <v>84</v>
      </c>
      <c r="C422" s="172" t="s">
        <v>14</v>
      </c>
      <c r="D422" s="172" t="s">
        <v>15</v>
      </c>
      <c r="E422" s="173">
        <v>42459</v>
      </c>
      <c r="F422" s="174">
        <v>12.2</v>
      </c>
      <c r="G422" s="175" t="s">
        <v>16</v>
      </c>
      <c r="H422" s="172" t="s">
        <v>17</v>
      </c>
      <c r="I422" s="175">
        <v>1</v>
      </c>
      <c r="J422" s="175" t="s">
        <v>18</v>
      </c>
      <c r="K422" s="175" t="s">
        <v>85</v>
      </c>
      <c r="L422" s="172" t="s">
        <v>86</v>
      </c>
    </row>
    <row r="423" spans="1:12" x14ac:dyDescent="0.2">
      <c r="A423" s="172" t="s">
        <v>83</v>
      </c>
      <c r="B423" s="172" t="s">
        <v>84</v>
      </c>
      <c r="C423" s="172" t="s">
        <v>14</v>
      </c>
      <c r="D423" s="172" t="s">
        <v>15</v>
      </c>
      <c r="E423" s="173">
        <v>42459</v>
      </c>
      <c r="F423" s="174">
        <v>86.180555999999996</v>
      </c>
      <c r="G423" s="175" t="s">
        <v>19</v>
      </c>
      <c r="H423" s="172" t="s">
        <v>17</v>
      </c>
      <c r="I423" s="175">
        <v>1</v>
      </c>
      <c r="J423" s="175" t="s">
        <v>18</v>
      </c>
      <c r="K423" s="175" t="s">
        <v>85</v>
      </c>
      <c r="L423" s="172" t="s">
        <v>86</v>
      </c>
    </row>
    <row r="424" spans="1:12" x14ac:dyDescent="0.2">
      <c r="A424" s="172" t="s">
        <v>83</v>
      </c>
      <c r="B424" s="172" t="s">
        <v>84</v>
      </c>
      <c r="C424" s="172" t="s">
        <v>14</v>
      </c>
      <c r="D424" s="172" t="s">
        <v>15</v>
      </c>
      <c r="E424" s="173">
        <v>42458</v>
      </c>
      <c r="F424" s="174">
        <v>8.0399999999999991</v>
      </c>
      <c r="G424" s="175" t="s">
        <v>16</v>
      </c>
      <c r="H424" s="172" t="s">
        <v>20</v>
      </c>
      <c r="I424" s="175">
        <v>1</v>
      </c>
      <c r="J424" s="175" t="s">
        <v>18</v>
      </c>
      <c r="K424" s="175" t="s">
        <v>85</v>
      </c>
      <c r="L424" s="172" t="s">
        <v>86</v>
      </c>
    </row>
    <row r="425" spans="1:12" x14ac:dyDescent="0.2">
      <c r="A425" s="172" t="s">
        <v>83</v>
      </c>
      <c r="B425" s="172" t="s">
        <v>84</v>
      </c>
      <c r="C425" s="172" t="s">
        <v>14</v>
      </c>
      <c r="D425" s="172" t="s">
        <v>15</v>
      </c>
      <c r="E425" s="173">
        <v>42458</v>
      </c>
      <c r="F425" s="174">
        <v>56.123863100000001</v>
      </c>
      <c r="G425" s="175" t="s">
        <v>19</v>
      </c>
      <c r="H425" s="172" t="s">
        <v>20</v>
      </c>
      <c r="I425" s="175">
        <v>1</v>
      </c>
      <c r="J425" s="175" t="s">
        <v>18</v>
      </c>
      <c r="K425" s="175" t="s">
        <v>85</v>
      </c>
      <c r="L425" s="172" t="s">
        <v>86</v>
      </c>
    </row>
    <row r="426" spans="1:12" x14ac:dyDescent="0.2">
      <c r="A426" s="172" t="s">
        <v>83</v>
      </c>
      <c r="B426" s="172" t="s">
        <v>84</v>
      </c>
      <c r="C426" s="172" t="s">
        <v>14</v>
      </c>
      <c r="D426" s="172" t="s">
        <v>15</v>
      </c>
      <c r="E426" s="173">
        <v>42451</v>
      </c>
      <c r="F426" s="174">
        <v>14</v>
      </c>
      <c r="G426" s="175" t="s">
        <v>16</v>
      </c>
      <c r="H426" s="172" t="s">
        <v>17</v>
      </c>
      <c r="I426" s="175">
        <v>1</v>
      </c>
      <c r="J426" s="175" t="s">
        <v>18</v>
      </c>
      <c r="K426" s="175" t="s">
        <v>85</v>
      </c>
      <c r="L426" s="172" t="s">
        <v>86</v>
      </c>
    </row>
    <row r="427" spans="1:12" x14ac:dyDescent="0.2">
      <c r="A427" s="172" t="s">
        <v>83</v>
      </c>
      <c r="B427" s="172" t="s">
        <v>84</v>
      </c>
      <c r="C427" s="172" t="s">
        <v>14</v>
      </c>
      <c r="D427" s="172" t="s">
        <v>15</v>
      </c>
      <c r="E427" s="173">
        <v>42451</v>
      </c>
      <c r="F427" s="174">
        <v>93.524760000000001</v>
      </c>
      <c r="G427" s="175" t="s">
        <v>19</v>
      </c>
      <c r="H427" s="172" t="s">
        <v>17</v>
      </c>
      <c r="I427" s="175">
        <v>1</v>
      </c>
      <c r="J427" s="175" t="s">
        <v>18</v>
      </c>
      <c r="K427" s="175" t="s">
        <v>85</v>
      </c>
      <c r="L427" s="172" t="s">
        <v>86</v>
      </c>
    </row>
    <row r="428" spans="1:12" x14ac:dyDescent="0.2">
      <c r="A428" s="172" t="s">
        <v>83</v>
      </c>
      <c r="B428" s="172" t="s">
        <v>84</v>
      </c>
      <c r="C428" s="172" t="s">
        <v>14</v>
      </c>
      <c r="D428" s="172" t="s">
        <v>15</v>
      </c>
      <c r="E428" s="173">
        <v>42451</v>
      </c>
      <c r="F428" s="174">
        <v>7.36</v>
      </c>
      <c r="G428" s="175" t="s">
        <v>16</v>
      </c>
      <c r="H428" s="172" t="s">
        <v>20</v>
      </c>
      <c r="I428" s="175">
        <v>1</v>
      </c>
      <c r="J428" s="175" t="s">
        <v>18</v>
      </c>
      <c r="K428" s="175" t="s">
        <v>85</v>
      </c>
      <c r="L428" s="172" t="s">
        <v>86</v>
      </c>
    </row>
    <row r="429" spans="1:12" x14ac:dyDescent="0.2">
      <c r="A429" s="172" t="s">
        <v>83</v>
      </c>
      <c r="B429" s="172" t="s">
        <v>84</v>
      </c>
      <c r="C429" s="172" t="s">
        <v>14</v>
      </c>
      <c r="D429" s="172" t="s">
        <v>15</v>
      </c>
      <c r="E429" s="173">
        <v>42451</v>
      </c>
      <c r="F429" s="174">
        <v>49.167302399999997</v>
      </c>
      <c r="G429" s="175" t="s">
        <v>19</v>
      </c>
      <c r="H429" s="172" t="s">
        <v>20</v>
      </c>
      <c r="I429" s="175">
        <v>1</v>
      </c>
      <c r="J429" s="175" t="s">
        <v>18</v>
      </c>
      <c r="K429" s="175" t="s">
        <v>85</v>
      </c>
      <c r="L429" s="172" t="s">
        <v>86</v>
      </c>
    </row>
    <row r="430" spans="1:12" x14ac:dyDescent="0.2">
      <c r="A430" s="172" t="s">
        <v>83</v>
      </c>
      <c r="B430" s="172" t="s">
        <v>84</v>
      </c>
      <c r="C430" s="172" t="s">
        <v>14</v>
      </c>
      <c r="D430" s="172" t="s">
        <v>15</v>
      </c>
      <c r="E430" s="173">
        <v>42444</v>
      </c>
      <c r="F430" s="174">
        <v>16.100000000000001</v>
      </c>
      <c r="G430" s="175" t="s">
        <v>16</v>
      </c>
      <c r="H430" s="172" t="s">
        <v>17</v>
      </c>
      <c r="I430" s="175">
        <v>1</v>
      </c>
      <c r="J430" s="175" t="s">
        <v>18</v>
      </c>
      <c r="K430" s="175" t="s">
        <v>85</v>
      </c>
      <c r="L430" s="172" t="s">
        <v>86</v>
      </c>
    </row>
    <row r="431" spans="1:12" x14ac:dyDescent="0.2">
      <c r="A431" s="172" t="s">
        <v>83</v>
      </c>
      <c r="B431" s="172" t="s">
        <v>84</v>
      </c>
      <c r="C431" s="172" t="s">
        <v>14</v>
      </c>
      <c r="D431" s="172" t="s">
        <v>15</v>
      </c>
      <c r="E431" s="173">
        <v>42444</v>
      </c>
      <c r="F431" s="174">
        <v>105.270816</v>
      </c>
      <c r="G431" s="175" t="s">
        <v>19</v>
      </c>
      <c r="H431" s="172" t="s">
        <v>17</v>
      </c>
      <c r="I431" s="175">
        <v>1</v>
      </c>
      <c r="J431" s="175" t="s">
        <v>18</v>
      </c>
      <c r="K431" s="175" t="s">
        <v>85</v>
      </c>
      <c r="L431" s="172" t="s">
        <v>86</v>
      </c>
    </row>
    <row r="432" spans="1:12" x14ac:dyDescent="0.2">
      <c r="A432" s="172" t="s">
        <v>83</v>
      </c>
      <c r="B432" s="172" t="s">
        <v>84</v>
      </c>
      <c r="C432" s="172" t="s">
        <v>14</v>
      </c>
      <c r="D432" s="172" t="s">
        <v>15</v>
      </c>
      <c r="E432" s="173">
        <v>42444</v>
      </c>
      <c r="F432" s="174">
        <v>8.2100000000000009</v>
      </c>
      <c r="G432" s="175" t="s">
        <v>16</v>
      </c>
      <c r="H432" s="172" t="s">
        <v>20</v>
      </c>
      <c r="I432" s="175">
        <v>1</v>
      </c>
      <c r="J432" s="175" t="s">
        <v>18</v>
      </c>
      <c r="K432" s="175" t="s">
        <v>85</v>
      </c>
      <c r="L432" s="172" t="s">
        <v>86</v>
      </c>
    </row>
    <row r="433" spans="1:12" x14ac:dyDescent="0.2">
      <c r="A433" s="172" t="s">
        <v>83</v>
      </c>
      <c r="B433" s="172" t="s">
        <v>84</v>
      </c>
      <c r="C433" s="172" t="s">
        <v>14</v>
      </c>
      <c r="D433" s="172" t="s">
        <v>15</v>
      </c>
      <c r="E433" s="173">
        <v>42444</v>
      </c>
      <c r="F433" s="174">
        <v>53.681577599999997</v>
      </c>
      <c r="G433" s="175" t="s">
        <v>19</v>
      </c>
      <c r="H433" s="172" t="s">
        <v>20</v>
      </c>
      <c r="I433" s="175">
        <v>1</v>
      </c>
      <c r="J433" s="175" t="s">
        <v>18</v>
      </c>
      <c r="K433" s="175" t="s">
        <v>85</v>
      </c>
      <c r="L433" s="172" t="s">
        <v>86</v>
      </c>
    </row>
    <row r="434" spans="1:12" x14ac:dyDescent="0.2">
      <c r="A434" s="172" t="s">
        <v>83</v>
      </c>
      <c r="B434" s="172" t="s">
        <v>84</v>
      </c>
      <c r="C434" s="172" t="s">
        <v>14</v>
      </c>
      <c r="D434" s="172" t="s">
        <v>15</v>
      </c>
      <c r="E434" s="173">
        <v>42437</v>
      </c>
      <c r="F434" s="174">
        <v>16</v>
      </c>
      <c r="G434" s="175" t="s">
        <v>16</v>
      </c>
      <c r="H434" s="172" t="s">
        <v>17</v>
      </c>
      <c r="I434" s="175">
        <v>1</v>
      </c>
      <c r="J434" s="175" t="s">
        <v>18</v>
      </c>
      <c r="K434" s="175" t="s">
        <v>85</v>
      </c>
      <c r="L434" s="172" t="s">
        <v>86</v>
      </c>
    </row>
    <row r="435" spans="1:12" x14ac:dyDescent="0.2">
      <c r="A435" s="172" t="s">
        <v>83</v>
      </c>
      <c r="B435" s="172" t="s">
        <v>84</v>
      </c>
      <c r="C435" s="172" t="s">
        <v>14</v>
      </c>
      <c r="D435" s="172" t="s">
        <v>15</v>
      </c>
      <c r="E435" s="173">
        <v>42437</v>
      </c>
      <c r="F435" s="174">
        <v>108.7535999</v>
      </c>
      <c r="G435" s="175" t="s">
        <v>19</v>
      </c>
      <c r="H435" s="172" t="s">
        <v>17</v>
      </c>
      <c r="I435" s="175">
        <v>1</v>
      </c>
      <c r="J435" s="175" t="s">
        <v>18</v>
      </c>
      <c r="K435" s="175" t="s">
        <v>85</v>
      </c>
      <c r="L435" s="172" t="s">
        <v>86</v>
      </c>
    </row>
    <row r="436" spans="1:12" x14ac:dyDescent="0.2">
      <c r="A436" s="172" t="s">
        <v>83</v>
      </c>
      <c r="B436" s="172" t="s">
        <v>84</v>
      </c>
      <c r="C436" s="172" t="s">
        <v>14</v>
      </c>
      <c r="D436" s="172" t="s">
        <v>15</v>
      </c>
      <c r="E436" s="173">
        <v>42437</v>
      </c>
      <c r="F436" s="174">
        <v>9.0299999999999994</v>
      </c>
      <c r="G436" s="175" t="s">
        <v>16</v>
      </c>
      <c r="H436" s="172" t="s">
        <v>20</v>
      </c>
      <c r="I436" s="175">
        <v>1</v>
      </c>
      <c r="J436" s="175" t="s">
        <v>18</v>
      </c>
      <c r="K436" s="175" t="s">
        <v>85</v>
      </c>
      <c r="L436" s="172" t="s">
        <v>86</v>
      </c>
    </row>
    <row r="437" spans="1:12" x14ac:dyDescent="0.2">
      <c r="A437" s="172" t="s">
        <v>83</v>
      </c>
      <c r="B437" s="172" t="s">
        <v>84</v>
      </c>
      <c r="C437" s="172" t="s">
        <v>14</v>
      </c>
      <c r="D437" s="172" t="s">
        <v>15</v>
      </c>
      <c r="E437" s="173">
        <v>42437</v>
      </c>
      <c r="F437" s="174">
        <v>61.377812900000002</v>
      </c>
      <c r="G437" s="175" t="s">
        <v>19</v>
      </c>
      <c r="H437" s="172" t="s">
        <v>20</v>
      </c>
      <c r="I437" s="175">
        <v>1</v>
      </c>
      <c r="J437" s="175" t="s">
        <v>18</v>
      </c>
      <c r="K437" s="175" t="s">
        <v>85</v>
      </c>
      <c r="L437" s="172" t="s">
        <v>86</v>
      </c>
    </row>
    <row r="438" spans="1:12" x14ac:dyDescent="0.2">
      <c r="A438" s="172" t="s">
        <v>83</v>
      </c>
      <c r="B438" s="172" t="s">
        <v>84</v>
      </c>
      <c r="C438" s="172" t="s">
        <v>14</v>
      </c>
      <c r="D438" s="172" t="s">
        <v>15</v>
      </c>
      <c r="E438" s="173">
        <v>42430</v>
      </c>
      <c r="F438" s="174">
        <v>12.8</v>
      </c>
      <c r="G438" s="175" t="s">
        <v>16</v>
      </c>
      <c r="H438" s="172" t="s">
        <v>17</v>
      </c>
      <c r="I438" s="175">
        <v>1</v>
      </c>
      <c r="J438" s="175" t="s">
        <v>18</v>
      </c>
      <c r="K438" s="175" t="s">
        <v>85</v>
      </c>
      <c r="L438" s="172" t="s">
        <v>86</v>
      </c>
    </row>
    <row r="439" spans="1:12" x14ac:dyDescent="0.2">
      <c r="A439" s="172" t="s">
        <v>83</v>
      </c>
      <c r="B439" s="172" t="s">
        <v>84</v>
      </c>
      <c r="C439" s="172" t="s">
        <v>14</v>
      </c>
      <c r="D439" s="172" t="s">
        <v>15</v>
      </c>
      <c r="E439" s="173">
        <v>42430</v>
      </c>
      <c r="F439" s="174">
        <v>92.126975999999999</v>
      </c>
      <c r="G439" s="175" t="s">
        <v>19</v>
      </c>
      <c r="H439" s="172" t="s">
        <v>17</v>
      </c>
      <c r="I439" s="175">
        <v>1</v>
      </c>
      <c r="J439" s="175" t="s">
        <v>18</v>
      </c>
      <c r="K439" s="175" t="s">
        <v>85</v>
      </c>
      <c r="L439" s="172" t="s">
        <v>86</v>
      </c>
    </row>
    <row r="440" spans="1:12" x14ac:dyDescent="0.2">
      <c r="A440" s="172" t="s">
        <v>83</v>
      </c>
      <c r="B440" s="172" t="s">
        <v>84</v>
      </c>
      <c r="C440" s="172" t="s">
        <v>14</v>
      </c>
      <c r="D440" s="172" t="s">
        <v>15</v>
      </c>
      <c r="E440" s="173">
        <v>42430</v>
      </c>
      <c r="F440" s="174">
        <v>7.96</v>
      </c>
      <c r="G440" s="175" t="s">
        <v>16</v>
      </c>
      <c r="H440" s="172" t="s">
        <v>20</v>
      </c>
      <c r="I440" s="175">
        <v>1</v>
      </c>
      <c r="J440" s="175" t="s">
        <v>18</v>
      </c>
      <c r="K440" s="175" t="s">
        <v>85</v>
      </c>
      <c r="L440" s="172" t="s">
        <v>86</v>
      </c>
    </row>
    <row r="441" spans="1:12" x14ac:dyDescent="0.2">
      <c r="A441" s="172" t="s">
        <v>83</v>
      </c>
      <c r="B441" s="172" t="s">
        <v>84</v>
      </c>
      <c r="C441" s="172" t="s">
        <v>14</v>
      </c>
      <c r="D441" s="172" t="s">
        <v>15</v>
      </c>
      <c r="E441" s="173">
        <v>42430</v>
      </c>
      <c r="F441" s="174">
        <v>57.291463200000003</v>
      </c>
      <c r="G441" s="175" t="s">
        <v>19</v>
      </c>
      <c r="H441" s="172" t="s">
        <v>20</v>
      </c>
      <c r="I441" s="175">
        <v>1</v>
      </c>
      <c r="J441" s="175" t="s">
        <v>18</v>
      </c>
      <c r="K441" s="175" t="s">
        <v>85</v>
      </c>
      <c r="L441" s="172" t="s">
        <v>86</v>
      </c>
    </row>
    <row r="442" spans="1:12" x14ac:dyDescent="0.2">
      <c r="A442" s="172" t="s">
        <v>83</v>
      </c>
      <c r="B442" s="172" t="s">
        <v>84</v>
      </c>
      <c r="C442" s="172" t="s">
        <v>14</v>
      </c>
      <c r="D442" s="172" t="s">
        <v>15</v>
      </c>
      <c r="E442" s="173">
        <v>42416</v>
      </c>
      <c r="F442" s="174">
        <v>19.8</v>
      </c>
      <c r="G442" s="175" t="s">
        <v>16</v>
      </c>
      <c r="H442" s="172" t="s">
        <v>17</v>
      </c>
      <c r="I442" s="175">
        <v>1</v>
      </c>
      <c r="J442" s="175" t="s">
        <v>18</v>
      </c>
      <c r="K442" s="175" t="s">
        <v>85</v>
      </c>
      <c r="L442" s="172" t="s">
        <v>86</v>
      </c>
    </row>
    <row r="443" spans="1:12" x14ac:dyDescent="0.2">
      <c r="A443" s="172" t="s">
        <v>83</v>
      </c>
      <c r="B443" s="172" t="s">
        <v>84</v>
      </c>
      <c r="C443" s="172" t="s">
        <v>14</v>
      </c>
      <c r="D443" s="172" t="s">
        <v>15</v>
      </c>
      <c r="E443" s="173">
        <v>42416</v>
      </c>
      <c r="F443" s="174">
        <v>87.519959999999998</v>
      </c>
      <c r="G443" s="175" t="s">
        <v>19</v>
      </c>
      <c r="H443" s="172" t="s">
        <v>17</v>
      </c>
      <c r="I443" s="175">
        <v>1</v>
      </c>
      <c r="J443" s="175" t="s">
        <v>18</v>
      </c>
      <c r="K443" s="175" t="s">
        <v>85</v>
      </c>
      <c r="L443" s="172" t="s">
        <v>86</v>
      </c>
    </row>
    <row r="444" spans="1:12" x14ac:dyDescent="0.2">
      <c r="A444" s="172" t="s">
        <v>83</v>
      </c>
      <c r="B444" s="172" t="s">
        <v>84</v>
      </c>
      <c r="C444" s="172" t="s">
        <v>14</v>
      </c>
      <c r="D444" s="172" t="s">
        <v>15</v>
      </c>
      <c r="E444" s="173">
        <v>42416</v>
      </c>
      <c r="F444" s="174">
        <v>9.82</v>
      </c>
      <c r="G444" s="175" t="s">
        <v>16</v>
      </c>
      <c r="H444" s="172" t="s">
        <v>20</v>
      </c>
      <c r="I444" s="175">
        <v>1</v>
      </c>
      <c r="J444" s="175" t="s">
        <v>18</v>
      </c>
      <c r="K444" s="175" t="s">
        <v>85</v>
      </c>
      <c r="L444" s="172" t="s">
        <v>86</v>
      </c>
    </row>
    <row r="445" spans="1:12" x14ac:dyDescent="0.2">
      <c r="A445" s="172" t="s">
        <v>83</v>
      </c>
      <c r="B445" s="172" t="s">
        <v>84</v>
      </c>
      <c r="C445" s="172" t="s">
        <v>14</v>
      </c>
      <c r="D445" s="172" t="s">
        <v>15</v>
      </c>
      <c r="E445" s="173">
        <v>42416</v>
      </c>
      <c r="F445" s="174">
        <v>43.406364000000004</v>
      </c>
      <c r="G445" s="175" t="s">
        <v>19</v>
      </c>
      <c r="H445" s="172" t="s">
        <v>20</v>
      </c>
      <c r="I445" s="175">
        <v>1</v>
      </c>
      <c r="J445" s="175" t="s">
        <v>18</v>
      </c>
      <c r="K445" s="175" t="s">
        <v>85</v>
      </c>
      <c r="L445" s="172" t="s">
        <v>86</v>
      </c>
    </row>
    <row r="446" spans="1:12" x14ac:dyDescent="0.2">
      <c r="A446" s="172" t="s">
        <v>83</v>
      </c>
      <c r="B446" s="172" t="s">
        <v>84</v>
      </c>
      <c r="C446" s="172" t="s">
        <v>14</v>
      </c>
      <c r="D446" s="172" t="s">
        <v>15</v>
      </c>
      <c r="E446" s="173">
        <v>42409</v>
      </c>
      <c r="F446" s="174">
        <v>20.3</v>
      </c>
      <c r="G446" s="175" t="s">
        <v>16</v>
      </c>
      <c r="H446" s="172" t="s">
        <v>17</v>
      </c>
      <c r="I446" s="175">
        <v>1</v>
      </c>
      <c r="J446" s="175" t="s">
        <v>18</v>
      </c>
      <c r="K446" s="175" t="s">
        <v>85</v>
      </c>
      <c r="L446" s="172" t="s">
        <v>86</v>
      </c>
    </row>
    <row r="447" spans="1:12" x14ac:dyDescent="0.2">
      <c r="A447" s="172" t="s">
        <v>83</v>
      </c>
      <c r="B447" s="172" t="s">
        <v>84</v>
      </c>
      <c r="C447" s="172" t="s">
        <v>14</v>
      </c>
      <c r="D447" s="172" t="s">
        <v>15</v>
      </c>
      <c r="E447" s="173">
        <v>42409</v>
      </c>
      <c r="F447" s="174">
        <v>95.994233899999998</v>
      </c>
      <c r="G447" s="175" t="s">
        <v>19</v>
      </c>
      <c r="H447" s="172" t="s">
        <v>17</v>
      </c>
      <c r="I447" s="175">
        <v>1</v>
      </c>
      <c r="J447" s="175" t="s">
        <v>18</v>
      </c>
      <c r="K447" s="175" t="s">
        <v>85</v>
      </c>
      <c r="L447" s="172" t="s">
        <v>86</v>
      </c>
    </row>
    <row r="448" spans="1:12" x14ac:dyDescent="0.2">
      <c r="A448" s="172" t="s">
        <v>83</v>
      </c>
      <c r="B448" s="172" t="s">
        <v>84</v>
      </c>
      <c r="C448" s="172" t="s">
        <v>14</v>
      </c>
      <c r="D448" s="172" t="s">
        <v>15</v>
      </c>
      <c r="E448" s="173">
        <v>42409</v>
      </c>
      <c r="F448" s="174">
        <v>9.52</v>
      </c>
      <c r="G448" s="175" t="s">
        <v>16</v>
      </c>
      <c r="H448" s="172" t="s">
        <v>20</v>
      </c>
      <c r="I448" s="175">
        <v>1</v>
      </c>
      <c r="J448" s="175" t="s">
        <v>18</v>
      </c>
      <c r="K448" s="175" t="s">
        <v>85</v>
      </c>
      <c r="L448" s="172" t="s">
        <v>86</v>
      </c>
    </row>
    <row r="449" spans="1:12" x14ac:dyDescent="0.2">
      <c r="A449" s="172" t="s">
        <v>83</v>
      </c>
      <c r="B449" s="172" t="s">
        <v>84</v>
      </c>
      <c r="C449" s="172" t="s">
        <v>14</v>
      </c>
      <c r="D449" s="172" t="s">
        <v>15</v>
      </c>
      <c r="E449" s="173">
        <v>42409</v>
      </c>
      <c r="F449" s="174">
        <v>45.017985500000002</v>
      </c>
      <c r="G449" s="175" t="s">
        <v>19</v>
      </c>
      <c r="H449" s="172" t="s">
        <v>20</v>
      </c>
      <c r="I449" s="175">
        <v>1</v>
      </c>
      <c r="J449" s="175" t="s">
        <v>18</v>
      </c>
      <c r="K449" s="175" t="s">
        <v>85</v>
      </c>
      <c r="L449" s="172" t="s">
        <v>86</v>
      </c>
    </row>
    <row r="450" spans="1:12" x14ac:dyDescent="0.2">
      <c r="A450" s="172" t="s">
        <v>83</v>
      </c>
      <c r="B450" s="172" t="s">
        <v>84</v>
      </c>
      <c r="C450" s="172" t="s">
        <v>14</v>
      </c>
      <c r="D450" s="172" t="s">
        <v>15</v>
      </c>
      <c r="E450" s="173">
        <v>42402</v>
      </c>
      <c r="F450" s="174">
        <v>14.6</v>
      </c>
      <c r="G450" s="175" t="s">
        <v>16</v>
      </c>
      <c r="H450" s="172" t="s">
        <v>17</v>
      </c>
      <c r="I450" s="175">
        <v>1</v>
      </c>
      <c r="J450" s="175" t="s">
        <v>18</v>
      </c>
      <c r="K450" s="175" t="s">
        <v>85</v>
      </c>
      <c r="L450" s="172" t="s">
        <v>86</v>
      </c>
    </row>
    <row r="451" spans="1:12" x14ac:dyDescent="0.2">
      <c r="A451" s="172" t="s">
        <v>83</v>
      </c>
      <c r="B451" s="172" t="s">
        <v>84</v>
      </c>
      <c r="C451" s="172" t="s">
        <v>14</v>
      </c>
      <c r="D451" s="172" t="s">
        <v>15</v>
      </c>
      <c r="E451" s="173">
        <v>42402</v>
      </c>
      <c r="F451" s="174">
        <v>90.227124000000003</v>
      </c>
      <c r="G451" s="175" t="s">
        <v>19</v>
      </c>
      <c r="H451" s="172" t="s">
        <v>17</v>
      </c>
      <c r="I451" s="175">
        <v>1</v>
      </c>
      <c r="J451" s="175" t="s">
        <v>18</v>
      </c>
      <c r="K451" s="175" t="s">
        <v>85</v>
      </c>
      <c r="L451" s="172" t="s">
        <v>86</v>
      </c>
    </row>
    <row r="452" spans="1:12" x14ac:dyDescent="0.2">
      <c r="A452" s="172" t="s">
        <v>83</v>
      </c>
      <c r="B452" s="172" t="s">
        <v>84</v>
      </c>
      <c r="C452" s="172" t="s">
        <v>14</v>
      </c>
      <c r="D452" s="172" t="s">
        <v>15</v>
      </c>
      <c r="E452" s="173">
        <v>42402</v>
      </c>
      <c r="F452" s="174">
        <v>9.1199999999999992</v>
      </c>
      <c r="G452" s="175" t="s">
        <v>16</v>
      </c>
      <c r="H452" s="172" t="s">
        <v>20</v>
      </c>
      <c r="I452" s="175">
        <v>1</v>
      </c>
      <c r="J452" s="175" t="s">
        <v>18</v>
      </c>
      <c r="K452" s="175" t="s">
        <v>85</v>
      </c>
      <c r="L452" s="172" t="s">
        <v>86</v>
      </c>
    </row>
    <row r="453" spans="1:12" x14ac:dyDescent="0.2">
      <c r="A453" s="172" t="s">
        <v>83</v>
      </c>
      <c r="B453" s="172" t="s">
        <v>84</v>
      </c>
      <c r="C453" s="172" t="s">
        <v>14</v>
      </c>
      <c r="D453" s="172" t="s">
        <v>15</v>
      </c>
      <c r="E453" s="173">
        <v>42402</v>
      </c>
      <c r="F453" s="174">
        <v>56.361052700000002</v>
      </c>
      <c r="G453" s="175" t="s">
        <v>19</v>
      </c>
      <c r="H453" s="172" t="s">
        <v>20</v>
      </c>
      <c r="I453" s="175">
        <v>1</v>
      </c>
      <c r="J453" s="175" t="s">
        <v>18</v>
      </c>
      <c r="K453" s="175" t="s">
        <v>85</v>
      </c>
      <c r="L453" s="172" t="s">
        <v>86</v>
      </c>
    </row>
    <row r="454" spans="1:12" x14ac:dyDescent="0.2">
      <c r="A454" s="172" t="s">
        <v>83</v>
      </c>
      <c r="B454" s="172" t="s">
        <v>84</v>
      </c>
      <c r="C454" s="172" t="s">
        <v>14</v>
      </c>
      <c r="D454" s="172" t="s">
        <v>15</v>
      </c>
      <c r="E454" s="173">
        <v>42395</v>
      </c>
      <c r="F454" s="174">
        <v>17</v>
      </c>
      <c r="G454" s="175" t="s">
        <v>16</v>
      </c>
      <c r="H454" s="172" t="s">
        <v>17</v>
      </c>
      <c r="I454" s="175">
        <v>1</v>
      </c>
      <c r="J454" s="175" t="s">
        <v>18</v>
      </c>
      <c r="K454" s="175" t="s">
        <v>85</v>
      </c>
      <c r="L454" s="172" t="s">
        <v>86</v>
      </c>
    </row>
    <row r="455" spans="1:12" x14ac:dyDescent="0.2">
      <c r="A455" s="172" t="s">
        <v>83</v>
      </c>
      <c r="B455" s="172" t="s">
        <v>84</v>
      </c>
      <c r="C455" s="172" t="s">
        <v>14</v>
      </c>
      <c r="D455" s="172" t="s">
        <v>15</v>
      </c>
      <c r="E455" s="173">
        <v>42395</v>
      </c>
      <c r="F455" s="174">
        <v>91.873440000000002</v>
      </c>
      <c r="G455" s="175" t="s">
        <v>19</v>
      </c>
      <c r="H455" s="172" t="s">
        <v>17</v>
      </c>
      <c r="I455" s="175">
        <v>1</v>
      </c>
      <c r="J455" s="175" t="s">
        <v>18</v>
      </c>
      <c r="K455" s="175" t="s">
        <v>85</v>
      </c>
      <c r="L455" s="172" t="s">
        <v>86</v>
      </c>
    </row>
    <row r="456" spans="1:12" x14ac:dyDescent="0.2">
      <c r="A456" s="172" t="s">
        <v>83</v>
      </c>
      <c r="B456" s="172" t="s">
        <v>84</v>
      </c>
      <c r="C456" s="172" t="s">
        <v>14</v>
      </c>
      <c r="D456" s="172" t="s">
        <v>15</v>
      </c>
      <c r="E456" s="173">
        <v>42395</v>
      </c>
      <c r="F456" s="174">
        <v>9.86</v>
      </c>
      <c r="G456" s="175" t="s">
        <v>16</v>
      </c>
      <c r="H456" s="172" t="s">
        <v>20</v>
      </c>
      <c r="I456" s="175">
        <v>1</v>
      </c>
      <c r="J456" s="175" t="s">
        <v>18</v>
      </c>
      <c r="K456" s="175" t="s">
        <v>85</v>
      </c>
      <c r="L456" s="172" t="s">
        <v>86</v>
      </c>
    </row>
    <row r="457" spans="1:12" x14ac:dyDescent="0.2">
      <c r="A457" s="172" t="s">
        <v>83</v>
      </c>
      <c r="B457" s="172" t="s">
        <v>84</v>
      </c>
      <c r="C457" s="172" t="s">
        <v>14</v>
      </c>
      <c r="D457" s="172" t="s">
        <v>15</v>
      </c>
      <c r="E457" s="173">
        <v>42395</v>
      </c>
      <c r="F457" s="174">
        <v>53.2865951</v>
      </c>
      <c r="G457" s="175" t="s">
        <v>19</v>
      </c>
      <c r="H457" s="172" t="s">
        <v>20</v>
      </c>
      <c r="I457" s="175">
        <v>1</v>
      </c>
      <c r="J457" s="175" t="s">
        <v>18</v>
      </c>
      <c r="K457" s="175" t="s">
        <v>85</v>
      </c>
      <c r="L457" s="172" t="s">
        <v>86</v>
      </c>
    </row>
    <row r="458" spans="1:12" x14ac:dyDescent="0.2">
      <c r="A458" s="172" t="s">
        <v>83</v>
      </c>
      <c r="B458" s="172" t="s">
        <v>84</v>
      </c>
      <c r="C458" s="172" t="s">
        <v>14</v>
      </c>
      <c r="D458" s="172" t="s">
        <v>15</v>
      </c>
      <c r="E458" s="173">
        <v>42388</v>
      </c>
      <c r="F458" s="174">
        <v>13.7</v>
      </c>
      <c r="G458" s="175" t="s">
        <v>16</v>
      </c>
      <c r="H458" s="172" t="s">
        <v>17</v>
      </c>
      <c r="I458" s="175">
        <v>1</v>
      </c>
      <c r="J458" s="175" t="s">
        <v>18</v>
      </c>
      <c r="K458" s="175" t="s">
        <v>85</v>
      </c>
      <c r="L458" s="172" t="s">
        <v>86</v>
      </c>
    </row>
    <row r="459" spans="1:12" x14ac:dyDescent="0.2">
      <c r="A459" s="172" t="s">
        <v>83</v>
      </c>
      <c r="B459" s="172" t="s">
        <v>84</v>
      </c>
      <c r="C459" s="172" t="s">
        <v>14</v>
      </c>
      <c r="D459" s="172" t="s">
        <v>15</v>
      </c>
      <c r="E459" s="173">
        <v>42388</v>
      </c>
      <c r="F459" s="174">
        <v>85.922015900000005</v>
      </c>
      <c r="G459" s="175" t="s">
        <v>19</v>
      </c>
      <c r="H459" s="172" t="s">
        <v>17</v>
      </c>
      <c r="I459" s="175">
        <v>1</v>
      </c>
      <c r="J459" s="175" t="s">
        <v>18</v>
      </c>
      <c r="K459" s="175" t="s">
        <v>85</v>
      </c>
      <c r="L459" s="172" t="s">
        <v>86</v>
      </c>
    </row>
    <row r="460" spans="1:12" x14ac:dyDescent="0.2">
      <c r="A460" s="172" t="s">
        <v>83</v>
      </c>
      <c r="B460" s="172" t="s">
        <v>84</v>
      </c>
      <c r="C460" s="172" t="s">
        <v>14</v>
      </c>
      <c r="D460" s="172" t="s">
        <v>15</v>
      </c>
      <c r="E460" s="173">
        <v>42388</v>
      </c>
      <c r="F460" s="174">
        <v>7.77</v>
      </c>
      <c r="G460" s="175" t="s">
        <v>16</v>
      </c>
      <c r="H460" s="172" t="s">
        <v>20</v>
      </c>
      <c r="I460" s="175">
        <v>1</v>
      </c>
      <c r="J460" s="175" t="s">
        <v>18</v>
      </c>
      <c r="K460" s="175" t="s">
        <v>85</v>
      </c>
      <c r="L460" s="172" t="s">
        <v>86</v>
      </c>
    </row>
    <row r="461" spans="1:12" x14ac:dyDescent="0.2">
      <c r="A461" s="172" t="s">
        <v>83</v>
      </c>
      <c r="B461" s="172" t="s">
        <v>84</v>
      </c>
      <c r="C461" s="172" t="s">
        <v>14</v>
      </c>
      <c r="D461" s="172" t="s">
        <v>15</v>
      </c>
      <c r="E461" s="173">
        <v>42388</v>
      </c>
      <c r="F461" s="174">
        <v>48.730953499999998</v>
      </c>
      <c r="G461" s="175" t="s">
        <v>19</v>
      </c>
      <c r="H461" s="172" t="s">
        <v>20</v>
      </c>
      <c r="I461" s="175">
        <v>1</v>
      </c>
      <c r="J461" s="175" t="s">
        <v>18</v>
      </c>
      <c r="K461" s="175" t="s">
        <v>85</v>
      </c>
      <c r="L461" s="172" t="s">
        <v>86</v>
      </c>
    </row>
    <row r="462" spans="1:12" x14ac:dyDescent="0.2">
      <c r="A462" s="172" t="s">
        <v>83</v>
      </c>
      <c r="B462" s="172" t="s">
        <v>84</v>
      </c>
      <c r="C462" s="172" t="s">
        <v>14</v>
      </c>
      <c r="D462" s="172" t="s">
        <v>15</v>
      </c>
      <c r="E462" s="173">
        <v>42381</v>
      </c>
      <c r="F462" s="174">
        <v>15.6</v>
      </c>
      <c r="G462" s="175" t="s">
        <v>16</v>
      </c>
      <c r="H462" s="172" t="s">
        <v>17</v>
      </c>
      <c r="I462" s="175">
        <v>1</v>
      </c>
      <c r="J462" s="175" t="s">
        <v>18</v>
      </c>
      <c r="K462" s="175" t="s">
        <v>85</v>
      </c>
      <c r="L462" s="172" t="s">
        <v>86</v>
      </c>
    </row>
    <row r="463" spans="1:12" x14ac:dyDescent="0.2">
      <c r="A463" s="172" t="s">
        <v>83</v>
      </c>
      <c r="B463" s="172" t="s">
        <v>84</v>
      </c>
      <c r="C463" s="172" t="s">
        <v>14</v>
      </c>
      <c r="D463" s="172" t="s">
        <v>15</v>
      </c>
      <c r="E463" s="173">
        <v>42381</v>
      </c>
      <c r="F463" s="174">
        <v>120.736512</v>
      </c>
      <c r="G463" s="175" t="s">
        <v>19</v>
      </c>
      <c r="H463" s="172" t="s">
        <v>17</v>
      </c>
      <c r="I463" s="175">
        <v>1</v>
      </c>
      <c r="J463" s="175" t="s">
        <v>18</v>
      </c>
      <c r="K463" s="175" t="s">
        <v>85</v>
      </c>
      <c r="L463" s="172" t="s">
        <v>86</v>
      </c>
    </row>
    <row r="464" spans="1:12" x14ac:dyDescent="0.2">
      <c r="A464" s="172" t="s">
        <v>83</v>
      </c>
      <c r="B464" s="172" t="s">
        <v>84</v>
      </c>
      <c r="C464" s="172" t="s">
        <v>14</v>
      </c>
      <c r="D464" s="172" t="s">
        <v>15</v>
      </c>
      <c r="E464" s="173">
        <v>42381</v>
      </c>
      <c r="F464" s="174">
        <v>8.59</v>
      </c>
      <c r="G464" s="175" t="s">
        <v>16</v>
      </c>
      <c r="H464" s="172" t="s">
        <v>20</v>
      </c>
      <c r="I464" s="175">
        <v>1</v>
      </c>
      <c r="J464" s="175" t="s">
        <v>18</v>
      </c>
      <c r="K464" s="175" t="s">
        <v>85</v>
      </c>
      <c r="L464" s="172" t="s">
        <v>86</v>
      </c>
    </row>
    <row r="465" spans="1:12" x14ac:dyDescent="0.2">
      <c r="A465" s="172" t="s">
        <v>83</v>
      </c>
      <c r="B465" s="172" t="s">
        <v>84</v>
      </c>
      <c r="C465" s="172" t="s">
        <v>14</v>
      </c>
      <c r="D465" s="172" t="s">
        <v>15</v>
      </c>
      <c r="E465" s="173">
        <v>42381</v>
      </c>
      <c r="F465" s="174">
        <v>66.482476800000001</v>
      </c>
      <c r="G465" s="175" t="s">
        <v>19</v>
      </c>
      <c r="H465" s="172" t="s">
        <v>20</v>
      </c>
      <c r="I465" s="175">
        <v>1</v>
      </c>
      <c r="J465" s="175" t="s">
        <v>18</v>
      </c>
      <c r="K465" s="175" t="s">
        <v>85</v>
      </c>
      <c r="L465" s="172" t="s">
        <v>86</v>
      </c>
    </row>
    <row r="466" spans="1:12" x14ac:dyDescent="0.2">
      <c r="A466" s="172" t="s">
        <v>83</v>
      </c>
      <c r="B466" s="172" t="s">
        <v>84</v>
      </c>
      <c r="C466" s="172" t="s">
        <v>14</v>
      </c>
      <c r="D466" s="172" t="s">
        <v>15</v>
      </c>
      <c r="E466" s="173">
        <v>42374</v>
      </c>
      <c r="F466" s="174">
        <v>14.8</v>
      </c>
      <c r="G466" s="175" t="s">
        <v>16</v>
      </c>
      <c r="H466" s="172" t="s">
        <v>17</v>
      </c>
      <c r="I466" s="175">
        <v>1</v>
      </c>
      <c r="J466" s="175" t="s">
        <v>18</v>
      </c>
      <c r="K466" s="175" t="s">
        <v>85</v>
      </c>
      <c r="L466" s="172" t="s">
        <v>86</v>
      </c>
    </row>
    <row r="467" spans="1:12" x14ac:dyDescent="0.2">
      <c r="A467" s="172" t="s">
        <v>83</v>
      </c>
      <c r="B467" s="172" t="s">
        <v>84</v>
      </c>
      <c r="C467" s="172" t="s">
        <v>14</v>
      </c>
      <c r="D467" s="172" t="s">
        <v>15</v>
      </c>
      <c r="E467" s="173">
        <v>42374</v>
      </c>
      <c r="F467" s="174">
        <v>108.62016</v>
      </c>
      <c r="G467" s="175" t="s">
        <v>19</v>
      </c>
      <c r="H467" s="172" t="s">
        <v>17</v>
      </c>
      <c r="I467" s="175">
        <v>1</v>
      </c>
      <c r="J467" s="175" t="s">
        <v>18</v>
      </c>
      <c r="K467" s="175" t="s">
        <v>85</v>
      </c>
      <c r="L467" s="172" t="s">
        <v>86</v>
      </c>
    </row>
    <row r="468" spans="1:12" x14ac:dyDescent="0.2">
      <c r="A468" s="172" t="s">
        <v>83</v>
      </c>
      <c r="B468" s="172" t="s">
        <v>84</v>
      </c>
      <c r="C468" s="172" t="s">
        <v>14</v>
      </c>
      <c r="D468" s="172" t="s">
        <v>15</v>
      </c>
      <c r="E468" s="173">
        <v>42374</v>
      </c>
      <c r="F468" s="174">
        <v>8.86</v>
      </c>
      <c r="G468" s="175" t="s">
        <v>16</v>
      </c>
      <c r="H468" s="172" t="s">
        <v>20</v>
      </c>
      <c r="I468" s="175">
        <v>1</v>
      </c>
      <c r="J468" s="175" t="s">
        <v>18</v>
      </c>
      <c r="K468" s="175" t="s">
        <v>85</v>
      </c>
      <c r="L468" s="172" t="s">
        <v>86</v>
      </c>
    </row>
    <row r="469" spans="1:12" x14ac:dyDescent="0.2">
      <c r="A469" s="172" t="s">
        <v>83</v>
      </c>
      <c r="B469" s="172" t="s">
        <v>84</v>
      </c>
      <c r="C469" s="172" t="s">
        <v>14</v>
      </c>
      <c r="D469" s="172" t="s">
        <v>15</v>
      </c>
      <c r="E469" s="173">
        <v>42374</v>
      </c>
      <c r="F469" s="174">
        <v>65.025312</v>
      </c>
      <c r="G469" s="175" t="s">
        <v>19</v>
      </c>
      <c r="H469" s="172" t="s">
        <v>20</v>
      </c>
      <c r="I469" s="175">
        <v>1</v>
      </c>
      <c r="J469" s="175" t="s">
        <v>18</v>
      </c>
      <c r="K469" s="175" t="s">
        <v>85</v>
      </c>
      <c r="L469" s="172" t="s">
        <v>86</v>
      </c>
    </row>
    <row r="470" spans="1:12" x14ac:dyDescent="0.2">
      <c r="A470" s="172" t="s">
        <v>83</v>
      </c>
      <c r="B470" s="172" t="s">
        <v>84</v>
      </c>
      <c r="C470" s="172" t="s">
        <v>14</v>
      </c>
      <c r="D470" s="172" t="s">
        <v>15</v>
      </c>
      <c r="E470" s="173">
        <v>42332</v>
      </c>
      <c r="F470" s="174">
        <v>20.7</v>
      </c>
      <c r="G470" s="175" t="s">
        <v>16</v>
      </c>
      <c r="H470" s="172" t="s">
        <v>17</v>
      </c>
      <c r="I470" s="175">
        <v>1</v>
      </c>
      <c r="J470" s="175" t="s">
        <v>18</v>
      </c>
      <c r="K470" s="175" t="s">
        <v>85</v>
      </c>
      <c r="L470" s="172" t="s">
        <v>86</v>
      </c>
    </row>
    <row r="471" spans="1:12" x14ac:dyDescent="0.2">
      <c r="A471" s="172" t="s">
        <v>83</v>
      </c>
      <c r="B471" s="172" t="s">
        <v>84</v>
      </c>
      <c r="C471" s="172" t="s">
        <v>14</v>
      </c>
      <c r="D471" s="172" t="s">
        <v>15</v>
      </c>
      <c r="E471" s="173">
        <v>42332</v>
      </c>
      <c r="F471" s="174">
        <v>102.3743339</v>
      </c>
      <c r="G471" s="175" t="s">
        <v>19</v>
      </c>
      <c r="H471" s="172" t="s">
        <v>17</v>
      </c>
      <c r="I471" s="175">
        <v>1</v>
      </c>
      <c r="J471" s="175" t="s">
        <v>18</v>
      </c>
      <c r="K471" s="175" t="s">
        <v>85</v>
      </c>
      <c r="L471" s="172" t="s">
        <v>86</v>
      </c>
    </row>
    <row r="472" spans="1:12" x14ac:dyDescent="0.2">
      <c r="A472" s="172" t="s">
        <v>83</v>
      </c>
      <c r="B472" s="172" t="s">
        <v>84</v>
      </c>
      <c r="C472" s="172" t="s">
        <v>14</v>
      </c>
      <c r="D472" s="172" t="s">
        <v>15</v>
      </c>
      <c r="E472" s="173">
        <v>42332</v>
      </c>
      <c r="F472" s="174">
        <v>8.91</v>
      </c>
      <c r="G472" s="175" t="s">
        <v>16</v>
      </c>
      <c r="H472" s="172" t="s">
        <v>20</v>
      </c>
      <c r="I472" s="175">
        <v>1</v>
      </c>
      <c r="J472" s="175" t="s">
        <v>18</v>
      </c>
      <c r="K472" s="175" t="s">
        <v>85</v>
      </c>
      <c r="L472" s="172" t="s">
        <v>86</v>
      </c>
    </row>
    <row r="473" spans="1:12" x14ac:dyDescent="0.2">
      <c r="A473" s="172" t="s">
        <v>83</v>
      </c>
      <c r="B473" s="172" t="s">
        <v>84</v>
      </c>
      <c r="C473" s="172" t="s">
        <v>14</v>
      </c>
      <c r="D473" s="172" t="s">
        <v>15</v>
      </c>
      <c r="E473" s="173">
        <v>42332</v>
      </c>
      <c r="F473" s="174">
        <v>44.065474199999997</v>
      </c>
      <c r="G473" s="175" t="s">
        <v>19</v>
      </c>
      <c r="H473" s="172" t="s">
        <v>20</v>
      </c>
      <c r="I473" s="175">
        <v>1</v>
      </c>
      <c r="J473" s="175" t="s">
        <v>18</v>
      </c>
      <c r="K473" s="175" t="s">
        <v>85</v>
      </c>
      <c r="L473" s="172" t="s">
        <v>86</v>
      </c>
    </row>
    <row r="474" spans="1:12" x14ac:dyDescent="0.2">
      <c r="A474" s="172" t="s">
        <v>83</v>
      </c>
      <c r="B474" s="172" t="s">
        <v>84</v>
      </c>
      <c r="C474" s="172" t="s">
        <v>14</v>
      </c>
      <c r="D474" s="172" t="s">
        <v>15</v>
      </c>
      <c r="E474" s="173">
        <v>42325</v>
      </c>
      <c r="F474" s="174">
        <v>21.2</v>
      </c>
      <c r="G474" s="175" t="s">
        <v>16</v>
      </c>
      <c r="H474" s="172" t="s">
        <v>17</v>
      </c>
      <c r="I474" s="175">
        <v>1</v>
      </c>
      <c r="J474" s="175" t="s">
        <v>18</v>
      </c>
      <c r="K474" s="175" t="s">
        <v>85</v>
      </c>
      <c r="L474" s="172" t="s">
        <v>86</v>
      </c>
    </row>
    <row r="475" spans="1:12" x14ac:dyDescent="0.2">
      <c r="A475" s="172" t="s">
        <v>83</v>
      </c>
      <c r="B475" s="172" t="s">
        <v>84</v>
      </c>
      <c r="C475" s="172" t="s">
        <v>14</v>
      </c>
      <c r="D475" s="172" t="s">
        <v>15</v>
      </c>
      <c r="E475" s="173">
        <v>42325</v>
      </c>
      <c r="F475" s="174">
        <v>104.3167199</v>
      </c>
      <c r="G475" s="175" t="s">
        <v>19</v>
      </c>
      <c r="H475" s="172" t="s">
        <v>17</v>
      </c>
      <c r="I475" s="175">
        <v>1</v>
      </c>
      <c r="J475" s="175" t="s">
        <v>18</v>
      </c>
      <c r="K475" s="175" t="s">
        <v>85</v>
      </c>
      <c r="L475" s="172" t="s">
        <v>86</v>
      </c>
    </row>
    <row r="476" spans="1:12" x14ac:dyDescent="0.2">
      <c r="A476" s="172" t="s">
        <v>83</v>
      </c>
      <c r="B476" s="172" t="s">
        <v>84</v>
      </c>
      <c r="C476" s="172" t="s">
        <v>14</v>
      </c>
      <c r="D476" s="172" t="s">
        <v>15</v>
      </c>
      <c r="E476" s="173">
        <v>42325</v>
      </c>
      <c r="F476" s="174">
        <v>9.83</v>
      </c>
      <c r="G476" s="175" t="s">
        <v>16</v>
      </c>
      <c r="H476" s="172" t="s">
        <v>20</v>
      </c>
      <c r="I476" s="175">
        <v>1</v>
      </c>
      <c r="J476" s="175" t="s">
        <v>18</v>
      </c>
      <c r="K476" s="175" t="s">
        <v>85</v>
      </c>
      <c r="L476" s="172" t="s">
        <v>86</v>
      </c>
    </row>
    <row r="477" spans="1:12" x14ac:dyDescent="0.2">
      <c r="A477" s="172" t="s">
        <v>83</v>
      </c>
      <c r="B477" s="172" t="s">
        <v>84</v>
      </c>
      <c r="C477" s="172" t="s">
        <v>14</v>
      </c>
      <c r="D477" s="172" t="s">
        <v>15</v>
      </c>
      <c r="E477" s="173">
        <v>42325</v>
      </c>
      <c r="F477" s="174">
        <v>48.369497899999999</v>
      </c>
      <c r="G477" s="175" t="s">
        <v>19</v>
      </c>
      <c r="H477" s="172" t="s">
        <v>20</v>
      </c>
      <c r="I477" s="175">
        <v>1</v>
      </c>
      <c r="J477" s="175" t="s">
        <v>18</v>
      </c>
      <c r="K477" s="175" t="s">
        <v>85</v>
      </c>
      <c r="L477" s="172" t="s">
        <v>86</v>
      </c>
    </row>
    <row r="478" spans="1:12" x14ac:dyDescent="0.2">
      <c r="A478" s="172" t="s">
        <v>83</v>
      </c>
      <c r="B478" s="172" t="s">
        <v>84</v>
      </c>
      <c r="C478" s="172" t="s">
        <v>14</v>
      </c>
      <c r="D478" s="172" t="s">
        <v>15</v>
      </c>
      <c r="E478" s="173">
        <v>42318</v>
      </c>
      <c r="F478" s="174">
        <v>21.8</v>
      </c>
      <c r="G478" s="175" t="s">
        <v>16</v>
      </c>
      <c r="H478" s="172" t="s">
        <v>17</v>
      </c>
      <c r="I478" s="175">
        <v>1</v>
      </c>
      <c r="J478" s="175" t="s">
        <v>18</v>
      </c>
      <c r="K478" s="175" t="s">
        <v>85</v>
      </c>
      <c r="L478" s="172" t="s">
        <v>86</v>
      </c>
    </row>
    <row r="479" spans="1:12" x14ac:dyDescent="0.2">
      <c r="A479" s="172" t="s">
        <v>83</v>
      </c>
      <c r="B479" s="172" t="s">
        <v>84</v>
      </c>
      <c r="C479" s="172" t="s">
        <v>14</v>
      </c>
      <c r="D479" s="172" t="s">
        <v>15</v>
      </c>
      <c r="E479" s="173">
        <v>42318</v>
      </c>
      <c r="F479" s="174">
        <v>89.087879999999998</v>
      </c>
      <c r="G479" s="175" t="s">
        <v>19</v>
      </c>
      <c r="H479" s="172" t="s">
        <v>17</v>
      </c>
      <c r="I479" s="175">
        <v>1</v>
      </c>
      <c r="J479" s="175" t="s">
        <v>18</v>
      </c>
      <c r="K479" s="175" t="s">
        <v>85</v>
      </c>
      <c r="L479" s="172" t="s">
        <v>86</v>
      </c>
    </row>
    <row r="480" spans="1:12" x14ac:dyDescent="0.2">
      <c r="A480" s="172" t="s">
        <v>83</v>
      </c>
      <c r="B480" s="172" t="s">
        <v>84</v>
      </c>
      <c r="C480" s="172" t="s">
        <v>14</v>
      </c>
      <c r="D480" s="172" t="s">
        <v>15</v>
      </c>
      <c r="E480" s="173">
        <v>42318</v>
      </c>
      <c r="F480" s="174">
        <v>10.9</v>
      </c>
      <c r="G480" s="175" t="s">
        <v>16</v>
      </c>
      <c r="H480" s="172" t="s">
        <v>20</v>
      </c>
      <c r="I480" s="175">
        <v>1</v>
      </c>
      <c r="J480" s="175" t="s">
        <v>18</v>
      </c>
      <c r="K480" s="175" t="s">
        <v>85</v>
      </c>
      <c r="L480" s="172" t="s">
        <v>86</v>
      </c>
    </row>
    <row r="481" spans="1:12" x14ac:dyDescent="0.2">
      <c r="A481" s="172" t="s">
        <v>83</v>
      </c>
      <c r="B481" s="172" t="s">
        <v>84</v>
      </c>
      <c r="C481" s="172" t="s">
        <v>14</v>
      </c>
      <c r="D481" s="172" t="s">
        <v>15</v>
      </c>
      <c r="E481" s="173">
        <v>42318</v>
      </c>
      <c r="F481" s="174">
        <v>44.543939999999999</v>
      </c>
      <c r="G481" s="175" t="s">
        <v>19</v>
      </c>
      <c r="H481" s="172" t="s">
        <v>20</v>
      </c>
      <c r="I481" s="175">
        <v>1</v>
      </c>
      <c r="J481" s="175" t="s">
        <v>18</v>
      </c>
      <c r="K481" s="175" t="s">
        <v>85</v>
      </c>
      <c r="L481" s="172" t="s">
        <v>86</v>
      </c>
    </row>
    <row r="482" spans="1:12" x14ac:dyDescent="0.2">
      <c r="A482" s="172" t="s">
        <v>83</v>
      </c>
      <c r="B482" s="172" t="s">
        <v>84</v>
      </c>
      <c r="C482" s="172" t="s">
        <v>14</v>
      </c>
      <c r="D482" s="172" t="s">
        <v>15</v>
      </c>
      <c r="E482" s="173">
        <v>42311</v>
      </c>
      <c r="F482" s="174">
        <v>20.5</v>
      </c>
      <c r="G482" s="175" t="s">
        <v>16</v>
      </c>
      <c r="H482" s="172" t="s">
        <v>17</v>
      </c>
      <c r="I482" s="175">
        <v>1</v>
      </c>
      <c r="J482" s="175" t="s">
        <v>18</v>
      </c>
      <c r="K482" s="175" t="s">
        <v>85</v>
      </c>
      <c r="L482" s="172" t="s">
        <v>86</v>
      </c>
    </row>
    <row r="483" spans="1:12" x14ac:dyDescent="0.2">
      <c r="A483" s="172" t="s">
        <v>83</v>
      </c>
      <c r="B483" s="172" t="s">
        <v>84</v>
      </c>
      <c r="C483" s="172" t="s">
        <v>14</v>
      </c>
      <c r="D483" s="172" t="s">
        <v>15</v>
      </c>
      <c r="E483" s="173">
        <v>42311</v>
      </c>
      <c r="F483" s="174">
        <v>93.691559999999996</v>
      </c>
      <c r="G483" s="175" t="s">
        <v>19</v>
      </c>
      <c r="H483" s="172" t="s">
        <v>17</v>
      </c>
      <c r="I483" s="175">
        <v>1</v>
      </c>
      <c r="J483" s="175" t="s">
        <v>18</v>
      </c>
      <c r="K483" s="175" t="s">
        <v>85</v>
      </c>
      <c r="L483" s="172" t="s">
        <v>86</v>
      </c>
    </row>
    <row r="484" spans="1:12" x14ac:dyDescent="0.2">
      <c r="A484" s="172" t="s">
        <v>83</v>
      </c>
      <c r="B484" s="172" t="s">
        <v>84</v>
      </c>
      <c r="C484" s="172" t="s">
        <v>14</v>
      </c>
      <c r="D484" s="172" t="s">
        <v>15</v>
      </c>
      <c r="E484" s="173">
        <v>42311</v>
      </c>
      <c r="F484" s="174">
        <v>9.14</v>
      </c>
      <c r="G484" s="175" t="s">
        <v>16</v>
      </c>
      <c r="H484" s="172" t="s">
        <v>20</v>
      </c>
      <c r="I484" s="175">
        <v>1</v>
      </c>
      <c r="J484" s="175" t="s">
        <v>18</v>
      </c>
      <c r="K484" s="175" t="s">
        <v>85</v>
      </c>
      <c r="L484" s="172" t="s">
        <v>86</v>
      </c>
    </row>
    <row r="485" spans="1:12" x14ac:dyDescent="0.2">
      <c r="A485" s="172" t="s">
        <v>83</v>
      </c>
      <c r="B485" s="172" t="s">
        <v>84</v>
      </c>
      <c r="C485" s="172" t="s">
        <v>14</v>
      </c>
      <c r="D485" s="172" t="s">
        <v>15</v>
      </c>
      <c r="E485" s="173">
        <v>42311</v>
      </c>
      <c r="F485" s="174">
        <v>41.772724799999999</v>
      </c>
      <c r="G485" s="175" t="s">
        <v>19</v>
      </c>
      <c r="H485" s="172" t="s">
        <v>20</v>
      </c>
      <c r="I485" s="175">
        <v>1</v>
      </c>
      <c r="J485" s="175" t="s">
        <v>18</v>
      </c>
      <c r="K485" s="175" t="s">
        <v>85</v>
      </c>
      <c r="L485" s="172" t="s">
        <v>86</v>
      </c>
    </row>
    <row r="486" spans="1:12" x14ac:dyDescent="0.2">
      <c r="A486" s="172" t="s">
        <v>83</v>
      </c>
      <c r="B486" s="172" t="s">
        <v>84</v>
      </c>
      <c r="C486" s="172" t="s">
        <v>14</v>
      </c>
      <c r="D486" s="172" t="s">
        <v>15</v>
      </c>
      <c r="E486" s="173">
        <v>42304</v>
      </c>
      <c r="F486" s="174">
        <v>23.7</v>
      </c>
      <c r="G486" s="175" t="s">
        <v>16</v>
      </c>
      <c r="H486" s="172" t="s">
        <v>17</v>
      </c>
      <c r="I486" s="175">
        <v>1</v>
      </c>
      <c r="J486" s="175" t="s">
        <v>18</v>
      </c>
      <c r="K486" s="175" t="s">
        <v>85</v>
      </c>
      <c r="L486" s="172" t="s">
        <v>86</v>
      </c>
    </row>
    <row r="487" spans="1:12" x14ac:dyDescent="0.2">
      <c r="A487" s="172" t="s">
        <v>83</v>
      </c>
      <c r="B487" s="172" t="s">
        <v>84</v>
      </c>
      <c r="C487" s="172" t="s">
        <v>14</v>
      </c>
      <c r="D487" s="172" t="s">
        <v>15</v>
      </c>
      <c r="E487" s="173">
        <v>42304</v>
      </c>
      <c r="F487" s="174">
        <v>92.306286</v>
      </c>
      <c r="G487" s="175" t="s">
        <v>19</v>
      </c>
      <c r="H487" s="172" t="s">
        <v>17</v>
      </c>
      <c r="I487" s="175">
        <v>1</v>
      </c>
      <c r="J487" s="175" t="s">
        <v>18</v>
      </c>
      <c r="K487" s="175" t="s">
        <v>85</v>
      </c>
      <c r="L487" s="172" t="s">
        <v>86</v>
      </c>
    </row>
    <row r="488" spans="1:12" x14ac:dyDescent="0.2">
      <c r="A488" s="172" t="s">
        <v>83</v>
      </c>
      <c r="B488" s="172" t="s">
        <v>84</v>
      </c>
      <c r="C488" s="172" t="s">
        <v>14</v>
      </c>
      <c r="D488" s="172" t="s">
        <v>15</v>
      </c>
      <c r="E488" s="173">
        <v>42304</v>
      </c>
      <c r="F488" s="174">
        <v>11.5</v>
      </c>
      <c r="G488" s="175" t="s">
        <v>16</v>
      </c>
      <c r="H488" s="172" t="s">
        <v>20</v>
      </c>
      <c r="I488" s="175">
        <v>1</v>
      </c>
      <c r="J488" s="175" t="s">
        <v>18</v>
      </c>
      <c r="K488" s="175" t="s">
        <v>85</v>
      </c>
      <c r="L488" s="172" t="s">
        <v>86</v>
      </c>
    </row>
    <row r="489" spans="1:12" x14ac:dyDescent="0.2">
      <c r="A489" s="172" t="s">
        <v>83</v>
      </c>
      <c r="B489" s="172" t="s">
        <v>84</v>
      </c>
      <c r="C489" s="172" t="s">
        <v>14</v>
      </c>
      <c r="D489" s="172" t="s">
        <v>15</v>
      </c>
      <c r="E489" s="173">
        <v>42304</v>
      </c>
      <c r="F489" s="174">
        <v>44.789969999999997</v>
      </c>
      <c r="G489" s="175" t="s">
        <v>19</v>
      </c>
      <c r="H489" s="172" t="s">
        <v>20</v>
      </c>
      <c r="I489" s="175">
        <v>1</v>
      </c>
      <c r="J489" s="175" t="s">
        <v>18</v>
      </c>
      <c r="K489" s="175" t="s">
        <v>85</v>
      </c>
      <c r="L489" s="172" t="s">
        <v>86</v>
      </c>
    </row>
    <row r="490" spans="1:12" x14ac:dyDescent="0.2">
      <c r="A490" s="172" t="s">
        <v>83</v>
      </c>
      <c r="B490" s="172" t="s">
        <v>84</v>
      </c>
      <c r="C490" s="172" t="s">
        <v>14</v>
      </c>
      <c r="D490" s="172" t="s">
        <v>15</v>
      </c>
      <c r="E490" s="173">
        <v>42297</v>
      </c>
      <c r="F490" s="174">
        <v>23.2</v>
      </c>
      <c r="G490" s="175" t="s">
        <v>16</v>
      </c>
      <c r="H490" s="172" t="s">
        <v>17</v>
      </c>
      <c r="I490" s="175">
        <v>1</v>
      </c>
      <c r="J490" s="175" t="s">
        <v>18</v>
      </c>
      <c r="K490" s="175" t="s">
        <v>85</v>
      </c>
      <c r="L490" s="172" t="s">
        <v>86</v>
      </c>
    </row>
    <row r="491" spans="1:12" x14ac:dyDescent="0.2">
      <c r="A491" s="172" t="s">
        <v>83</v>
      </c>
      <c r="B491" s="172" t="s">
        <v>84</v>
      </c>
      <c r="C491" s="172" t="s">
        <v>14</v>
      </c>
      <c r="D491" s="172" t="s">
        <v>15</v>
      </c>
      <c r="E491" s="173">
        <v>42297</v>
      </c>
      <c r="F491" s="174">
        <v>93.454703899999998</v>
      </c>
      <c r="G491" s="175" t="s">
        <v>19</v>
      </c>
      <c r="H491" s="172" t="s">
        <v>17</v>
      </c>
      <c r="I491" s="175">
        <v>1</v>
      </c>
      <c r="J491" s="175" t="s">
        <v>18</v>
      </c>
      <c r="K491" s="175" t="s">
        <v>85</v>
      </c>
      <c r="L491" s="172" t="s">
        <v>86</v>
      </c>
    </row>
    <row r="492" spans="1:12" x14ac:dyDescent="0.2">
      <c r="A492" s="172" t="s">
        <v>83</v>
      </c>
      <c r="B492" s="172" t="s">
        <v>84</v>
      </c>
      <c r="C492" s="172" t="s">
        <v>14</v>
      </c>
      <c r="D492" s="172" t="s">
        <v>15</v>
      </c>
      <c r="E492" s="173">
        <v>42297</v>
      </c>
      <c r="F492" s="174">
        <v>12.3</v>
      </c>
      <c r="G492" s="175" t="s">
        <v>16</v>
      </c>
      <c r="H492" s="172" t="s">
        <v>20</v>
      </c>
      <c r="I492" s="175">
        <v>1</v>
      </c>
      <c r="J492" s="175" t="s">
        <v>18</v>
      </c>
      <c r="K492" s="175" t="s">
        <v>85</v>
      </c>
      <c r="L492" s="172" t="s">
        <v>86</v>
      </c>
    </row>
    <row r="493" spans="1:12" x14ac:dyDescent="0.2">
      <c r="A493" s="172" t="s">
        <v>83</v>
      </c>
      <c r="B493" s="172" t="s">
        <v>84</v>
      </c>
      <c r="C493" s="172" t="s">
        <v>14</v>
      </c>
      <c r="D493" s="172" t="s">
        <v>15</v>
      </c>
      <c r="E493" s="173">
        <v>42297</v>
      </c>
      <c r="F493" s="174">
        <v>49.547105999999999</v>
      </c>
      <c r="G493" s="175" t="s">
        <v>19</v>
      </c>
      <c r="H493" s="172" t="s">
        <v>20</v>
      </c>
      <c r="I493" s="175">
        <v>1</v>
      </c>
      <c r="J493" s="175" t="s">
        <v>18</v>
      </c>
      <c r="K493" s="175" t="s">
        <v>85</v>
      </c>
      <c r="L493" s="172" t="s">
        <v>86</v>
      </c>
    </row>
    <row r="494" spans="1:12" x14ac:dyDescent="0.2">
      <c r="A494" s="172" t="s">
        <v>83</v>
      </c>
      <c r="B494" s="172" t="s">
        <v>84</v>
      </c>
      <c r="C494" s="172" t="s">
        <v>14</v>
      </c>
      <c r="D494" s="172" t="s">
        <v>15</v>
      </c>
      <c r="E494" s="173">
        <v>42290</v>
      </c>
      <c r="F494" s="174">
        <v>20.5</v>
      </c>
      <c r="G494" s="175" t="s">
        <v>16</v>
      </c>
      <c r="H494" s="172" t="s">
        <v>17</v>
      </c>
      <c r="I494" s="175">
        <v>1</v>
      </c>
      <c r="J494" s="175" t="s">
        <v>18</v>
      </c>
      <c r="K494" s="175" t="s">
        <v>85</v>
      </c>
      <c r="L494" s="172" t="s">
        <v>86</v>
      </c>
    </row>
    <row r="495" spans="1:12" x14ac:dyDescent="0.2">
      <c r="A495" s="172" t="s">
        <v>83</v>
      </c>
      <c r="B495" s="172" t="s">
        <v>84</v>
      </c>
      <c r="C495" s="172" t="s">
        <v>14</v>
      </c>
      <c r="D495" s="172" t="s">
        <v>15</v>
      </c>
      <c r="E495" s="173">
        <v>42290</v>
      </c>
      <c r="F495" s="174">
        <v>87.707610000000003</v>
      </c>
      <c r="G495" s="175" t="s">
        <v>19</v>
      </c>
      <c r="H495" s="172" t="s">
        <v>17</v>
      </c>
      <c r="I495" s="175">
        <v>1</v>
      </c>
      <c r="J495" s="175" t="s">
        <v>18</v>
      </c>
      <c r="K495" s="175" t="s">
        <v>85</v>
      </c>
      <c r="L495" s="172" t="s">
        <v>86</v>
      </c>
    </row>
    <row r="496" spans="1:12" x14ac:dyDescent="0.2">
      <c r="A496" s="172" t="s">
        <v>83</v>
      </c>
      <c r="B496" s="172" t="s">
        <v>84</v>
      </c>
      <c r="C496" s="172" t="s">
        <v>14</v>
      </c>
      <c r="D496" s="172" t="s">
        <v>15</v>
      </c>
      <c r="E496" s="173">
        <v>42290</v>
      </c>
      <c r="F496" s="174">
        <v>11.1</v>
      </c>
      <c r="G496" s="175" t="s">
        <v>16</v>
      </c>
      <c r="H496" s="172" t="s">
        <v>20</v>
      </c>
      <c r="I496" s="175">
        <v>1</v>
      </c>
      <c r="J496" s="175" t="s">
        <v>18</v>
      </c>
      <c r="K496" s="175" t="s">
        <v>85</v>
      </c>
      <c r="L496" s="172" t="s">
        <v>86</v>
      </c>
    </row>
    <row r="497" spans="1:12" x14ac:dyDescent="0.2">
      <c r="A497" s="172" t="s">
        <v>83</v>
      </c>
      <c r="B497" s="172" t="s">
        <v>84</v>
      </c>
      <c r="C497" s="172" t="s">
        <v>14</v>
      </c>
      <c r="D497" s="172" t="s">
        <v>15</v>
      </c>
      <c r="E497" s="173">
        <v>42290</v>
      </c>
      <c r="F497" s="174">
        <v>47.490462000000001</v>
      </c>
      <c r="G497" s="175" t="s">
        <v>19</v>
      </c>
      <c r="H497" s="172" t="s">
        <v>20</v>
      </c>
      <c r="I497" s="175">
        <v>1</v>
      </c>
      <c r="J497" s="175" t="s">
        <v>18</v>
      </c>
      <c r="K497" s="175" t="s">
        <v>85</v>
      </c>
      <c r="L497" s="172" t="s">
        <v>86</v>
      </c>
    </row>
    <row r="498" spans="1:12" x14ac:dyDescent="0.2">
      <c r="A498" s="172" t="s">
        <v>83</v>
      </c>
      <c r="B498" s="172" t="s">
        <v>84</v>
      </c>
      <c r="C498" s="172" t="s">
        <v>14</v>
      </c>
      <c r="D498" s="172" t="s">
        <v>15</v>
      </c>
      <c r="E498" s="173">
        <v>42283</v>
      </c>
      <c r="F498" s="174">
        <v>17.7</v>
      </c>
      <c r="G498" s="175" t="s">
        <v>16</v>
      </c>
      <c r="H498" s="172" t="s">
        <v>17</v>
      </c>
      <c r="I498" s="175">
        <v>1</v>
      </c>
      <c r="J498" s="175" t="s">
        <v>18</v>
      </c>
      <c r="K498" s="175" t="s">
        <v>85</v>
      </c>
      <c r="L498" s="172" t="s">
        <v>86</v>
      </c>
    </row>
    <row r="499" spans="1:12" x14ac:dyDescent="0.2">
      <c r="A499" s="172" t="s">
        <v>83</v>
      </c>
      <c r="B499" s="172" t="s">
        <v>84</v>
      </c>
      <c r="C499" s="172" t="s">
        <v>14</v>
      </c>
      <c r="D499" s="172" t="s">
        <v>15</v>
      </c>
      <c r="E499" s="173">
        <v>42283</v>
      </c>
      <c r="F499" s="174">
        <v>84.732731900000005</v>
      </c>
      <c r="G499" s="175" t="s">
        <v>19</v>
      </c>
      <c r="H499" s="172" t="s">
        <v>17</v>
      </c>
      <c r="I499" s="175">
        <v>1</v>
      </c>
      <c r="J499" s="175" t="s">
        <v>18</v>
      </c>
      <c r="K499" s="175" t="s">
        <v>85</v>
      </c>
      <c r="L499" s="172" t="s">
        <v>86</v>
      </c>
    </row>
    <row r="500" spans="1:12" x14ac:dyDescent="0.2">
      <c r="A500" s="172" t="s">
        <v>83</v>
      </c>
      <c r="B500" s="172" t="s">
        <v>84</v>
      </c>
      <c r="C500" s="172" t="s">
        <v>14</v>
      </c>
      <c r="D500" s="172" t="s">
        <v>15</v>
      </c>
      <c r="E500" s="173">
        <v>42283</v>
      </c>
      <c r="F500" s="174">
        <v>9.67</v>
      </c>
      <c r="G500" s="175" t="s">
        <v>16</v>
      </c>
      <c r="H500" s="172" t="s">
        <v>20</v>
      </c>
      <c r="I500" s="175">
        <v>1</v>
      </c>
      <c r="J500" s="175" t="s">
        <v>18</v>
      </c>
      <c r="K500" s="175" t="s">
        <v>85</v>
      </c>
      <c r="L500" s="172" t="s">
        <v>86</v>
      </c>
    </row>
    <row r="501" spans="1:12" x14ac:dyDescent="0.2">
      <c r="A501" s="172" t="s">
        <v>83</v>
      </c>
      <c r="B501" s="172" t="s">
        <v>84</v>
      </c>
      <c r="C501" s="172" t="s">
        <v>14</v>
      </c>
      <c r="D501" s="172" t="s">
        <v>15</v>
      </c>
      <c r="E501" s="173">
        <v>42283</v>
      </c>
      <c r="F501" s="174">
        <v>46.291837100000002</v>
      </c>
      <c r="G501" s="175" t="s">
        <v>19</v>
      </c>
      <c r="H501" s="172" t="s">
        <v>20</v>
      </c>
      <c r="I501" s="175">
        <v>1</v>
      </c>
      <c r="J501" s="175" t="s">
        <v>18</v>
      </c>
      <c r="K501" s="175" t="s">
        <v>85</v>
      </c>
      <c r="L501" s="172" t="s">
        <v>86</v>
      </c>
    </row>
    <row r="502" spans="1:12" x14ac:dyDescent="0.2">
      <c r="A502" s="172" t="s">
        <v>83</v>
      </c>
      <c r="B502" s="172" t="s">
        <v>84</v>
      </c>
      <c r="C502" s="172" t="s">
        <v>14</v>
      </c>
      <c r="D502" s="172" t="s">
        <v>15</v>
      </c>
      <c r="E502" s="173">
        <v>42276</v>
      </c>
      <c r="F502" s="174">
        <v>18</v>
      </c>
      <c r="G502" s="175" t="s">
        <v>16</v>
      </c>
      <c r="H502" s="172" t="s">
        <v>17</v>
      </c>
      <c r="I502" s="175">
        <v>1</v>
      </c>
      <c r="J502" s="175" t="s">
        <v>18</v>
      </c>
      <c r="K502" s="175" t="s">
        <v>85</v>
      </c>
      <c r="L502" s="172" t="s">
        <v>86</v>
      </c>
    </row>
    <row r="503" spans="1:12" x14ac:dyDescent="0.2">
      <c r="A503" s="172" t="s">
        <v>83</v>
      </c>
      <c r="B503" s="172" t="s">
        <v>84</v>
      </c>
      <c r="C503" s="172" t="s">
        <v>14</v>
      </c>
      <c r="D503" s="172" t="s">
        <v>15</v>
      </c>
      <c r="E503" s="173">
        <v>42276</v>
      </c>
      <c r="F503" s="174">
        <v>109.73772</v>
      </c>
      <c r="G503" s="175" t="s">
        <v>19</v>
      </c>
      <c r="H503" s="172" t="s">
        <v>17</v>
      </c>
      <c r="I503" s="175">
        <v>1</v>
      </c>
      <c r="J503" s="175" t="s">
        <v>18</v>
      </c>
      <c r="K503" s="175" t="s">
        <v>85</v>
      </c>
      <c r="L503" s="172" t="s">
        <v>86</v>
      </c>
    </row>
    <row r="504" spans="1:12" x14ac:dyDescent="0.2">
      <c r="A504" s="172" t="s">
        <v>83</v>
      </c>
      <c r="B504" s="172" t="s">
        <v>84</v>
      </c>
      <c r="C504" s="172" t="s">
        <v>14</v>
      </c>
      <c r="D504" s="172" t="s">
        <v>15</v>
      </c>
      <c r="E504" s="173">
        <v>42276</v>
      </c>
      <c r="F504" s="174">
        <v>8.4</v>
      </c>
      <c r="G504" s="175" t="s">
        <v>16</v>
      </c>
      <c r="H504" s="172" t="s">
        <v>20</v>
      </c>
      <c r="I504" s="175">
        <v>1</v>
      </c>
      <c r="J504" s="175" t="s">
        <v>18</v>
      </c>
      <c r="K504" s="175" t="s">
        <v>85</v>
      </c>
      <c r="L504" s="172" t="s">
        <v>86</v>
      </c>
    </row>
    <row r="505" spans="1:12" x14ac:dyDescent="0.2">
      <c r="A505" s="172" t="s">
        <v>83</v>
      </c>
      <c r="B505" s="172" t="s">
        <v>84</v>
      </c>
      <c r="C505" s="172" t="s">
        <v>14</v>
      </c>
      <c r="D505" s="172" t="s">
        <v>15</v>
      </c>
      <c r="E505" s="173">
        <v>42276</v>
      </c>
      <c r="F505" s="174">
        <v>51.210935999999997</v>
      </c>
      <c r="G505" s="175" t="s">
        <v>19</v>
      </c>
      <c r="H505" s="172" t="s">
        <v>20</v>
      </c>
      <c r="I505" s="175">
        <v>1</v>
      </c>
      <c r="J505" s="175" t="s">
        <v>18</v>
      </c>
      <c r="K505" s="175" t="s">
        <v>85</v>
      </c>
      <c r="L505" s="172" t="s">
        <v>86</v>
      </c>
    </row>
    <row r="506" spans="1:12" x14ac:dyDescent="0.2">
      <c r="A506" s="172" t="s">
        <v>83</v>
      </c>
      <c r="B506" s="172" t="s">
        <v>84</v>
      </c>
      <c r="C506" s="172" t="s">
        <v>14</v>
      </c>
      <c r="D506" s="172" t="s">
        <v>15</v>
      </c>
      <c r="E506" s="173">
        <v>42269</v>
      </c>
      <c r="F506" s="174">
        <v>12.7</v>
      </c>
      <c r="G506" s="175" t="s">
        <v>16</v>
      </c>
      <c r="H506" s="172" t="s">
        <v>17</v>
      </c>
      <c r="I506" s="175">
        <v>1</v>
      </c>
      <c r="J506" s="175" t="s">
        <v>18</v>
      </c>
      <c r="K506" s="175" t="s">
        <v>85</v>
      </c>
      <c r="L506" s="172" t="s">
        <v>86</v>
      </c>
    </row>
    <row r="507" spans="1:12" x14ac:dyDescent="0.2">
      <c r="A507" s="172" t="s">
        <v>83</v>
      </c>
      <c r="B507" s="172" t="s">
        <v>84</v>
      </c>
      <c r="C507" s="172" t="s">
        <v>14</v>
      </c>
      <c r="D507" s="172" t="s">
        <v>15</v>
      </c>
      <c r="E507" s="173">
        <v>42269</v>
      </c>
      <c r="F507" s="174">
        <v>82.721957900000007</v>
      </c>
      <c r="G507" s="175" t="s">
        <v>19</v>
      </c>
      <c r="H507" s="172" t="s">
        <v>17</v>
      </c>
      <c r="I507" s="175">
        <v>1</v>
      </c>
      <c r="J507" s="175" t="s">
        <v>18</v>
      </c>
      <c r="K507" s="175" t="s">
        <v>85</v>
      </c>
      <c r="L507" s="172" t="s">
        <v>86</v>
      </c>
    </row>
    <row r="508" spans="1:12" x14ac:dyDescent="0.2">
      <c r="A508" s="172" t="s">
        <v>83</v>
      </c>
      <c r="B508" s="172" t="s">
        <v>84</v>
      </c>
      <c r="C508" s="172" t="s">
        <v>14</v>
      </c>
      <c r="D508" s="172" t="s">
        <v>15</v>
      </c>
      <c r="E508" s="173">
        <v>42269</v>
      </c>
      <c r="F508" s="174">
        <v>7.32</v>
      </c>
      <c r="G508" s="175" t="s">
        <v>16</v>
      </c>
      <c r="H508" s="172" t="s">
        <v>20</v>
      </c>
      <c r="I508" s="175">
        <v>1</v>
      </c>
      <c r="J508" s="175" t="s">
        <v>18</v>
      </c>
      <c r="K508" s="175" t="s">
        <v>85</v>
      </c>
      <c r="L508" s="172" t="s">
        <v>86</v>
      </c>
    </row>
    <row r="509" spans="1:12" x14ac:dyDescent="0.2">
      <c r="A509" s="172" t="s">
        <v>83</v>
      </c>
      <c r="B509" s="172" t="s">
        <v>84</v>
      </c>
      <c r="C509" s="172" t="s">
        <v>14</v>
      </c>
      <c r="D509" s="172" t="s">
        <v>15</v>
      </c>
      <c r="E509" s="173">
        <v>42269</v>
      </c>
      <c r="F509" s="174">
        <v>47.679112799999999</v>
      </c>
      <c r="G509" s="175" t="s">
        <v>19</v>
      </c>
      <c r="H509" s="172" t="s">
        <v>20</v>
      </c>
      <c r="I509" s="175">
        <v>1</v>
      </c>
      <c r="J509" s="175" t="s">
        <v>18</v>
      </c>
      <c r="K509" s="175" t="s">
        <v>85</v>
      </c>
      <c r="L509" s="172" t="s">
        <v>86</v>
      </c>
    </row>
    <row r="510" spans="1:12" x14ac:dyDescent="0.2">
      <c r="A510" s="172" t="s">
        <v>83</v>
      </c>
      <c r="B510" s="172" t="s">
        <v>84</v>
      </c>
      <c r="C510" s="172" t="s">
        <v>14</v>
      </c>
      <c r="D510" s="172" t="s">
        <v>15</v>
      </c>
      <c r="E510" s="173">
        <v>42262</v>
      </c>
      <c r="F510" s="174">
        <v>10.7</v>
      </c>
      <c r="G510" s="175" t="s">
        <v>16</v>
      </c>
      <c r="H510" s="172" t="s">
        <v>17</v>
      </c>
      <c r="I510" s="175">
        <v>1</v>
      </c>
      <c r="J510" s="175" t="s">
        <v>18</v>
      </c>
      <c r="K510" s="175" t="s">
        <v>85</v>
      </c>
      <c r="L510" s="172" t="s">
        <v>86</v>
      </c>
    </row>
    <row r="511" spans="1:12" x14ac:dyDescent="0.2">
      <c r="A511" s="172" t="s">
        <v>83</v>
      </c>
      <c r="B511" s="172" t="s">
        <v>84</v>
      </c>
      <c r="C511" s="172" t="s">
        <v>14</v>
      </c>
      <c r="D511" s="172" t="s">
        <v>15</v>
      </c>
      <c r="E511" s="173">
        <v>42262</v>
      </c>
      <c r="F511" s="174">
        <v>96.377039999999994</v>
      </c>
      <c r="G511" s="175" t="s">
        <v>19</v>
      </c>
      <c r="H511" s="172" t="s">
        <v>17</v>
      </c>
      <c r="I511" s="175">
        <v>1</v>
      </c>
      <c r="J511" s="175" t="s">
        <v>18</v>
      </c>
      <c r="K511" s="175" t="s">
        <v>85</v>
      </c>
      <c r="L511" s="172" t="s">
        <v>86</v>
      </c>
    </row>
    <row r="512" spans="1:12" x14ac:dyDescent="0.2">
      <c r="A512" s="172" t="s">
        <v>83</v>
      </c>
      <c r="B512" s="172" t="s">
        <v>84</v>
      </c>
      <c r="C512" s="172" t="s">
        <v>14</v>
      </c>
      <c r="D512" s="172" t="s">
        <v>15</v>
      </c>
      <c r="E512" s="173">
        <v>42262</v>
      </c>
      <c r="F512" s="174">
        <v>8.09</v>
      </c>
      <c r="G512" s="175" t="s">
        <v>16</v>
      </c>
      <c r="H512" s="172" t="s">
        <v>20</v>
      </c>
      <c r="I512" s="175">
        <v>1</v>
      </c>
      <c r="J512" s="175" t="s">
        <v>18</v>
      </c>
      <c r="K512" s="175" t="s">
        <v>85</v>
      </c>
      <c r="L512" s="172" t="s">
        <v>86</v>
      </c>
    </row>
    <row r="513" spans="1:12" x14ac:dyDescent="0.2">
      <c r="A513" s="172" t="s">
        <v>83</v>
      </c>
      <c r="B513" s="172" t="s">
        <v>84</v>
      </c>
      <c r="C513" s="172" t="s">
        <v>14</v>
      </c>
      <c r="D513" s="172" t="s">
        <v>15</v>
      </c>
      <c r="E513" s="173">
        <v>42262</v>
      </c>
      <c r="F513" s="174">
        <v>72.868247999999994</v>
      </c>
      <c r="G513" s="175" t="s">
        <v>19</v>
      </c>
      <c r="H513" s="172" t="s">
        <v>20</v>
      </c>
      <c r="I513" s="175">
        <v>1</v>
      </c>
      <c r="J513" s="175" t="s">
        <v>18</v>
      </c>
      <c r="K513" s="175" t="s">
        <v>85</v>
      </c>
      <c r="L513" s="172" t="s">
        <v>86</v>
      </c>
    </row>
    <row r="514" spans="1:12" x14ac:dyDescent="0.2">
      <c r="A514" s="172" t="s">
        <v>83</v>
      </c>
      <c r="B514" s="172" t="s">
        <v>84</v>
      </c>
      <c r="C514" s="172" t="s">
        <v>14</v>
      </c>
      <c r="D514" s="172" t="s">
        <v>15</v>
      </c>
      <c r="E514" s="173">
        <v>42255</v>
      </c>
      <c r="F514" s="174">
        <v>10.7</v>
      </c>
      <c r="G514" s="175" t="s">
        <v>16</v>
      </c>
      <c r="H514" s="172" t="s">
        <v>17</v>
      </c>
      <c r="I514" s="175">
        <v>1</v>
      </c>
      <c r="J514" s="175" t="s">
        <v>18</v>
      </c>
      <c r="K514" s="175" t="s">
        <v>85</v>
      </c>
      <c r="L514" s="172" t="s">
        <v>86</v>
      </c>
    </row>
    <row r="515" spans="1:12" x14ac:dyDescent="0.2">
      <c r="A515" s="172" t="s">
        <v>83</v>
      </c>
      <c r="B515" s="172" t="s">
        <v>84</v>
      </c>
      <c r="C515" s="172" t="s">
        <v>14</v>
      </c>
      <c r="D515" s="172" t="s">
        <v>15</v>
      </c>
      <c r="E515" s="173">
        <v>42255</v>
      </c>
      <c r="F515" s="174">
        <v>127.6103399</v>
      </c>
      <c r="G515" s="175" t="s">
        <v>19</v>
      </c>
      <c r="H515" s="172" t="s">
        <v>17</v>
      </c>
      <c r="I515" s="175">
        <v>1</v>
      </c>
      <c r="J515" s="175" t="s">
        <v>18</v>
      </c>
      <c r="K515" s="175" t="s">
        <v>85</v>
      </c>
      <c r="L515" s="172" t="s">
        <v>86</v>
      </c>
    </row>
    <row r="516" spans="1:12" x14ac:dyDescent="0.2">
      <c r="A516" s="172" t="s">
        <v>83</v>
      </c>
      <c r="B516" s="172" t="s">
        <v>84</v>
      </c>
      <c r="C516" s="172" t="s">
        <v>14</v>
      </c>
      <c r="D516" s="172" t="s">
        <v>15</v>
      </c>
      <c r="E516" s="173">
        <v>42255</v>
      </c>
      <c r="F516" s="174">
        <v>7.16</v>
      </c>
      <c r="G516" s="175" t="s">
        <v>16</v>
      </c>
      <c r="H516" s="172" t="s">
        <v>20</v>
      </c>
      <c r="I516" s="175">
        <v>1</v>
      </c>
      <c r="J516" s="175" t="s">
        <v>18</v>
      </c>
      <c r="K516" s="175" t="s">
        <v>85</v>
      </c>
      <c r="L516" s="172" t="s">
        <v>86</v>
      </c>
    </row>
    <row r="517" spans="1:12" x14ac:dyDescent="0.2">
      <c r="A517" s="172" t="s">
        <v>83</v>
      </c>
      <c r="B517" s="172" t="s">
        <v>84</v>
      </c>
      <c r="C517" s="172" t="s">
        <v>14</v>
      </c>
      <c r="D517" s="172" t="s">
        <v>15</v>
      </c>
      <c r="E517" s="173">
        <v>42255</v>
      </c>
      <c r="F517" s="174">
        <v>85.391591899999995</v>
      </c>
      <c r="G517" s="175" t="s">
        <v>19</v>
      </c>
      <c r="H517" s="172" t="s">
        <v>20</v>
      </c>
      <c r="I517" s="175">
        <v>1</v>
      </c>
      <c r="J517" s="175" t="s">
        <v>18</v>
      </c>
      <c r="K517" s="175" t="s">
        <v>85</v>
      </c>
      <c r="L517" s="172" t="s">
        <v>86</v>
      </c>
    </row>
    <row r="518" spans="1:12" x14ac:dyDescent="0.2">
      <c r="A518" s="172" t="s">
        <v>83</v>
      </c>
      <c r="B518" s="172" t="s">
        <v>84</v>
      </c>
      <c r="C518" s="172" t="s">
        <v>14</v>
      </c>
      <c r="D518" s="172" t="s">
        <v>15</v>
      </c>
      <c r="E518" s="173">
        <v>42248</v>
      </c>
      <c r="F518" s="174">
        <v>10.6</v>
      </c>
      <c r="G518" s="175" t="s">
        <v>16</v>
      </c>
      <c r="H518" s="172" t="s">
        <v>17</v>
      </c>
      <c r="I518" s="175">
        <v>1</v>
      </c>
      <c r="J518" s="175" t="s">
        <v>18</v>
      </c>
      <c r="K518" s="175" t="s">
        <v>85</v>
      </c>
      <c r="L518" s="172" t="s">
        <v>86</v>
      </c>
    </row>
    <row r="519" spans="1:12" x14ac:dyDescent="0.2">
      <c r="A519" s="172" t="s">
        <v>83</v>
      </c>
      <c r="B519" s="172" t="s">
        <v>84</v>
      </c>
      <c r="C519" s="172" t="s">
        <v>14</v>
      </c>
      <c r="D519" s="172" t="s">
        <v>15</v>
      </c>
      <c r="E519" s="173">
        <v>42248</v>
      </c>
      <c r="F519" s="174">
        <v>132.60599999999999</v>
      </c>
      <c r="G519" s="175" t="s">
        <v>19</v>
      </c>
      <c r="H519" s="172" t="s">
        <v>17</v>
      </c>
      <c r="I519" s="175">
        <v>1</v>
      </c>
      <c r="J519" s="175" t="s">
        <v>18</v>
      </c>
      <c r="K519" s="175" t="s">
        <v>85</v>
      </c>
      <c r="L519" s="172" t="s">
        <v>86</v>
      </c>
    </row>
    <row r="520" spans="1:12" x14ac:dyDescent="0.2">
      <c r="A520" s="172" t="s">
        <v>83</v>
      </c>
      <c r="B520" s="172" t="s">
        <v>84</v>
      </c>
      <c r="C520" s="172" t="s">
        <v>14</v>
      </c>
      <c r="D520" s="172" t="s">
        <v>15</v>
      </c>
      <c r="E520" s="173">
        <v>42248</v>
      </c>
      <c r="F520" s="174">
        <v>7.5</v>
      </c>
      <c r="G520" s="175" t="s">
        <v>16</v>
      </c>
      <c r="H520" s="172" t="s">
        <v>20</v>
      </c>
      <c r="I520" s="175">
        <v>1</v>
      </c>
      <c r="J520" s="175" t="s">
        <v>18</v>
      </c>
      <c r="K520" s="175" t="s">
        <v>85</v>
      </c>
      <c r="L520" s="172" t="s">
        <v>86</v>
      </c>
    </row>
    <row r="521" spans="1:12" x14ac:dyDescent="0.2">
      <c r="A521" s="172" t="s">
        <v>83</v>
      </c>
      <c r="B521" s="172" t="s">
        <v>84</v>
      </c>
      <c r="C521" s="172" t="s">
        <v>14</v>
      </c>
      <c r="D521" s="172" t="s">
        <v>15</v>
      </c>
      <c r="E521" s="173">
        <v>42248</v>
      </c>
      <c r="F521" s="174">
        <v>93.825000000000003</v>
      </c>
      <c r="G521" s="175" t="s">
        <v>19</v>
      </c>
      <c r="H521" s="172" t="s">
        <v>20</v>
      </c>
      <c r="I521" s="175">
        <v>1</v>
      </c>
      <c r="J521" s="175" t="s">
        <v>18</v>
      </c>
      <c r="K521" s="175" t="s">
        <v>85</v>
      </c>
      <c r="L521" s="172" t="s">
        <v>86</v>
      </c>
    </row>
    <row r="522" spans="1:12" x14ac:dyDescent="0.2">
      <c r="A522" s="172" t="s">
        <v>83</v>
      </c>
      <c r="B522" s="172" t="s">
        <v>84</v>
      </c>
      <c r="C522" s="172" t="s">
        <v>14</v>
      </c>
      <c r="D522" s="172" t="s">
        <v>15</v>
      </c>
      <c r="E522" s="173">
        <v>42241</v>
      </c>
      <c r="F522" s="174">
        <v>17.5</v>
      </c>
      <c r="G522" s="175" t="s">
        <v>16</v>
      </c>
      <c r="H522" s="172" t="s">
        <v>17</v>
      </c>
      <c r="I522" s="175">
        <v>1</v>
      </c>
      <c r="J522" s="175" t="s">
        <v>18</v>
      </c>
      <c r="K522" s="175" t="s">
        <v>85</v>
      </c>
      <c r="L522" s="172" t="s">
        <v>86</v>
      </c>
    </row>
    <row r="523" spans="1:12" x14ac:dyDescent="0.2">
      <c r="A523" s="172" t="s">
        <v>83</v>
      </c>
      <c r="B523" s="172" t="s">
        <v>84</v>
      </c>
      <c r="C523" s="172" t="s">
        <v>14</v>
      </c>
      <c r="D523" s="172" t="s">
        <v>15</v>
      </c>
      <c r="E523" s="173">
        <v>42241</v>
      </c>
      <c r="F523" s="174">
        <v>85.526699899999997</v>
      </c>
      <c r="G523" s="175" t="s">
        <v>19</v>
      </c>
      <c r="H523" s="172" t="s">
        <v>17</v>
      </c>
      <c r="I523" s="175">
        <v>1</v>
      </c>
      <c r="J523" s="175" t="s">
        <v>18</v>
      </c>
      <c r="K523" s="175" t="s">
        <v>85</v>
      </c>
      <c r="L523" s="172" t="s">
        <v>86</v>
      </c>
    </row>
    <row r="524" spans="1:12" x14ac:dyDescent="0.2">
      <c r="A524" s="172" t="s">
        <v>83</v>
      </c>
      <c r="B524" s="172" t="s">
        <v>84</v>
      </c>
      <c r="C524" s="172" t="s">
        <v>14</v>
      </c>
      <c r="D524" s="172" t="s">
        <v>15</v>
      </c>
      <c r="E524" s="173">
        <v>42241</v>
      </c>
      <c r="F524" s="174">
        <v>11.6</v>
      </c>
      <c r="G524" s="175" t="s">
        <v>16</v>
      </c>
      <c r="H524" s="172" t="s">
        <v>20</v>
      </c>
      <c r="I524" s="175">
        <v>1</v>
      </c>
      <c r="J524" s="175" t="s">
        <v>18</v>
      </c>
      <c r="K524" s="175" t="s">
        <v>85</v>
      </c>
      <c r="L524" s="172" t="s">
        <v>86</v>
      </c>
    </row>
    <row r="525" spans="1:12" x14ac:dyDescent="0.2">
      <c r="A525" s="172" t="s">
        <v>83</v>
      </c>
      <c r="B525" s="172" t="s">
        <v>84</v>
      </c>
      <c r="C525" s="172" t="s">
        <v>14</v>
      </c>
      <c r="D525" s="172" t="s">
        <v>15</v>
      </c>
      <c r="E525" s="173">
        <v>42241</v>
      </c>
      <c r="F525" s="174">
        <v>56.691983899999997</v>
      </c>
      <c r="G525" s="175" t="s">
        <v>19</v>
      </c>
      <c r="H525" s="172" t="s">
        <v>20</v>
      </c>
      <c r="I525" s="175">
        <v>1</v>
      </c>
      <c r="J525" s="175" t="s">
        <v>18</v>
      </c>
      <c r="K525" s="175" t="s">
        <v>85</v>
      </c>
      <c r="L525" s="172" t="s">
        <v>86</v>
      </c>
    </row>
    <row r="526" spans="1:12" x14ac:dyDescent="0.2">
      <c r="A526" s="172" t="s">
        <v>83</v>
      </c>
      <c r="B526" s="172" t="s">
        <v>84</v>
      </c>
      <c r="C526" s="172" t="s">
        <v>14</v>
      </c>
      <c r="D526" s="172" t="s">
        <v>15</v>
      </c>
      <c r="E526" s="173">
        <v>42234</v>
      </c>
      <c r="F526" s="174">
        <v>24</v>
      </c>
      <c r="G526" s="175" t="s">
        <v>16</v>
      </c>
      <c r="H526" s="172" t="s">
        <v>17</v>
      </c>
      <c r="I526" s="175">
        <v>1</v>
      </c>
      <c r="J526" s="175" t="s">
        <v>18</v>
      </c>
      <c r="K526" s="175" t="s">
        <v>85</v>
      </c>
      <c r="L526" s="172" t="s">
        <v>86</v>
      </c>
    </row>
    <row r="527" spans="1:12" x14ac:dyDescent="0.2">
      <c r="A527" s="172" t="s">
        <v>83</v>
      </c>
      <c r="B527" s="172" t="s">
        <v>84</v>
      </c>
      <c r="C527" s="172" t="s">
        <v>14</v>
      </c>
      <c r="D527" s="172" t="s">
        <v>15</v>
      </c>
      <c r="E527" s="173">
        <v>42234</v>
      </c>
      <c r="F527" s="174">
        <v>86.268959899999999</v>
      </c>
      <c r="G527" s="175" t="s">
        <v>19</v>
      </c>
      <c r="H527" s="172" t="s">
        <v>17</v>
      </c>
      <c r="I527" s="175">
        <v>1</v>
      </c>
      <c r="J527" s="175" t="s">
        <v>18</v>
      </c>
      <c r="K527" s="175" t="s">
        <v>85</v>
      </c>
      <c r="L527" s="172" t="s">
        <v>86</v>
      </c>
    </row>
    <row r="528" spans="1:12" x14ac:dyDescent="0.2">
      <c r="A528" s="172" t="s">
        <v>83</v>
      </c>
      <c r="B528" s="172" t="s">
        <v>84</v>
      </c>
      <c r="C528" s="172" t="s">
        <v>14</v>
      </c>
      <c r="D528" s="172" t="s">
        <v>15</v>
      </c>
      <c r="E528" s="173">
        <v>42234</v>
      </c>
      <c r="F528" s="174">
        <v>11.6</v>
      </c>
      <c r="G528" s="175" t="s">
        <v>16</v>
      </c>
      <c r="H528" s="172" t="s">
        <v>20</v>
      </c>
      <c r="I528" s="175">
        <v>1</v>
      </c>
      <c r="J528" s="175" t="s">
        <v>18</v>
      </c>
      <c r="K528" s="175" t="s">
        <v>85</v>
      </c>
      <c r="L528" s="172" t="s">
        <v>86</v>
      </c>
    </row>
    <row r="529" spans="1:12" x14ac:dyDescent="0.2">
      <c r="A529" s="172" t="s">
        <v>83</v>
      </c>
      <c r="B529" s="172" t="s">
        <v>84</v>
      </c>
      <c r="C529" s="172" t="s">
        <v>14</v>
      </c>
      <c r="D529" s="172" t="s">
        <v>15</v>
      </c>
      <c r="E529" s="173">
        <v>42234</v>
      </c>
      <c r="F529" s="174">
        <v>41.696663999999998</v>
      </c>
      <c r="G529" s="175" t="s">
        <v>19</v>
      </c>
      <c r="H529" s="172" t="s">
        <v>20</v>
      </c>
      <c r="I529" s="175">
        <v>1</v>
      </c>
      <c r="J529" s="175" t="s">
        <v>18</v>
      </c>
      <c r="K529" s="175" t="s">
        <v>85</v>
      </c>
      <c r="L529" s="172" t="s">
        <v>86</v>
      </c>
    </row>
    <row r="530" spans="1:12" x14ac:dyDescent="0.2">
      <c r="A530" s="172" t="s">
        <v>83</v>
      </c>
      <c r="B530" s="172" t="s">
        <v>84</v>
      </c>
      <c r="C530" s="172" t="s">
        <v>14</v>
      </c>
      <c r="D530" s="172" t="s">
        <v>15</v>
      </c>
      <c r="E530" s="173">
        <v>42227</v>
      </c>
      <c r="F530" s="174">
        <v>18.2</v>
      </c>
      <c r="G530" s="175" t="s">
        <v>16</v>
      </c>
      <c r="H530" s="172" t="s">
        <v>17</v>
      </c>
      <c r="I530" s="175">
        <v>1</v>
      </c>
      <c r="J530" s="175" t="s">
        <v>18</v>
      </c>
      <c r="K530" s="175" t="s">
        <v>85</v>
      </c>
      <c r="L530" s="172" t="s">
        <v>86</v>
      </c>
    </row>
    <row r="531" spans="1:12" x14ac:dyDescent="0.2">
      <c r="A531" s="172" t="s">
        <v>83</v>
      </c>
      <c r="B531" s="172" t="s">
        <v>84</v>
      </c>
      <c r="C531" s="172" t="s">
        <v>14</v>
      </c>
      <c r="D531" s="172" t="s">
        <v>15</v>
      </c>
      <c r="E531" s="173">
        <v>42227</v>
      </c>
      <c r="F531" s="174">
        <v>81.206580000000002</v>
      </c>
      <c r="G531" s="175" t="s">
        <v>19</v>
      </c>
      <c r="H531" s="172" t="s">
        <v>17</v>
      </c>
      <c r="I531" s="175">
        <v>1</v>
      </c>
      <c r="J531" s="175" t="s">
        <v>18</v>
      </c>
      <c r="K531" s="175" t="s">
        <v>85</v>
      </c>
      <c r="L531" s="172" t="s">
        <v>86</v>
      </c>
    </row>
    <row r="532" spans="1:12" x14ac:dyDescent="0.2">
      <c r="A532" s="172" t="s">
        <v>83</v>
      </c>
      <c r="B532" s="172" t="s">
        <v>84</v>
      </c>
      <c r="C532" s="172" t="s">
        <v>14</v>
      </c>
      <c r="D532" s="172" t="s">
        <v>15</v>
      </c>
      <c r="E532" s="173">
        <v>42227</v>
      </c>
      <c r="F532" s="174">
        <v>7.18</v>
      </c>
      <c r="G532" s="175" t="s">
        <v>16</v>
      </c>
      <c r="H532" s="172" t="s">
        <v>20</v>
      </c>
      <c r="I532" s="175">
        <v>1</v>
      </c>
      <c r="J532" s="175" t="s">
        <v>18</v>
      </c>
      <c r="K532" s="175" t="s">
        <v>85</v>
      </c>
      <c r="L532" s="172" t="s">
        <v>86</v>
      </c>
    </row>
    <row r="533" spans="1:12" x14ac:dyDescent="0.2">
      <c r="A533" s="172" t="s">
        <v>83</v>
      </c>
      <c r="B533" s="172" t="s">
        <v>84</v>
      </c>
      <c r="C533" s="172" t="s">
        <v>14</v>
      </c>
      <c r="D533" s="172" t="s">
        <v>15</v>
      </c>
      <c r="E533" s="173">
        <v>42227</v>
      </c>
      <c r="F533" s="174">
        <v>32.036442000000001</v>
      </c>
      <c r="G533" s="175" t="s">
        <v>19</v>
      </c>
      <c r="H533" s="172" t="s">
        <v>20</v>
      </c>
      <c r="I533" s="175">
        <v>1</v>
      </c>
      <c r="J533" s="175" t="s">
        <v>18</v>
      </c>
      <c r="K533" s="175" t="s">
        <v>85</v>
      </c>
      <c r="L533" s="172" t="s">
        <v>86</v>
      </c>
    </row>
    <row r="534" spans="1:12" x14ac:dyDescent="0.2">
      <c r="A534" s="172" t="s">
        <v>83</v>
      </c>
      <c r="B534" s="172" t="s">
        <v>84</v>
      </c>
      <c r="C534" s="172" t="s">
        <v>14</v>
      </c>
      <c r="D534" s="172" t="s">
        <v>15</v>
      </c>
      <c r="E534" s="173">
        <v>42220</v>
      </c>
      <c r="F534" s="174">
        <v>21.5</v>
      </c>
      <c r="G534" s="175" t="s">
        <v>16</v>
      </c>
      <c r="H534" s="172" t="s">
        <v>17</v>
      </c>
      <c r="I534" s="175">
        <v>1</v>
      </c>
      <c r="J534" s="175" t="s">
        <v>18</v>
      </c>
      <c r="K534" s="175" t="s">
        <v>85</v>
      </c>
      <c r="L534" s="172" t="s">
        <v>86</v>
      </c>
    </row>
    <row r="535" spans="1:12" x14ac:dyDescent="0.2">
      <c r="A535" s="172" t="s">
        <v>83</v>
      </c>
      <c r="B535" s="172" t="s">
        <v>84</v>
      </c>
      <c r="C535" s="172" t="s">
        <v>14</v>
      </c>
      <c r="D535" s="172" t="s">
        <v>15</v>
      </c>
      <c r="E535" s="173">
        <v>42220</v>
      </c>
      <c r="F535" s="174">
        <v>90.910169999999994</v>
      </c>
      <c r="G535" s="175" t="s">
        <v>19</v>
      </c>
      <c r="H535" s="172" t="s">
        <v>17</v>
      </c>
      <c r="I535" s="175">
        <v>1</v>
      </c>
      <c r="J535" s="175" t="s">
        <v>18</v>
      </c>
      <c r="K535" s="175" t="s">
        <v>85</v>
      </c>
      <c r="L535" s="172" t="s">
        <v>86</v>
      </c>
    </row>
    <row r="536" spans="1:12" x14ac:dyDescent="0.2">
      <c r="A536" s="172" t="s">
        <v>83</v>
      </c>
      <c r="B536" s="172" t="s">
        <v>84</v>
      </c>
      <c r="C536" s="172" t="s">
        <v>14</v>
      </c>
      <c r="D536" s="172" t="s">
        <v>15</v>
      </c>
      <c r="E536" s="173">
        <v>42220</v>
      </c>
      <c r="F536" s="174">
        <v>6.76</v>
      </c>
      <c r="G536" s="175" t="s">
        <v>16</v>
      </c>
      <c r="H536" s="172" t="s">
        <v>20</v>
      </c>
      <c r="I536" s="175">
        <v>1</v>
      </c>
      <c r="J536" s="175" t="s">
        <v>18</v>
      </c>
      <c r="K536" s="175" t="s">
        <v>85</v>
      </c>
      <c r="L536" s="172" t="s">
        <v>86</v>
      </c>
    </row>
    <row r="537" spans="1:12" x14ac:dyDescent="0.2">
      <c r="A537" s="172" t="s">
        <v>83</v>
      </c>
      <c r="B537" s="172" t="s">
        <v>84</v>
      </c>
      <c r="C537" s="172" t="s">
        <v>14</v>
      </c>
      <c r="D537" s="172" t="s">
        <v>15</v>
      </c>
      <c r="E537" s="173">
        <v>42220</v>
      </c>
      <c r="F537" s="174">
        <v>28.583848799999998</v>
      </c>
      <c r="G537" s="175" t="s">
        <v>19</v>
      </c>
      <c r="H537" s="172" t="s">
        <v>20</v>
      </c>
      <c r="I537" s="175">
        <v>1</v>
      </c>
      <c r="J537" s="175" t="s">
        <v>18</v>
      </c>
      <c r="K537" s="175" t="s">
        <v>85</v>
      </c>
      <c r="L537" s="172" t="s">
        <v>86</v>
      </c>
    </row>
    <row r="538" spans="1:12" x14ac:dyDescent="0.2">
      <c r="A538" s="172" t="s">
        <v>83</v>
      </c>
      <c r="B538" s="172" t="s">
        <v>84</v>
      </c>
      <c r="C538" s="172" t="s">
        <v>14</v>
      </c>
      <c r="D538" s="172" t="s">
        <v>15</v>
      </c>
      <c r="E538" s="173">
        <v>42213</v>
      </c>
      <c r="F538" s="174">
        <v>21</v>
      </c>
      <c r="G538" s="175" t="s">
        <v>16</v>
      </c>
      <c r="H538" s="172" t="s">
        <v>17</v>
      </c>
      <c r="I538" s="175">
        <v>1</v>
      </c>
      <c r="J538" s="175" t="s">
        <v>18</v>
      </c>
      <c r="K538" s="175" t="s">
        <v>85</v>
      </c>
      <c r="L538" s="172" t="s">
        <v>86</v>
      </c>
    </row>
    <row r="539" spans="1:12" x14ac:dyDescent="0.2">
      <c r="A539" s="172" t="s">
        <v>83</v>
      </c>
      <c r="B539" s="172" t="s">
        <v>84</v>
      </c>
      <c r="C539" s="172" t="s">
        <v>14</v>
      </c>
      <c r="D539" s="172" t="s">
        <v>15</v>
      </c>
      <c r="E539" s="173">
        <v>42213</v>
      </c>
      <c r="F539" s="174">
        <v>104.03316</v>
      </c>
      <c r="G539" s="175" t="s">
        <v>19</v>
      </c>
      <c r="H539" s="172" t="s">
        <v>17</v>
      </c>
      <c r="I539" s="175">
        <v>1</v>
      </c>
      <c r="J539" s="175" t="s">
        <v>18</v>
      </c>
      <c r="K539" s="175" t="s">
        <v>85</v>
      </c>
      <c r="L539" s="172" t="s">
        <v>86</v>
      </c>
    </row>
    <row r="540" spans="1:12" x14ac:dyDescent="0.2">
      <c r="A540" s="172" t="s">
        <v>83</v>
      </c>
      <c r="B540" s="172" t="s">
        <v>84</v>
      </c>
      <c r="C540" s="172" t="s">
        <v>14</v>
      </c>
      <c r="D540" s="172" t="s">
        <v>15</v>
      </c>
      <c r="E540" s="173">
        <v>42213</v>
      </c>
      <c r="F540" s="174">
        <v>7.02</v>
      </c>
      <c r="G540" s="175" t="s">
        <v>16</v>
      </c>
      <c r="H540" s="172" t="s">
        <v>20</v>
      </c>
      <c r="I540" s="175">
        <v>1</v>
      </c>
      <c r="J540" s="175" t="s">
        <v>18</v>
      </c>
      <c r="K540" s="175" t="s">
        <v>85</v>
      </c>
      <c r="L540" s="172" t="s">
        <v>86</v>
      </c>
    </row>
    <row r="541" spans="1:12" x14ac:dyDescent="0.2">
      <c r="A541" s="172" t="s">
        <v>83</v>
      </c>
      <c r="B541" s="172" t="s">
        <v>84</v>
      </c>
      <c r="C541" s="172" t="s">
        <v>14</v>
      </c>
      <c r="D541" s="172" t="s">
        <v>15</v>
      </c>
      <c r="E541" s="173">
        <v>42213</v>
      </c>
      <c r="F541" s="174">
        <v>34.776799099999998</v>
      </c>
      <c r="G541" s="175" t="s">
        <v>19</v>
      </c>
      <c r="H541" s="172" t="s">
        <v>20</v>
      </c>
      <c r="I541" s="175">
        <v>1</v>
      </c>
      <c r="J541" s="175" t="s">
        <v>18</v>
      </c>
      <c r="K541" s="175" t="s">
        <v>85</v>
      </c>
      <c r="L541" s="172" t="s">
        <v>86</v>
      </c>
    </row>
    <row r="542" spans="1:12" x14ac:dyDescent="0.2">
      <c r="A542" s="172" t="s">
        <v>83</v>
      </c>
      <c r="B542" s="172" t="s">
        <v>84</v>
      </c>
      <c r="C542" s="172" t="s">
        <v>14</v>
      </c>
      <c r="D542" s="172" t="s">
        <v>15</v>
      </c>
      <c r="E542" s="173">
        <v>42206</v>
      </c>
      <c r="F542" s="174">
        <v>18.7</v>
      </c>
      <c r="G542" s="175" t="s">
        <v>16</v>
      </c>
      <c r="H542" s="172" t="s">
        <v>17</v>
      </c>
      <c r="I542" s="175">
        <v>1</v>
      </c>
      <c r="J542" s="175" t="s">
        <v>18</v>
      </c>
      <c r="K542" s="175" t="s">
        <v>85</v>
      </c>
      <c r="L542" s="172" t="s">
        <v>86</v>
      </c>
    </row>
    <row r="543" spans="1:12" x14ac:dyDescent="0.2">
      <c r="A543" s="172" t="s">
        <v>83</v>
      </c>
      <c r="B543" s="172" t="s">
        <v>84</v>
      </c>
      <c r="C543" s="172" t="s">
        <v>14</v>
      </c>
      <c r="D543" s="172" t="s">
        <v>15</v>
      </c>
      <c r="E543" s="173">
        <v>42206</v>
      </c>
      <c r="F543" s="174">
        <v>93.418841999999998</v>
      </c>
      <c r="G543" s="175" t="s">
        <v>19</v>
      </c>
      <c r="H543" s="172" t="s">
        <v>17</v>
      </c>
      <c r="I543" s="175">
        <v>1</v>
      </c>
      <c r="J543" s="175" t="s">
        <v>18</v>
      </c>
      <c r="K543" s="175" t="s">
        <v>85</v>
      </c>
      <c r="L543" s="172" t="s">
        <v>86</v>
      </c>
    </row>
    <row r="544" spans="1:12" x14ac:dyDescent="0.2">
      <c r="A544" s="172" t="s">
        <v>83</v>
      </c>
      <c r="B544" s="172" t="s">
        <v>84</v>
      </c>
      <c r="C544" s="172" t="s">
        <v>14</v>
      </c>
      <c r="D544" s="172" t="s">
        <v>15</v>
      </c>
      <c r="E544" s="173">
        <v>42206</v>
      </c>
      <c r="F544" s="174">
        <v>5.21</v>
      </c>
      <c r="G544" s="175" t="s">
        <v>16</v>
      </c>
      <c r="H544" s="172" t="s">
        <v>20</v>
      </c>
      <c r="I544" s="175">
        <v>1</v>
      </c>
      <c r="J544" s="175" t="s">
        <v>18</v>
      </c>
      <c r="K544" s="175" t="s">
        <v>85</v>
      </c>
      <c r="L544" s="172" t="s">
        <v>86</v>
      </c>
    </row>
    <row r="545" spans="1:12" x14ac:dyDescent="0.2">
      <c r="A545" s="172" t="s">
        <v>83</v>
      </c>
      <c r="B545" s="172" t="s">
        <v>84</v>
      </c>
      <c r="C545" s="172" t="s">
        <v>14</v>
      </c>
      <c r="D545" s="172" t="s">
        <v>15</v>
      </c>
      <c r="E545" s="173">
        <v>42206</v>
      </c>
      <c r="F545" s="174">
        <v>26.027388599999998</v>
      </c>
      <c r="G545" s="175" t="s">
        <v>19</v>
      </c>
      <c r="H545" s="172" t="s">
        <v>20</v>
      </c>
      <c r="I545" s="175">
        <v>1</v>
      </c>
      <c r="J545" s="175" t="s">
        <v>18</v>
      </c>
      <c r="K545" s="175" t="s">
        <v>85</v>
      </c>
      <c r="L545" s="172" t="s">
        <v>86</v>
      </c>
    </row>
    <row r="546" spans="1:12" x14ac:dyDescent="0.2">
      <c r="A546" s="172" t="s">
        <v>83</v>
      </c>
      <c r="B546" s="172" t="s">
        <v>84</v>
      </c>
      <c r="C546" s="172" t="s">
        <v>14</v>
      </c>
      <c r="D546" s="172" t="s">
        <v>15</v>
      </c>
      <c r="E546" s="173">
        <v>42199</v>
      </c>
      <c r="F546" s="174">
        <v>19.600000000000001</v>
      </c>
      <c r="G546" s="175" t="s">
        <v>16</v>
      </c>
      <c r="H546" s="172" t="s">
        <v>17</v>
      </c>
      <c r="I546" s="175">
        <v>1</v>
      </c>
      <c r="J546" s="175" t="s">
        <v>18</v>
      </c>
      <c r="K546" s="175" t="s">
        <v>85</v>
      </c>
      <c r="L546" s="172" t="s">
        <v>86</v>
      </c>
    </row>
    <row r="547" spans="1:12" x14ac:dyDescent="0.2">
      <c r="A547" s="172" t="s">
        <v>83</v>
      </c>
      <c r="B547" s="172" t="s">
        <v>84</v>
      </c>
      <c r="C547" s="172" t="s">
        <v>14</v>
      </c>
      <c r="D547" s="172" t="s">
        <v>15</v>
      </c>
      <c r="E547" s="173">
        <v>42199</v>
      </c>
      <c r="F547" s="174">
        <v>89.905199999999994</v>
      </c>
      <c r="G547" s="175" t="s">
        <v>19</v>
      </c>
      <c r="H547" s="172" t="s">
        <v>17</v>
      </c>
      <c r="I547" s="175">
        <v>1</v>
      </c>
      <c r="J547" s="175" t="s">
        <v>18</v>
      </c>
      <c r="K547" s="175" t="s">
        <v>85</v>
      </c>
      <c r="L547" s="172" t="s">
        <v>86</v>
      </c>
    </row>
    <row r="548" spans="1:12" x14ac:dyDescent="0.2">
      <c r="A548" s="172" t="s">
        <v>83</v>
      </c>
      <c r="B548" s="172" t="s">
        <v>84</v>
      </c>
      <c r="C548" s="172" t="s">
        <v>14</v>
      </c>
      <c r="D548" s="172" t="s">
        <v>15</v>
      </c>
      <c r="E548" s="173">
        <v>42199</v>
      </c>
      <c r="F548" s="174">
        <v>4.9400000000000004</v>
      </c>
      <c r="G548" s="175" t="s">
        <v>16</v>
      </c>
      <c r="H548" s="172" t="s">
        <v>20</v>
      </c>
      <c r="I548" s="175">
        <v>1</v>
      </c>
      <c r="J548" s="175" t="s">
        <v>18</v>
      </c>
      <c r="K548" s="175" t="s">
        <v>85</v>
      </c>
      <c r="L548" s="172" t="s">
        <v>86</v>
      </c>
    </row>
    <row r="549" spans="1:12" x14ac:dyDescent="0.2">
      <c r="A549" s="172" t="s">
        <v>83</v>
      </c>
      <c r="B549" s="172" t="s">
        <v>84</v>
      </c>
      <c r="C549" s="172" t="s">
        <v>14</v>
      </c>
      <c r="D549" s="172" t="s">
        <v>15</v>
      </c>
      <c r="E549" s="173">
        <v>42199</v>
      </c>
      <c r="F549" s="174">
        <v>22.659780000000001</v>
      </c>
      <c r="G549" s="175" t="s">
        <v>19</v>
      </c>
      <c r="H549" s="172" t="s">
        <v>20</v>
      </c>
      <c r="I549" s="175">
        <v>1</v>
      </c>
      <c r="J549" s="175" t="s">
        <v>18</v>
      </c>
      <c r="K549" s="175" t="s">
        <v>85</v>
      </c>
      <c r="L549" s="172" t="s">
        <v>86</v>
      </c>
    </row>
    <row r="550" spans="1:12" x14ac:dyDescent="0.2">
      <c r="A550" s="172" t="s">
        <v>83</v>
      </c>
      <c r="B550" s="172" t="s">
        <v>84</v>
      </c>
      <c r="C550" s="172" t="s">
        <v>14</v>
      </c>
      <c r="D550" s="172" t="s">
        <v>15</v>
      </c>
      <c r="E550" s="173">
        <v>42192</v>
      </c>
      <c r="F550" s="174">
        <v>15.4</v>
      </c>
      <c r="G550" s="175" t="s">
        <v>16</v>
      </c>
      <c r="H550" s="172" t="s">
        <v>17</v>
      </c>
      <c r="I550" s="175">
        <v>1</v>
      </c>
      <c r="J550" s="175" t="s">
        <v>18</v>
      </c>
      <c r="K550" s="175" t="s">
        <v>85</v>
      </c>
      <c r="L550" s="172" t="s">
        <v>86</v>
      </c>
    </row>
    <row r="551" spans="1:12" x14ac:dyDescent="0.2">
      <c r="A551" s="172" t="s">
        <v>83</v>
      </c>
      <c r="B551" s="172" t="s">
        <v>84</v>
      </c>
      <c r="C551" s="172" t="s">
        <v>14</v>
      </c>
      <c r="D551" s="172" t="s">
        <v>15</v>
      </c>
      <c r="E551" s="173">
        <v>42192</v>
      </c>
      <c r="F551" s="174">
        <v>128.43600000000001</v>
      </c>
      <c r="G551" s="175" t="s">
        <v>19</v>
      </c>
      <c r="H551" s="172" t="s">
        <v>17</v>
      </c>
      <c r="I551" s="175">
        <v>1</v>
      </c>
      <c r="J551" s="175" t="s">
        <v>18</v>
      </c>
      <c r="K551" s="175" t="s">
        <v>85</v>
      </c>
      <c r="L551" s="172" t="s">
        <v>86</v>
      </c>
    </row>
    <row r="552" spans="1:12" x14ac:dyDescent="0.2">
      <c r="A552" s="172" t="s">
        <v>83</v>
      </c>
      <c r="B552" s="172" t="s">
        <v>84</v>
      </c>
      <c r="C552" s="172" t="s">
        <v>14</v>
      </c>
      <c r="D552" s="172" t="s">
        <v>15</v>
      </c>
      <c r="E552" s="173">
        <v>42192</v>
      </c>
      <c r="F552" s="174">
        <v>6.3</v>
      </c>
      <c r="G552" s="175" t="s">
        <v>16</v>
      </c>
      <c r="H552" s="172" t="s">
        <v>20</v>
      </c>
      <c r="I552" s="175">
        <v>1</v>
      </c>
      <c r="J552" s="175" t="s">
        <v>18</v>
      </c>
      <c r="K552" s="175" t="s">
        <v>85</v>
      </c>
      <c r="L552" s="172" t="s">
        <v>86</v>
      </c>
    </row>
    <row r="553" spans="1:12" x14ac:dyDescent="0.2">
      <c r="A553" s="172" t="s">
        <v>83</v>
      </c>
      <c r="B553" s="172" t="s">
        <v>84</v>
      </c>
      <c r="C553" s="172" t="s">
        <v>14</v>
      </c>
      <c r="D553" s="172" t="s">
        <v>15</v>
      </c>
      <c r="E553" s="173">
        <v>42192</v>
      </c>
      <c r="F553" s="174">
        <v>52.5419999</v>
      </c>
      <c r="G553" s="175" t="s">
        <v>19</v>
      </c>
      <c r="H553" s="172" t="s">
        <v>20</v>
      </c>
      <c r="I553" s="175">
        <v>1</v>
      </c>
      <c r="J553" s="175" t="s">
        <v>18</v>
      </c>
      <c r="K553" s="175" t="s">
        <v>85</v>
      </c>
      <c r="L553" s="172" t="s">
        <v>86</v>
      </c>
    </row>
    <row r="554" spans="1:12" x14ac:dyDescent="0.2">
      <c r="A554" s="172" t="s">
        <v>83</v>
      </c>
      <c r="B554" s="172" t="s">
        <v>84</v>
      </c>
      <c r="C554" s="172" t="s">
        <v>14</v>
      </c>
      <c r="D554" s="172" t="s">
        <v>15</v>
      </c>
      <c r="E554" s="173">
        <v>42185</v>
      </c>
      <c r="F554" s="174">
        <v>17.899999999999999</v>
      </c>
      <c r="G554" s="175" t="s">
        <v>16</v>
      </c>
      <c r="H554" s="172" t="s">
        <v>17</v>
      </c>
      <c r="I554" s="175">
        <v>1</v>
      </c>
      <c r="J554" s="175" t="s">
        <v>18</v>
      </c>
      <c r="K554" s="175" t="s">
        <v>85</v>
      </c>
      <c r="L554" s="172" t="s">
        <v>86</v>
      </c>
    </row>
    <row r="555" spans="1:12" x14ac:dyDescent="0.2">
      <c r="A555" s="172" t="s">
        <v>83</v>
      </c>
      <c r="B555" s="172" t="s">
        <v>84</v>
      </c>
      <c r="C555" s="172" t="s">
        <v>14</v>
      </c>
      <c r="D555" s="172" t="s">
        <v>15</v>
      </c>
      <c r="E555" s="173">
        <v>42185</v>
      </c>
      <c r="F555" s="174">
        <v>99.125904000000006</v>
      </c>
      <c r="G555" s="175" t="s">
        <v>19</v>
      </c>
      <c r="H555" s="172" t="s">
        <v>17</v>
      </c>
      <c r="I555" s="175">
        <v>1</v>
      </c>
      <c r="J555" s="175" t="s">
        <v>18</v>
      </c>
      <c r="K555" s="175" t="s">
        <v>85</v>
      </c>
      <c r="L555" s="172" t="s">
        <v>86</v>
      </c>
    </row>
    <row r="556" spans="1:12" x14ac:dyDescent="0.2">
      <c r="A556" s="172" t="s">
        <v>83</v>
      </c>
      <c r="B556" s="172" t="s">
        <v>84</v>
      </c>
      <c r="C556" s="172" t="s">
        <v>14</v>
      </c>
      <c r="D556" s="172" t="s">
        <v>15</v>
      </c>
      <c r="E556" s="173">
        <v>42185</v>
      </c>
      <c r="F556" s="174">
        <v>2.83</v>
      </c>
      <c r="G556" s="175" t="s">
        <v>16</v>
      </c>
      <c r="H556" s="172" t="s">
        <v>20</v>
      </c>
      <c r="I556" s="175">
        <v>1</v>
      </c>
      <c r="J556" s="175" t="s">
        <v>18</v>
      </c>
      <c r="K556" s="175" t="s">
        <v>85</v>
      </c>
      <c r="L556" s="172" t="s">
        <v>86</v>
      </c>
    </row>
    <row r="557" spans="1:12" x14ac:dyDescent="0.2">
      <c r="A557" s="172" t="s">
        <v>83</v>
      </c>
      <c r="B557" s="172" t="s">
        <v>84</v>
      </c>
      <c r="C557" s="172" t="s">
        <v>14</v>
      </c>
      <c r="D557" s="172" t="s">
        <v>15</v>
      </c>
      <c r="E557" s="173">
        <v>42185</v>
      </c>
      <c r="F557" s="174">
        <v>15.671860799999999</v>
      </c>
      <c r="G557" s="175" t="s">
        <v>19</v>
      </c>
      <c r="H557" s="172" t="s">
        <v>20</v>
      </c>
      <c r="I557" s="175">
        <v>1</v>
      </c>
      <c r="J557" s="175" t="s">
        <v>18</v>
      </c>
      <c r="K557" s="175" t="s">
        <v>85</v>
      </c>
      <c r="L557" s="172" t="s">
        <v>86</v>
      </c>
    </row>
    <row r="558" spans="1:12" x14ac:dyDescent="0.2">
      <c r="A558" s="172" t="s">
        <v>83</v>
      </c>
      <c r="B558" s="172" t="s">
        <v>84</v>
      </c>
      <c r="C558" s="172" t="s">
        <v>14</v>
      </c>
      <c r="D558" s="172" t="s">
        <v>15</v>
      </c>
      <c r="E558" s="173">
        <v>42178</v>
      </c>
      <c r="F558" s="174">
        <v>11.5</v>
      </c>
      <c r="G558" s="175" t="s">
        <v>16</v>
      </c>
      <c r="H558" s="172" t="s">
        <v>17</v>
      </c>
      <c r="I558" s="175">
        <v>1</v>
      </c>
      <c r="J558" s="175" t="s">
        <v>18</v>
      </c>
      <c r="K558" s="175" t="s">
        <v>85</v>
      </c>
      <c r="L558" s="172" t="s">
        <v>86</v>
      </c>
    </row>
    <row r="559" spans="1:12" x14ac:dyDescent="0.2">
      <c r="A559" s="172" t="s">
        <v>83</v>
      </c>
      <c r="B559" s="172" t="s">
        <v>84</v>
      </c>
      <c r="C559" s="172" t="s">
        <v>14</v>
      </c>
      <c r="D559" s="172" t="s">
        <v>15</v>
      </c>
      <c r="E559" s="173">
        <v>42178</v>
      </c>
      <c r="F559" s="174">
        <v>110.29649999999999</v>
      </c>
      <c r="G559" s="175" t="s">
        <v>19</v>
      </c>
      <c r="H559" s="172" t="s">
        <v>17</v>
      </c>
      <c r="I559" s="175">
        <v>1</v>
      </c>
      <c r="J559" s="175" t="s">
        <v>18</v>
      </c>
      <c r="K559" s="175" t="s">
        <v>85</v>
      </c>
      <c r="L559" s="172" t="s">
        <v>86</v>
      </c>
    </row>
    <row r="560" spans="1:12" x14ac:dyDescent="0.2">
      <c r="A560" s="172" t="s">
        <v>83</v>
      </c>
      <c r="B560" s="172" t="s">
        <v>84</v>
      </c>
      <c r="C560" s="172" t="s">
        <v>14</v>
      </c>
      <c r="D560" s="172" t="s">
        <v>15</v>
      </c>
      <c r="E560" s="173">
        <v>42178</v>
      </c>
      <c r="F560" s="174">
        <v>4.8</v>
      </c>
      <c r="G560" s="175" t="s">
        <v>16</v>
      </c>
      <c r="H560" s="172" t="s">
        <v>20</v>
      </c>
      <c r="I560" s="175">
        <v>1</v>
      </c>
      <c r="J560" s="175" t="s">
        <v>18</v>
      </c>
      <c r="K560" s="175" t="s">
        <v>85</v>
      </c>
      <c r="L560" s="172" t="s">
        <v>86</v>
      </c>
    </row>
    <row r="561" spans="1:12" x14ac:dyDescent="0.2">
      <c r="A561" s="172" t="s">
        <v>83</v>
      </c>
      <c r="B561" s="172" t="s">
        <v>84</v>
      </c>
      <c r="C561" s="172" t="s">
        <v>14</v>
      </c>
      <c r="D561" s="172" t="s">
        <v>15</v>
      </c>
      <c r="E561" s="173">
        <v>42178</v>
      </c>
      <c r="F561" s="174">
        <v>46.036799899999998</v>
      </c>
      <c r="G561" s="175" t="s">
        <v>19</v>
      </c>
      <c r="H561" s="172" t="s">
        <v>20</v>
      </c>
      <c r="I561" s="175">
        <v>1</v>
      </c>
      <c r="J561" s="175" t="s">
        <v>18</v>
      </c>
      <c r="K561" s="175" t="s">
        <v>85</v>
      </c>
      <c r="L561" s="172" t="s">
        <v>86</v>
      </c>
    </row>
    <row r="562" spans="1:12" x14ac:dyDescent="0.2">
      <c r="A562" s="172" t="s">
        <v>83</v>
      </c>
      <c r="B562" s="172" t="s">
        <v>84</v>
      </c>
      <c r="C562" s="172" t="s">
        <v>14</v>
      </c>
      <c r="D562" s="172" t="s">
        <v>15</v>
      </c>
      <c r="E562" s="173">
        <v>42172</v>
      </c>
      <c r="F562" s="174">
        <v>13.52</v>
      </c>
      <c r="G562" s="175" t="s">
        <v>16</v>
      </c>
      <c r="H562" s="172" t="s">
        <v>17</v>
      </c>
      <c r="I562" s="175">
        <v>1</v>
      </c>
      <c r="J562" s="175" t="s">
        <v>18</v>
      </c>
      <c r="K562" s="175" t="s">
        <v>85</v>
      </c>
      <c r="L562" s="172" t="s">
        <v>86</v>
      </c>
    </row>
    <row r="563" spans="1:12" x14ac:dyDescent="0.2">
      <c r="A563" s="172" t="s">
        <v>83</v>
      </c>
      <c r="B563" s="172" t="s">
        <v>84</v>
      </c>
      <c r="C563" s="172" t="s">
        <v>14</v>
      </c>
      <c r="D563" s="172" t="s">
        <v>15</v>
      </c>
      <c r="E563" s="173">
        <v>42172</v>
      </c>
      <c r="F563" s="174">
        <v>82.537977499999997</v>
      </c>
      <c r="G563" s="175" t="s">
        <v>19</v>
      </c>
      <c r="H563" s="172" t="s">
        <v>17</v>
      </c>
      <c r="I563" s="175">
        <v>1</v>
      </c>
      <c r="J563" s="175" t="s">
        <v>18</v>
      </c>
      <c r="K563" s="175" t="s">
        <v>85</v>
      </c>
      <c r="L563" s="172" t="s">
        <v>86</v>
      </c>
    </row>
    <row r="564" spans="1:12" x14ac:dyDescent="0.2">
      <c r="A564" s="172" t="s">
        <v>83</v>
      </c>
      <c r="B564" s="172" t="s">
        <v>84</v>
      </c>
      <c r="C564" s="172" t="s">
        <v>14</v>
      </c>
      <c r="D564" s="172" t="s">
        <v>15</v>
      </c>
      <c r="E564" s="173">
        <v>42172</v>
      </c>
      <c r="F564" s="174">
        <v>5</v>
      </c>
      <c r="G564" s="175" t="s">
        <v>16</v>
      </c>
      <c r="H564" s="172" t="s">
        <v>20</v>
      </c>
      <c r="I564" s="175">
        <v>1</v>
      </c>
      <c r="J564" s="175" t="s">
        <v>18</v>
      </c>
      <c r="K564" s="175" t="s">
        <v>85</v>
      </c>
      <c r="L564" s="172" t="s">
        <v>86</v>
      </c>
    </row>
    <row r="565" spans="1:12" x14ac:dyDescent="0.2">
      <c r="A565" s="172" t="s">
        <v>83</v>
      </c>
      <c r="B565" s="172" t="s">
        <v>84</v>
      </c>
      <c r="C565" s="172" t="s">
        <v>14</v>
      </c>
      <c r="D565" s="172" t="s">
        <v>15</v>
      </c>
      <c r="E565" s="173">
        <v>42172</v>
      </c>
      <c r="F565" s="174">
        <v>30.5244</v>
      </c>
      <c r="G565" s="175" t="s">
        <v>19</v>
      </c>
      <c r="H565" s="172" t="s">
        <v>20</v>
      </c>
      <c r="I565" s="175">
        <v>1</v>
      </c>
      <c r="J565" s="175" t="s">
        <v>18</v>
      </c>
      <c r="K565" s="175" t="s">
        <v>85</v>
      </c>
      <c r="L565" s="172" t="s">
        <v>86</v>
      </c>
    </row>
    <row r="566" spans="1:12" x14ac:dyDescent="0.2">
      <c r="A566" s="172" t="s">
        <v>83</v>
      </c>
      <c r="B566" s="172" t="s">
        <v>84</v>
      </c>
      <c r="C566" s="172" t="s">
        <v>14</v>
      </c>
      <c r="D566" s="172" t="s">
        <v>15</v>
      </c>
      <c r="E566" s="173">
        <v>42164</v>
      </c>
      <c r="F566" s="174">
        <v>20.32</v>
      </c>
      <c r="G566" s="175" t="s">
        <v>16</v>
      </c>
      <c r="H566" s="172" t="s">
        <v>17</v>
      </c>
      <c r="I566" s="175">
        <v>1</v>
      </c>
      <c r="J566" s="175" t="s">
        <v>18</v>
      </c>
      <c r="K566" s="175" t="s">
        <v>85</v>
      </c>
      <c r="L566" s="172" t="s">
        <v>86</v>
      </c>
    </row>
    <row r="567" spans="1:12" x14ac:dyDescent="0.2">
      <c r="A567" s="172" t="s">
        <v>83</v>
      </c>
      <c r="B567" s="172" t="s">
        <v>84</v>
      </c>
      <c r="C567" s="172" t="s">
        <v>14</v>
      </c>
      <c r="D567" s="172" t="s">
        <v>15</v>
      </c>
      <c r="E567" s="173">
        <v>42164</v>
      </c>
      <c r="F567" s="174">
        <v>90.1574016</v>
      </c>
      <c r="G567" s="175" t="s">
        <v>19</v>
      </c>
      <c r="H567" s="172" t="s">
        <v>17</v>
      </c>
      <c r="I567" s="175">
        <v>1</v>
      </c>
      <c r="J567" s="175" t="s">
        <v>18</v>
      </c>
      <c r="K567" s="175" t="s">
        <v>85</v>
      </c>
      <c r="L567" s="172" t="s">
        <v>86</v>
      </c>
    </row>
    <row r="568" spans="1:12" x14ac:dyDescent="0.2">
      <c r="A568" s="172" t="s">
        <v>83</v>
      </c>
      <c r="B568" s="172" t="s">
        <v>84</v>
      </c>
      <c r="C568" s="172" t="s">
        <v>14</v>
      </c>
      <c r="D568" s="172" t="s">
        <v>15</v>
      </c>
      <c r="E568" s="173">
        <v>42164</v>
      </c>
      <c r="F568" s="174">
        <v>6.1</v>
      </c>
      <c r="G568" s="175" t="s">
        <v>16</v>
      </c>
      <c r="H568" s="172" t="s">
        <v>20</v>
      </c>
      <c r="I568" s="175">
        <v>1</v>
      </c>
      <c r="J568" s="175" t="s">
        <v>18</v>
      </c>
      <c r="K568" s="175" t="s">
        <v>85</v>
      </c>
      <c r="L568" s="172" t="s">
        <v>86</v>
      </c>
    </row>
    <row r="569" spans="1:12" x14ac:dyDescent="0.2">
      <c r="A569" s="172" t="s">
        <v>83</v>
      </c>
      <c r="B569" s="172" t="s">
        <v>84</v>
      </c>
      <c r="C569" s="172" t="s">
        <v>14</v>
      </c>
      <c r="D569" s="172" t="s">
        <v>15</v>
      </c>
      <c r="E569" s="173">
        <v>42164</v>
      </c>
      <c r="F569" s="174">
        <v>27.064968</v>
      </c>
      <c r="G569" s="175" t="s">
        <v>19</v>
      </c>
      <c r="H569" s="172" t="s">
        <v>20</v>
      </c>
      <c r="I569" s="175">
        <v>1</v>
      </c>
      <c r="J569" s="175" t="s">
        <v>18</v>
      </c>
      <c r="K569" s="175" t="s">
        <v>85</v>
      </c>
      <c r="L569" s="172" t="s">
        <v>86</v>
      </c>
    </row>
    <row r="570" spans="1:12" x14ac:dyDescent="0.2">
      <c r="A570" s="172" t="s">
        <v>83</v>
      </c>
      <c r="B570" s="172" t="s">
        <v>84</v>
      </c>
      <c r="C570" s="172" t="s">
        <v>14</v>
      </c>
      <c r="D570" s="172" t="s">
        <v>15</v>
      </c>
      <c r="E570" s="173">
        <v>42157</v>
      </c>
      <c r="F570" s="174">
        <v>11.2</v>
      </c>
      <c r="G570" s="175" t="s">
        <v>16</v>
      </c>
      <c r="H570" s="172" t="s">
        <v>17</v>
      </c>
      <c r="I570" s="175">
        <v>1</v>
      </c>
      <c r="J570" s="175" t="s">
        <v>18</v>
      </c>
      <c r="K570" s="175" t="s">
        <v>85</v>
      </c>
      <c r="L570" s="172" t="s">
        <v>86</v>
      </c>
    </row>
    <row r="571" spans="1:12" x14ac:dyDescent="0.2">
      <c r="A571" s="172" t="s">
        <v>83</v>
      </c>
      <c r="B571" s="172" t="s">
        <v>84</v>
      </c>
      <c r="C571" s="172" t="s">
        <v>14</v>
      </c>
      <c r="D571" s="172" t="s">
        <v>15</v>
      </c>
      <c r="E571" s="173">
        <v>42157</v>
      </c>
      <c r="F571" s="174">
        <v>73.231871999999996</v>
      </c>
      <c r="G571" s="175" t="s">
        <v>19</v>
      </c>
      <c r="H571" s="172" t="s">
        <v>17</v>
      </c>
      <c r="I571" s="175">
        <v>1</v>
      </c>
      <c r="J571" s="175" t="s">
        <v>18</v>
      </c>
      <c r="K571" s="175" t="s">
        <v>85</v>
      </c>
      <c r="L571" s="172" t="s">
        <v>86</v>
      </c>
    </row>
    <row r="572" spans="1:12" x14ac:dyDescent="0.2">
      <c r="A572" s="172" t="s">
        <v>83</v>
      </c>
      <c r="B572" s="172" t="s">
        <v>84</v>
      </c>
      <c r="C572" s="172" t="s">
        <v>14</v>
      </c>
      <c r="D572" s="172" t="s">
        <v>15</v>
      </c>
      <c r="E572" s="173">
        <v>42157</v>
      </c>
      <c r="F572" s="174">
        <v>6.1</v>
      </c>
      <c r="G572" s="175" t="s">
        <v>16</v>
      </c>
      <c r="H572" s="172" t="s">
        <v>20</v>
      </c>
      <c r="I572" s="175">
        <v>1</v>
      </c>
      <c r="J572" s="175" t="s">
        <v>18</v>
      </c>
      <c r="K572" s="175" t="s">
        <v>85</v>
      </c>
      <c r="L572" s="172" t="s">
        <v>86</v>
      </c>
    </row>
    <row r="573" spans="1:12" x14ac:dyDescent="0.2">
      <c r="A573" s="172" t="s">
        <v>83</v>
      </c>
      <c r="B573" s="172" t="s">
        <v>84</v>
      </c>
      <c r="C573" s="172" t="s">
        <v>14</v>
      </c>
      <c r="D573" s="172" t="s">
        <v>15</v>
      </c>
      <c r="E573" s="173">
        <v>42157</v>
      </c>
      <c r="F573" s="174">
        <v>39.885216</v>
      </c>
      <c r="G573" s="175" t="s">
        <v>19</v>
      </c>
      <c r="H573" s="172" t="s">
        <v>20</v>
      </c>
      <c r="I573" s="175">
        <v>1</v>
      </c>
      <c r="J573" s="175" t="s">
        <v>18</v>
      </c>
      <c r="K573" s="175" t="s">
        <v>85</v>
      </c>
      <c r="L573" s="172" t="s">
        <v>86</v>
      </c>
    </row>
    <row r="574" spans="1:12" x14ac:dyDescent="0.2">
      <c r="A574" s="172" t="s">
        <v>83</v>
      </c>
      <c r="B574" s="172" t="s">
        <v>84</v>
      </c>
      <c r="C574" s="172" t="s">
        <v>14</v>
      </c>
      <c r="D574" s="172" t="s">
        <v>15</v>
      </c>
      <c r="E574" s="173">
        <v>42151</v>
      </c>
      <c r="F574" s="177">
        <v>14.5</v>
      </c>
      <c r="G574" s="175" t="s">
        <v>16</v>
      </c>
      <c r="H574" s="172" t="s">
        <v>17</v>
      </c>
      <c r="I574" s="175">
        <v>1</v>
      </c>
      <c r="J574" s="175" t="s">
        <v>18</v>
      </c>
      <c r="K574" s="175" t="s">
        <v>85</v>
      </c>
      <c r="L574" s="172" t="s">
        <v>86</v>
      </c>
    </row>
    <row r="575" spans="1:12" x14ac:dyDescent="0.2">
      <c r="A575" s="172" t="s">
        <v>83</v>
      </c>
      <c r="B575" s="172" t="s">
        <v>84</v>
      </c>
      <c r="C575" s="172" t="s">
        <v>14</v>
      </c>
      <c r="D575" s="172" t="s">
        <v>15</v>
      </c>
      <c r="E575" s="173">
        <v>42151</v>
      </c>
      <c r="F575" s="177">
        <v>148.7439</v>
      </c>
      <c r="G575" s="181" t="s">
        <v>19</v>
      </c>
      <c r="H575" s="182" t="s">
        <v>17</v>
      </c>
      <c r="I575" s="175">
        <v>1</v>
      </c>
      <c r="J575" s="175" t="s">
        <v>18</v>
      </c>
      <c r="K575" s="175" t="s">
        <v>85</v>
      </c>
      <c r="L575" s="172" t="s">
        <v>86</v>
      </c>
    </row>
    <row r="576" spans="1:12" x14ac:dyDescent="0.2">
      <c r="A576" s="172" t="s">
        <v>83</v>
      </c>
      <c r="B576" s="172" t="s">
        <v>84</v>
      </c>
      <c r="C576" s="172" t="s">
        <v>14</v>
      </c>
      <c r="D576" s="172" t="s">
        <v>15</v>
      </c>
      <c r="E576" s="173">
        <v>42151</v>
      </c>
      <c r="F576" s="174">
        <v>5.04</v>
      </c>
      <c r="G576" s="175" t="s">
        <v>16</v>
      </c>
      <c r="H576" s="172" t="s">
        <v>20</v>
      </c>
      <c r="I576" s="175">
        <v>1</v>
      </c>
      <c r="J576" s="175" t="s">
        <v>18</v>
      </c>
      <c r="K576" s="175" t="s">
        <v>85</v>
      </c>
      <c r="L576" s="172" t="s">
        <v>86</v>
      </c>
    </row>
    <row r="577" spans="1:12" x14ac:dyDescent="0.2">
      <c r="A577" s="172" t="s">
        <v>83</v>
      </c>
      <c r="B577" s="172" t="s">
        <v>84</v>
      </c>
      <c r="C577" s="172" t="s">
        <v>14</v>
      </c>
      <c r="D577" s="172" t="s">
        <v>15</v>
      </c>
      <c r="E577" s="173">
        <v>42151</v>
      </c>
      <c r="F577" s="174">
        <v>51.701327999999997</v>
      </c>
      <c r="G577" s="175" t="s">
        <v>19</v>
      </c>
      <c r="H577" s="172" t="s">
        <v>20</v>
      </c>
      <c r="I577" s="175">
        <v>1</v>
      </c>
      <c r="J577" s="175" t="s">
        <v>18</v>
      </c>
      <c r="K577" s="175" t="s">
        <v>85</v>
      </c>
      <c r="L577" s="172" t="s">
        <v>86</v>
      </c>
    </row>
    <row r="578" spans="1:12" x14ac:dyDescent="0.2">
      <c r="A578" s="172" t="s">
        <v>83</v>
      </c>
      <c r="B578" s="172" t="s">
        <v>84</v>
      </c>
      <c r="C578" s="172" t="s">
        <v>14</v>
      </c>
      <c r="D578" s="172" t="s">
        <v>15</v>
      </c>
      <c r="E578" s="173">
        <v>42143</v>
      </c>
      <c r="F578" s="174">
        <v>17.420000000000002</v>
      </c>
      <c r="G578" s="175" t="s">
        <v>16</v>
      </c>
      <c r="H578" s="172" t="s">
        <v>17</v>
      </c>
      <c r="I578" s="175">
        <v>1</v>
      </c>
      <c r="J578" s="175" t="s">
        <v>18</v>
      </c>
      <c r="K578" s="175" t="s">
        <v>85</v>
      </c>
      <c r="L578" s="172" t="s">
        <v>86</v>
      </c>
    </row>
    <row r="579" spans="1:12" x14ac:dyDescent="0.2">
      <c r="A579" s="172" t="s">
        <v>83</v>
      </c>
      <c r="B579" s="172" t="s">
        <v>84</v>
      </c>
      <c r="C579" s="172" t="s">
        <v>14</v>
      </c>
      <c r="D579" s="172" t="s">
        <v>15</v>
      </c>
      <c r="E579" s="173">
        <v>42143</v>
      </c>
      <c r="F579" s="174">
        <v>78.452712000000005</v>
      </c>
      <c r="G579" s="175" t="s">
        <v>19</v>
      </c>
      <c r="H579" s="172" t="s">
        <v>17</v>
      </c>
      <c r="I579" s="175">
        <v>1</v>
      </c>
      <c r="J579" s="175" t="s">
        <v>18</v>
      </c>
      <c r="K579" s="175" t="s">
        <v>85</v>
      </c>
      <c r="L579" s="172" t="s">
        <v>86</v>
      </c>
    </row>
    <row r="580" spans="1:12" x14ac:dyDescent="0.2">
      <c r="A580" s="172" t="s">
        <v>83</v>
      </c>
      <c r="B580" s="172" t="s">
        <v>84</v>
      </c>
      <c r="C580" s="172" t="s">
        <v>14</v>
      </c>
      <c r="D580" s="172" t="s">
        <v>15</v>
      </c>
      <c r="E580" s="173">
        <v>42143</v>
      </c>
      <c r="F580" s="174">
        <v>5.3</v>
      </c>
      <c r="G580" s="175" t="s">
        <v>16</v>
      </c>
      <c r="H580" s="172" t="s">
        <v>20</v>
      </c>
      <c r="I580" s="175">
        <v>1</v>
      </c>
      <c r="J580" s="175" t="s">
        <v>18</v>
      </c>
      <c r="K580" s="175" t="s">
        <v>85</v>
      </c>
      <c r="L580" s="172" t="s">
        <v>86</v>
      </c>
    </row>
    <row r="581" spans="1:12" x14ac:dyDescent="0.2">
      <c r="A581" s="172" t="s">
        <v>83</v>
      </c>
      <c r="B581" s="172" t="s">
        <v>84</v>
      </c>
      <c r="C581" s="172" t="s">
        <v>14</v>
      </c>
      <c r="D581" s="172" t="s">
        <v>15</v>
      </c>
      <c r="E581" s="173">
        <v>42143</v>
      </c>
      <c r="F581" s="174">
        <v>23.86908</v>
      </c>
      <c r="G581" s="175" t="s">
        <v>19</v>
      </c>
      <c r="H581" s="172" t="s">
        <v>20</v>
      </c>
      <c r="I581" s="175">
        <v>1</v>
      </c>
      <c r="J581" s="175" t="s">
        <v>18</v>
      </c>
      <c r="K581" s="175" t="s">
        <v>85</v>
      </c>
      <c r="L581" s="172" t="s">
        <v>86</v>
      </c>
    </row>
    <row r="582" spans="1:12" x14ac:dyDescent="0.2">
      <c r="A582" s="172" t="s">
        <v>83</v>
      </c>
      <c r="B582" s="172" t="s">
        <v>84</v>
      </c>
      <c r="C582" s="172" t="s">
        <v>14</v>
      </c>
      <c r="D582" s="172" t="s">
        <v>15</v>
      </c>
      <c r="E582" s="173">
        <v>42136</v>
      </c>
      <c r="F582" s="174">
        <v>16.32</v>
      </c>
      <c r="G582" s="175" t="s">
        <v>16</v>
      </c>
      <c r="H582" s="172" t="s">
        <v>17</v>
      </c>
      <c r="I582" s="175">
        <v>1</v>
      </c>
      <c r="J582" s="175" t="s">
        <v>18</v>
      </c>
      <c r="K582" s="175" t="s">
        <v>85</v>
      </c>
      <c r="L582" s="172" t="s">
        <v>86</v>
      </c>
    </row>
    <row r="583" spans="1:12" x14ac:dyDescent="0.2">
      <c r="A583" s="172" t="s">
        <v>83</v>
      </c>
      <c r="B583" s="172" t="s">
        <v>84</v>
      </c>
      <c r="C583" s="172" t="s">
        <v>14</v>
      </c>
      <c r="D583" s="172" t="s">
        <v>15</v>
      </c>
      <c r="E583" s="173">
        <v>42136</v>
      </c>
      <c r="F583" s="174">
        <v>73.226534400000006</v>
      </c>
      <c r="G583" s="175" t="s">
        <v>19</v>
      </c>
      <c r="H583" s="172" t="s">
        <v>17</v>
      </c>
      <c r="I583" s="175">
        <v>1</v>
      </c>
      <c r="J583" s="175" t="s">
        <v>18</v>
      </c>
      <c r="K583" s="175" t="s">
        <v>85</v>
      </c>
      <c r="L583" s="172" t="s">
        <v>86</v>
      </c>
    </row>
    <row r="584" spans="1:12" x14ac:dyDescent="0.2">
      <c r="A584" s="172" t="s">
        <v>83</v>
      </c>
      <c r="B584" s="172" t="s">
        <v>84</v>
      </c>
      <c r="C584" s="172" t="s">
        <v>14</v>
      </c>
      <c r="D584" s="172" t="s">
        <v>15</v>
      </c>
      <c r="E584" s="173">
        <v>42136</v>
      </c>
      <c r="F584" s="174">
        <v>6.3</v>
      </c>
      <c r="G584" s="175" t="s">
        <v>16</v>
      </c>
      <c r="H584" s="172" t="s">
        <v>20</v>
      </c>
      <c r="I584" s="175">
        <v>1</v>
      </c>
      <c r="J584" s="175" t="s">
        <v>18</v>
      </c>
      <c r="K584" s="175" t="s">
        <v>85</v>
      </c>
      <c r="L584" s="172" t="s">
        <v>86</v>
      </c>
    </row>
    <row r="585" spans="1:12" x14ac:dyDescent="0.2">
      <c r="A585" s="172" t="s">
        <v>83</v>
      </c>
      <c r="B585" s="172" t="s">
        <v>84</v>
      </c>
      <c r="C585" s="172" t="s">
        <v>14</v>
      </c>
      <c r="D585" s="172" t="s">
        <v>15</v>
      </c>
      <c r="E585" s="173">
        <v>42136</v>
      </c>
      <c r="F585" s="174">
        <v>28.267596000000001</v>
      </c>
      <c r="G585" s="175" t="s">
        <v>19</v>
      </c>
      <c r="H585" s="172" t="s">
        <v>20</v>
      </c>
      <c r="I585" s="175">
        <v>1</v>
      </c>
      <c r="J585" s="175" t="s">
        <v>18</v>
      </c>
      <c r="K585" s="175" t="s">
        <v>85</v>
      </c>
      <c r="L585" s="172" t="s">
        <v>86</v>
      </c>
    </row>
    <row r="586" spans="1:12" x14ac:dyDescent="0.2">
      <c r="A586" s="172" t="s">
        <v>83</v>
      </c>
      <c r="B586" s="172" t="s">
        <v>84</v>
      </c>
      <c r="C586" s="172" t="s">
        <v>14</v>
      </c>
      <c r="D586" s="172" t="s">
        <v>15</v>
      </c>
      <c r="E586" s="173">
        <v>42130</v>
      </c>
      <c r="F586" s="174">
        <v>16.8</v>
      </c>
      <c r="G586" s="175" t="s">
        <v>16</v>
      </c>
      <c r="H586" s="172" t="s">
        <v>17</v>
      </c>
      <c r="I586" s="175">
        <v>1</v>
      </c>
      <c r="J586" s="175" t="s">
        <v>18</v>
      </c>
      <c r="K586" s="175" t="s">
        <v>85</v>
      </c>
      <c r="L586" s="172" t="s">
        <v>86</v>
      </c>
    </row>
    <row r="587" spans="1:12" x14ac:dyDescent="0.2">
      <c r="A587" s="172" t="s">
        <v>83</v>
      </c>
      <c r="B587" s="172" t="s">
        <v>84</v>
      </c>
      <c r="C587" s="172" t="s">
        <v>14</v>
      </c>
      <c r="D587" s="172" t="s">
        <v>15</v>
      </c>
      <c r="E587" s="173">
        <v>42130</v>
      </c>
      <c r="F587" s="174">
        <v>87.289776000000003</v>
      </c>
      <c r="G587" s="175" t="s">
        <v>19</v>
      </c>
      <c r="H587" s="172" t="s">
        <v>17</v>
      </c>
      <c r="I587" s="175">
        <v>1</v>
      </c>
      <c r="J587" s="175" t="s">
        <v>18</v>
      </c>
      <c r="K587" s="175" t="s">
        <v>85</v>
      </c>
      <c r="L587" s="172" t="s">
        <v>86</v>
      </c>
    </row>
    <row r="588" spans="1:12" x14ac:dyDescent="0.2">
      <c r="A588" s="172" t="s">
        <v>83</v>
      </c>
      <c r="B588" s="172" t="s">
        <v>84</v>
      </c>
      <c r="C588" s="172" t="s">
        <v>14</v>
      </c>
      <c r="D588" s="172" t="s">
        <v>15</v>
      </c>
      <c r="E588" s="173">
        <v>42130</v>
      </c>
      <c r="F588" s="174">
        <v>2.9</v>
      </c>
      <c r="G588" s="175" t="s">
        <v>16</v>
      </c>
      <c r="H588" s="172" t="s">
        <v>20</v>
      </c>
      <c r="I588" s="175">
        <v>1</v>
      </c>
      <c r="J588" s="175" t="s">
        <v>18</v>
      </c>
      <c r="K588" s="175" t="s">
        <v>85</v>
      </c>
      <c r="L588" s="172" t="s">
        <v>86</v>
      </c>
    </row>
    <row r="589" spans="1:12" x14ac:dyDescent="0.2">
      <c r="A589" s="172" t="s">
        <v>83</v>
      </c>
      <c r="B589" s="172" t="s">
        <v>84</v>
      </c>
      <c r="C589" s="172" t="s">
        <v>14</v>
      </c>
      <c r="D589" s="172" t="s">
        <v>15</v>
      </c>
      <c r="E589" s="173">
        <v>42130</v>
      </c>
      <c r="F589" s="174">
        <v>15.067878</v>
      </c>
      <c r="G589" s="175" t="s">
        <v>19</v>
      </c>
      <c r="H589" s="172" t="s">
        <v>20</v>
      </c>
      <c r="I589" s="175">
        <v>1</v>
      </c>
      <c r="J589" s="175" t="s">
        <v>18</v>
      </c>
      <c r="K589" s="175" t="s">
        <v>85</v>
      </c>
      <c r="L589" s="172" t="s">
        <v>86</v>
      </c>
    </row>
    <row r="590" spans="1:12" x14ac:dyDescent="0.2">
      <c r="A590" s="172" t="s">
        <v>83</v>
      </c>
      <c r="B590" s="172" t="s">
        <v>84</v>
      </c>
      <c r="C590" s="172" t="s">
        <v>14</v>
      </c>
      <c r="D590" s="172" t="s">
        <v>15</v>
      </c>
      <c r="E590" s="173">
        <v>42122</v>
      </c>
      <c r="F590" s="177">
        <v>25.7</v>
      </c>
      <c r="G590" s="175" t="s">
        <v>16</v>
      </c>
      <c r="H590" s="172" t="s">
        <v>17</v>
      </c>
      <c r="I590" s="175">
        <v>1</v>
      </c>
      <c r="J590" s="175" t="s">
        <v>18</v>
      </c>
      <c r="K590" s="175" t="s">
        <v>85</v>
      </c>
      <c r="L590" s="172" t="s">
        <v>86</v>
      </c>
    </row>
    <row r="591" spans="1:12" x14ac:dyDescent="0.2">
      <c r="A591" s="172" t="s">
        <v>83</v>
      </c>
      <c r="B591" s="172" t="s">
        <v>84</v>
      </c>
      <c r="C591" s="172" t="s">
        <v>14</v>
      </c>
      <c r="D591" s="172" t="s">
        <v>15</v>
      </c>
      <c r="E591" s="173">
        <v>42122</v>
      </c>
      <c r="F591" s="177">
        <v>196.547946</v>
      </c>
      <c r="G591" s="181" t="s">
        <v>19</v>
      </c>
      <c r="H591" s="182" t="s">
        <v>17</v>
      </c>
      <c r="I591" s="175">
        <v>1</v>
      </c>
      <c r="J591" s="175" t="s">
        <v>18</v>
      </c>
      <c r="K591" s="175" t="s">
        <v>85</v>
      </c>
      <c r="L591" s="172" t="s">
        <v>86</v>
      </c>
    </row>
    <row r="592" spans="1:12" x14ac:dyDescent="0.2">
      <c r="A592" s="172" t="s">
        <v>83</v>
      </c>
      <c r="B592" s="172" t="s">
        <v>84</v>
      </c>
      <c r="C592" s="172" t="s">
        <v>14</v>
      </c>
      <c r="D592" s="172" t="s">
        <v>15</v>
      </c>
      <c r="E592" s="173">
        <v>42122</v>
      </c>
      <c r="F592" s="174">
        <v>14.6</v>
      </c>
      <c r="G592" s="175" t="s">
        <v>16</v>
      </c>
      <c r="H592" s="172" t="s">
        <v>20</v>
      </c>
      <c r="I592" s="175">
        <v>1</v>
      </c>
      <c r="J592" s="175" t="s">
        <v>18</v>
      </c>
      <c r="K592" s="175" t="s">
        <v>85</v>
      </c>
      <c r="L592" s="172" t="s">
        <v>86</v>
      </c>
    </row>
    <row r="593" spans="1:12" x14ac:dyDescent="0.2">
      <c r="A593" s="172" t="s">
        <v>83</v>
      </c>
      <c r="B593" s="172" t="s">
        <v>84</v>
      </c>
      <c r="C593" s="172" t="s">
        <v>14</v>
      </c>
      <c r="D593" s="172" t="s">
        <v>15</v>
      </c>
      <c r="E593" s="173">
        <v>42122</v>
      </c>
      <c r="F593" s="174">
        <v>111.657588</v>
      </c>
      <c r="G593" s="175" t="s">
        <v>19</v>
      </c>
      <c r="H593" s="172" t="s">
        <v>20</v>
      </c>
      <c r="I593" s="175">
        <v>1</v>
      </c>
      <c r="J593" s="175" t="s">
        <v>18</v>
      </c>
      <c r="K593" s="175" t="s">
        <v>85</v>
      </c>
      <c r="L593" s="172" t="s">
        <v>86</v>
      </c>
    </row>
    <row r="594" spans="1:12" x14ac:dyDescent="0.2">
      <c r="A594" s="172" t="s">
        <v>83</v>
      </c>
      <c r="B594" s="172" t="s">
        <v>84</v>
      </c>
      <c r="C594" s="172" t="s">
        <v>14</v>
      </c>
      <c r="D594" s="172" t="s">
        <v>15</v>
      </c>
      <c r="E594" s="173">
        <v>42115</v>
      </c>
      <c r="F594" s="174">
        <v>14.9</v>
      </c>
      <c r="G594" s="175" t="s">
        <v>16</v>
      </c>
      <c r="H594" s="172" t="s">
        <v>17</v>
      </c>
      <c r="I594" s="175">
        <v>1</v>
      </c>
      <c r="J594" s="175" t="s">
        <v>18</v>
      </c>
      <c r="K594" s="175" t="s">
        <v>85</v>
      </c>
      <c r="L594" s="172" t="s">
        <v>86</v>
      </c>
    </row>
    <row r="595" spans="1:12" x14ac:dyDescent="0.2">
      <c r="A595" s="172" t="s">
        <v>83</v>
      </c>
      <c r="B595" s="172" t="s">
        <v>84</v>
      </c>
      <c r="C595" s="172" t="s">
        <v>14</v>
      </c>
      <c r="D595" s="172" t="s">
        <v>15</v>
      </c>
      <c r="E595" s="173">
        <v>42115</v>
      </c>
      <c r="F595" s="174">
        <v>123.768936</v>
      </c>
      <c r="G595" s="175" t="s">
        <v>19</v>
      </c>
      <c r="H595" s="172" t="s">
        <v>17</v>
      </c>
      <c r="I595" s="175">
        <v>1</v>
      </c>
      <c r="J595" s="175" t="s">
        <v>18</v>
      </c>
      <c r="K595" s="175" t="s">
        <v>85</v>
      </c>
      <c r="L595" s="172" t="s">
        <v>86</v>
      </c>
    </row>
    <row r="596" spans="1:12" x14ac:dyDescent="0.2">
      <c r="A596" s="172" t="s">
        <v>83</v>
      </c>
      <c r="B596" s="172" t="s">
        <v>84</v>
      </c>
      <c r="C596" s="172" t="s">
        <v>14</v>
      </c>
      <c r="D596" s="172" t="s">
        <v>15</v>
      </c>
      <c r="E596" s="173">
        <v>42115</v>
      </c>
      <c r="F596" s="174">
        <v>6</v>
      </c>
      <c r="G596" s="175" t="s">
        <v>16</v>
      </c>
      <c r="H596" s="172" t="s">
        <v>20</v>
      </c>
      <c r="I596" s="175">
        <v>1</v>
      </c>
      <c r="J596" s="175" t="s">
        <v>18</v>
      </c>
      <c r="K596" s="175" t="s">
        <v>85</v>
      </c>
      <c r="L596" s="172" t="s">
        <v>86</v>
      </c>
    </row>
    <row r="597" spans="1:12" x14ac:dyDescent="0.2">
      <c r="A597" s="172" t="s">
        <v>83</v>
      </c>
      <c r="B597" s="172" t="s">
        <v>84</v>
      </c>
      <c r="C597" s="172" t="s">
        <v>14</v>
      </c>
      <c r="D597" s="172" t="s">
        <v>15</v>
      </c>
      <c r="E597" s="173">
        <v>42115</v>
      </c>
      <c r="F597" s="174">
        <v>49.839840000000002</v>
      </c>
      <c r="G597" s="175" t="s">
        <v>19</v>
      </c>
      <c r="H597" s="172" t="s">
        <v>20</v>
      </c>
      <c r="I597" s="175">
        <v>1</v>
      </c>
      <c r="J597" s="175" t="s">
        <v>18</v>
      </c>
      <c r="K597" s="175" t="s">
        <v>85</v>
      </c>
      <c r="L597" s="172" t="s">
        <v>86</v>
      </c>
    </row>
    <row r="598" spans="1:12" x14ac:dyDescent="0.2">
      <c r="A598" s="172" t="s">
        <v>83</v>
      </c>
      <c r="B598" s="172" t="s">
        <v>84</v>
      </c>
      <c r="C598" s="172" t="s">
        <v>14</v>
      </c>
      <c r="D598" s="172" t="s">
        <v>15</v>
      </c>
      <c r="E598" s="173">
        <v>42109</v>
      </c>
      <c r="F598" s="174">
        <v>14.69</v>
      </c>
      <c r="G598" s="175" t="s">
        <v>16</v>
      </c>
      <c r="H598" s="172" t="s">
        <v>17</v>
      </c>
      <c r="I598" s="175">
        <v>1</v>
      </c>
      <c r="J598" s="175" t="s">
        <v>18</v>
      </c>
      <c r="K598" s="175" t="s">
        <v>85</v>
      </c>
      <c r="L598" s="172" t="s">
        <v>86</v>
      </c>
    </row>
    <row r="599" spans="1:12" x14ac:dyDescent="0.2">
      <c r="A599" s="172" t="s">
        <v>83</v>
      </c>
      <c r="B599" s="172" t="s">
        <v>84</v>
      </c>
      <c r="C599" s="172" t="s">
        <v>14</v>
      </c>
      <c r="D599" s="172" t="s">
        <v>15</v>
      </c>
      <c r="E599" s="173">
        <v>42109</v>
      </c>
      <c r="F599" s="174">
        <v>75.959052</v>
      </c>
      <c r="G599" s="175" t="s">
        <v>19</v>
      </c>
      <c r="H599" s="172" t="s">
        <v>17</v>
      </c>
      <c r="I599" s="175">
        <v>1</v>
      </c>
      <c r="J599" s="175" t="s">
        <v>18</v>
      </c>
      <c r="K599" s="175" t="s">
        <v>85</v>
      </c>
      <c r="L599" s="172" t="s">
        <v>86</v>
      </c>
    </row>
    <row r="600" spans="1:12" x14ac:dyDescent="0.2">
      <c r="A600" s="172" t="s">
        <v>83</v>
      </c>
      <c r="B600" s="172" t="s">
        <v>84</v>
      </c>
      <c r="C600" s="172" t="s">
        <v>14</v>
      </c>
      <c r="D600" s="172" t="s">
        <v>15</v>
      </c>
      <c r="E600" s="173">
        <v>42109</v>
      </c>
      <c r="F600" s="174">
        <v>6.9</v>
      </c>
      <c r="G600" s="175" t="s">
        <v>16</v>
      </c>
      <c r="H600" s="172" t="s">
        <v>20</v>
      </c>
      <c r="I600" s="175">
        <v>1</v>
      </c>
      <c r="J600" s="175" t="s">
        <v>18</v>
      </c>
      <c r="K600" s="175" t="s">
        <v>85</v>
      </c>
      <c r="L600" s="172" t="s">
        <v>86</v>
      </c>
    </row>
    <row r="601" spans="1:12" x14ac:dyDescent="0.2">
      <c r="A601" s="172" t="s">
        <v>83</v>
      </c>
      <c r="B601" s="172" t="s">
        <v>84</v>
      </c>
      <c r="C601" s="172" t="s">
        <v>14</v>
      </c>
      <c r="D601" s="172" t="s">
        <v>15</v>
      </c>
      <c r="E601" s="173">
        <v>42109</v>
      </c>
      <c r="F601" s="174">
        <v>35.678519999999999</v>
      </c>
      <c r="G601" s="175" t="s">
        <v>19</v>
      </c>
      <c r="H601" s="172" t="s">
        <v>20</v>
      </c>
      <c r="I601" s="175">
        <v>1</v>
      </c>
      <c r="J601" s="175" t="s">
        <v>18</v>
      </c>
      <c r="K601" s="175" t="s">
        <v>85</v>
      </c>
      <c r="L601" s="172" t="s">
        <v>86</v>
      </c>
    </row>
    <row r="602" spans="1:12" x14ac:dyDescent="0.2">
      <c r="A602" s="172" t="s">
        <v>83</v>
      </c>
      <c r="B602" s="172" t="s">
        <v>84</v>
      </c>
      <c r="C602" s="172" t="s">
        <v>14</v>
      </c>
      <c r="D602" s="172" t="s">
        <v>15</v>
      </c>
      <c r="E602" s="173">
        <v>42101</v>
      </c>
      <c r="F602" s="174">
        <v>29.73</v>
      </c>
      <c r="G602" s="175" t="s">
        <v>16</v>
      </c>
      <c r="H602" s="172" t="s">
        <v>17</v>
      </c>
      <c r="I602" s="175">
        <v>1</v>
      </c>
      <c r="J602" s="175" t="s">
        <v>18</v>
      </c>
      <c r="K602" s="175" t="s">
        <v>85</v>
      </c>
      <c r="L602" s="172" t="s">
        <v>86</v>
      </c>
    </row>
    <row r="603" spans="1:12" x14ac:dyDescent="0.2">
      <c r="A603" s="172" t="s">
        <v>83</v>
      </c>
      <c r="B603" s="172" t="s">
        <v>84</v>
      </c>
      <c r="C603" s="172" t="s">
        <v>14</v>
      </c>
      <c r="D603" s="172" t="s">
        <v>15</v>
      </c>
      <c r="E603" s="173">
        <v>42101</v>
      </c>
      <c r="F603" s="174">
        <v>99.179280000000006</v>
      </c>
      <c r="G603" s="175" t="s">
        <v>19</v>
      </c>
      <c r="H603" s="172" t="s">
        <v>17</v>
      </c>
      <c r="I603" s="175">
        <v>1</v>
      </c>
      <c r="J603" s="175" t="s">
        <v>18</v>
      </c>
      <c r="K603" s="175" t="s">
        <v>85</v>
      </c>
      <c r="L603" s="172" t="s">
        <v>86</v>
      </c>
    </row>
    <row r="604" spans="1:12" x14ac:dyDescent="0.2">
      <c r="A604" s="172" t="s">
        <v>83</v>
      </c>
      <c r="B604" s="172" t="s">
        <v>84</v>
      </c>
      <c r="C604" s="172" t="s">
        <v>14</v>
      </c>
      <c r="D604" s="172" t="s">
        <v>15</v>
      </c>
      <c r="E604" s="173">
        <v>42101</v>
      </c>
      <c r="F604" s="174">
        <v>6.1</v>
      </c>
      <c r="G604" s="175" t="s">
        <v>16</v>
      </c>
      <c r="H604" s="172" t="s">
        <v>20</v>
      </c>
      <c r="I604" s="175">
        <v>1</v>
      </c>
      <c r="J604" s="175" t="s">
        <v>18</v>
      </c>
      <c r="K604" s="175" t="s">
        <v>85</v>
      </c>
      <c r="L604" s="172" t="s">
        <v>86</v>
      </c>
    </row>
    <row r="605" spans="1:12" x14ac:dyDescent="0.2">
      <c r="A605" s="172" t="s">
        <v>83</v>
      </c>
      <c r="B605" s="172" t="s">
        <v>84</v>
      </c>
      <c r="C605" s="172" t="s">
        <v>14</v>
      </c>
      <c r="D605" s="172" t="s">
        <v>15</v>
      </c>
      <c r="E605" s="173">
        <v>42101</v>
      </c>
      <c r="F605" s="174">
        <v>20.349599999999999</v>
      </c>
      <c r="G605" s="175" t="s">
        <v>19</v>
      </c>
      <c r="H605" s="172" t="s">
        <v>20</v>
      </c>
      <c r="I605" s="175">
        <v>1</v>
      </c>
      <c r="J605" s="175" t="s">
        <v>18</v>
      </c>
      <c r="K605" s="175" t="s">
        <v>85</v>
      </c>
      <c r="L605" s="172" t="s">
        <v>86</v>
      </c>
    </row>
    <row r="606" spans="1:12" x14ac:dyDescent="0.2">
      <c r="A606" s="172" t="s">
        <v>83</v>
      </c>
      <c r="B606" s="172" t="s">
        <v>84</v>
      </c>
      <c r="C606" s="172" t="s">
        <v>14</v>
      </c>
      <c r="D606" s="172" t="s">
        <v>15</v>
      </c>
      <c r="E606" s="173">
        <v>42095</v>
      </c>
      <c r="F606" s="174">
        <v>18.309999999999999</v>
      </c>
      <c r="G606" s="175" t="s">
        <v>16</v>
      </c>
      <c r="H606" s="172" t="s">
        <v>17</v>
      </c>
      <c r="I606" s="175">
        <v>1</v>
      </c>
      <c r="J606" s="175" t="s">
        <v>18</v>
      </c>
      <c r="K606" s="175" t="s">
        <v>85</v>
      </c>
      <c r="L606" s="172" t="s">
        <v>86</v>
      </c>
    </row>
    <row r="607" spans="1:12" x14ac:dyDescent="0.2">
      <c r="A607" s="172" t="s">
        <v>83</v>
      </c>
      <c r="B607" s="172" t="s">
        <v>84</v>
      </c>
      <c r="C607" s="172" t="s">
        <v>14</v>
      </c>
      <c r="D607" s="172" t="s">
        <v>15</v>
      </c>
      <c r="E607" s="173">
        <v>42095</v>
      </c>
      <c r="F607" s="174">
        <v>67.343081400000003</v>
      </c>
      <c r="G607" s="175" t="s">
        <v>19</v>
      </c>
      <c r="H607" s="172" t="s">
        <v>17</v>
      </c>
      <c r="I607" s="175">
        <v>1</v>
      </c>
      <c r="J607" s="175" t="s">
        <v>18</v>
      </c>
      <c r="K607" s="175" t="s">
        <v>85</v>
      </c>
      <c r="L607" s="172" t="s">
        <v>86</v>
      </c>
    </row>
    <row r="608" spans="1:12" x14ac:dyDescent="0.2">
      <c r="A608" s="172" t="s">
        <v>83</v>
      </c>
      <c r="B608" s="172" t="s">
        <v>84</v>
      </c>
      <c r="C608" s="172" t="s">
        <v>14</v>
      </c>
      <c r="D608" s="172" t="s">
        <v>15</v>
      </c>
      <c r="E608" s="173">
        <v>42095</v>
      </c>
      <c r="F608" s="174">
        <v>6.3</v>
      </c>
      <c r="G608" s="175" t="s">
        <v>16</v>
      </c>
      <c r="H608" s="172" t="s">
        <v>20</v>
      </c>
      <c r="I608" s="175">
        <v>1</v>
      </c>
      <c r="J608" s="175" t="s">
        <v>18</v>
      </c>
      <c r="K608" s="175" t="s">
        <v>85</v>
      </c>
      <c r="L608" s="172" t="s">
        <v>86</v>
      </c>
    </row>
    <row r="609" spans="1:12" x14ac:dyDescent="0.2">
      <c r="A609" s="172" t="s">
        <v>83</v>
      </c>
      <c r="B609" s="172" t="s">
        <v>84</v>
      </c>
      <c r="C609" s="172" t="s">
        <v>14</v>
      </c>
      <c r="D609" s="172" t="s">
        <v>15</v>
      </c>
      <c r="E609" s="173">
        <v>42095</v>
      </c>
      <c r="F609" s="174">
        <v>23.171022000000001</v>
      </c>
      <c r="G609" s="175" t="s">
        <v>19</v>
      </c>
      <c r="H609" s="172" t="s">
        <v>20</v>
      </c>
      <c r="I609" s="175">
        <v>1</v>
      </c>
      <c r="J609" s="175" t="s">
        <v>18</v>
      </c>
      <c r="K609" s="175" t="s">
        <v>85</v>
      </c>
      <c r="L609" s="172" t="s">
        <v>86</v>
      </c>
    </row>
    <row r="610" spans="1:12" x14ac:dyDescent="0.2">
      <c r="A610" s="172" t="s">
        <v>83</v>
      </c>
      <c r="B610" s="172" t="s">
        <v>84</v>
      </c>
      <c r="C610" s="172" t="s">
        <v>14</v>
      </c>
      <c r="D610" s="172" t="s">
        <v>15</v>
      </c>
      <c r="E610" s="173">
        <v>42087</v>
      </c>
      <c r="F610" s="174">
        <v>25.23</v>
      </c>
      <c r="G610" s="175" t="s">
        <v>16</v>
      </c>
      <c r="H610" s="172" t="s">
        <v>17</v>
      </c>
      <c r="I610" s="175">
        <v>1</v>
      </c>
      <c r="J610" s="175" t="s">
        <v>18</v>
      </c>
      <c r="K610" s="175" t="s">
        <v>85</v>
      </c>
      <c r="L610" s="172" t="s">
        <v>86</v>
      </c>
    </row>
    <row r="611" spans="1:12" x14ac:dyDescent="0.2">
      <c r="A611" s="172" t="s">
        <v>83</v>
      </c>
      <c r="B611" s="172" t="s">
        <v>84</v>
      </c>
      <c r="C611" s="172" t="s">
        <v>14</v>
      </c>
      <c r="D611" s="172" t="s">
        <v>15</v>
      </c>
      <c r="E611" s="173">
        <v>42087</v>
      </c>
      <c r="F611" s="174">
        <v>80.8005888</v>
      </c>
      <c r="G611" s="175" t="s">
        <v>19</v>
      </c>
      <c r="H611" s="172" t="s">
        <v>17</v>
      </c>
      <c r="I611" s="175">
        <v>1</v>
      </c>
      <c r="J611" s="175" t="s">
        <v>18</v>
      </c>
      <c r="K611" s="175" t="s">
        <v>85</v>
      </c>
      <c r="L611" s="172" t="s">
        <v>86</v>
      </c>
    </row>
    <row r="612" spans="1:12" x14ac:dyDescent="0.2">
      <c r="A612" s="172" t="s">
        <v>83</v>
      </c>
      <c r="B612" s="172" t="s">
        <v>84</v>
      </c>
      <c r="C612" s="172" t="s">
        <v>14</v>
      </c>
      <c r="D612" s="172" t="s">
        <v>15</v>
      </c>
      <c r="E612" s="173">
        <v>42087</v>
      </c>
      <c r="F612" s="174">
        <v>6.8</v>
      </c>
      <c r="G612" s="175" t="s">
        <v>16</v>
      </c>
      <c r="H612" s="172" t="s">
        <v>20</v>
      </c>
      <c r="I612" s="175">
        <v>1</v>
      </c>
      <c r="J612" s="175" t="s">
        <v>18</v>
      </c>
      <c r="K612" s="175" t="s">
        <v>85</v>
      </c>
      <c r="L612" s="172" t="s">
        <v>86</v>
      </c>
    </row>
    <row r="613" spans="1:12" x14ac:dyDescent="0.2">
      <c r="A613" s="172" t="s">
        <v>83</v>
      </c>
      <c r="B613" s="172" t="s">
        <v>84</v>
      </c>
      <c r="C613" s="172" t="s">
        <v>14</v>
      </c>
      <c r="D613" s="172" t="s">
        <v>15</v>
      </c>
      <c r="E613" s="173">
        <v>42087</v>
      </c>
      <c r="F613" s="174">
        <v>21.777408000000001</v>
      </c>
      <c r="G613" s="175" t="s">
        <v>19</v>
      </c>
      <c r="H613" s="172" t="s">
        <v>20</v>
      </c>
      <c r="I613" s="175">
        <v>1</v>
      </c>
      <c r="J613" s="175" t="s">
        <v>18</v>
      </c>
      <c r="K613" s="175" t="s">
        <v>85</v>
      </c>
      <c r="L613" s="172" t="s">
        <v>86</v>
      </c>
    </row>
    <row r="614" spans="1:12" x14ac:dyDescent="0.2">
      <c r="A614" s="172" t="s">
        <v>83</v>
      </c>
      <c r="B614" s="172" t="s">
        <v>84</v>
      </c>
      <c r="C614" s="172" t="s">
        <v>14</v>
      </c>
      <c r="D614" s="172" t="s">
        <v>15</v>
      </c>
      <c r="E614" s="173">
        <v>42080</v>
      </c>
      <c r="F614" s="174">
        <v>18.43</v>
      </c>
      <c r="G614" s="175" t="s">
        <v>16</v>
      </c>
      <c r="H614" s="172" t="s">
        <v>17</v>
      </c>
      <c r="I614" s="175">
        <v>1</v>
      </c>
      <c r="J614" s="175" t="s">
        <v>18</v>
      </c>
      <c r="K614" s="175" t="s">
        <v>85</v>
      </c>
      <c r="L614" s="172" t="s">
        <v>86</v>
      </c>
    </row>
    <row r="615" spans="1:12" x14ac:dyDescent="0.2">
      <c r="A615" s="172" t="s">
        <v>83</v>
      </c>
      <c r="B615" s="172" t="s">
        <v>84</v>
      </c>
      <c r="C615" s="172" t="s">
        <v>14</v>
      </c>
      <c r="D615" s="172" t="s">
        <v>15</v>
      </c>
      <c r="E615" s="173">
        <v>42080</v>
      </c>
      <c r="F615" s="174">
        <v>68.552965200000003</v>
      </c>
      <c r="G615" s="175" t="s">
        <v>19</v>
      </c>
      <c r="H615" s="172" t="s">
        <v>17</v>
      </c>
      <c r="I615" s="175">
        <v>1</v>
      </c>
      <c r="J615" s="175" t="s">
        <v>18</v>
      </c>
      <c r="K615" s="175" t="s">
        <v>85</v>
      </c>
      <c r="L615" s="172" t="s">
        <v>86</v>
      </c>
    </row>
    <row r="616" spans="1:12" x14ac:dyDescent="0.2">
      <c r="A616" s="172" t="s">
        <v>83</v>
      </c>
      <c r="B616" s="172" t="s">
        <v>84</v>
      </c>
      <c r="C616" s="172" t="s">
        <v>14</v>
      </c>
      <c r="D616" s="172" t="s">
        <v>15</v>
      </c>
      <c r="E616" s="173">
        <v>42080</v>
      </c>
      <c r="F616" s="174">
        <v>5.6</v>
      </c>
      <c r="G616" s="175" t="s">
        <v>16</v>
      </c>
      <c r="H616" s="172" t="s">
        <v>20</v>
      </c>
      <c r="I616" s="175">
        <v>1</v>
      </c>
      <c r="J616" s="175" t="s">
        <v>18</v>
      </c>
      <c r="K616" s="175" t="s">
        <v>85</v>
      </c>
      <c r="L616" s="172" t="s">
        <v>86</v>
      </c>
    </row>
    <row r="617" spans="1:12" x14ac:dyDescent="0.2">
      <c r="A617" s="172" t="s">
        <v>83</v>
      </c>
      <c r="B617" s="172" t="s">
        <v>84</v>
      </c>
      <c r="C617" s="172" t="s">
        <v>14</v>
      </c>
      <c r="D617" s="172" t="s">
        <v>15</v>
      </c>
      <c r="E617" s="173">
        <v>42080</v>
      </c>
      <c r="F617" s="174">
        <v>20.829984</v>
      </c>
      <c r="G617" s="175" t="s">
        <v>19</v>
      </c>
      <c r="H617" s="172" t="s">
        <v>20</v>
      </c>
      <c r="I617" s="175">
        <v>1</v>
      </c>
      <c r="J617" s="175" t="s">
        <v>18</v>
      </c>
      <c r="K617" s="175" t="s">
        <v>85</v>
      </c>
      <c r="L617" s="172" t="s">
        <v>86</v>
      </c>
    </row>
    <row r="618" spans="1:12" x14ac:dyDescent="0.2">
      <c r="A618" s="172" t="s">
        <v>83</v>
      </c>
      <c r="B618" s="172" t="s">
        <v>84</v>
      </c>
      <c r="C618" s="172" t="s">
        <v>14</v>
      </c>
      <c r="D618" s="172" t="s">
        <v>15</v>
      </c>
      <c r="E618" s="173">
        <v>42074</v>
      </c>
      <c r="F618" s="174">
        <v>17.3</v>
      </c>
      <c r="G618" s="175" t="s">
        <v>16</v>
      </c>
      <c r="H618" s="172" t="s">
        <v>17</v>
      </c>
      <c r="I618" s="175">
        <v>1</v>
      </c>
      <c r="J618" s="175" t="s">
        <v>18</v>
      </c>
      <c r="K618" s="175" t="s">
        <v>85</v>
      </c>
      <c r="L618" s="172" t="s">
        <v>86</v>
      </c>
    </row>
    <row r="619" spans="1:12" x14ac:dyDescent="0.2">
      <c r="A619" s="172" t="s">
        <v>83</v>
      </c>
      <c r="B619" s="172" t="s">
        <v>84</v>
      </c>
      <c r="C619" s="172" t="s">
        <v>14</v>
      </c>
      <c r="D619" s="172" t="s">
        <v>15</v>
      </c>
      <c r="E619" s="173">
        <v>42074</v>
      </c>
      <c r="F619" s="174">
        <v>99.266015999999993</v>
      </c>
      <c r="G619" s="175" t="s">
        <v>19</v>
      </c>
      <c r="H619" s="172" t="s">
        <v>17</v>
      </c>
      <c r="I619" s="175">
        <v>1</v>
      </c>
      <c r="J619" s="175" t="s">
        <v>18</v>
      </c>
      <c r="K619" s="175" t="s">
        <v>85</v>
      </c>
      <c r="L619" s="172" t="s">
        <v>86</v>
      </c>
    </row>
    <row r="620" spans="1:12" x14ac:dyDescent="0.2">
      <c r="A620" s="172" t="s">
        <v>83</v>
      </c>
      <c r="B620" s="172" t="s">
        <v>84</v>
      </c>
      <c r="C620" s="172" t="s">
        <v>14</v>
      </c>
      <c r="D620" s="172" t="s">
        <v>15</v>
      </c>
      <c r="E620" s="173">
        <v>42074</v>
      </c>
      <c r="F620" s="174">
        <v>8.9</v>
      </c>
      <c r="G620" s="175" t="s">
        <v>16</v>
      </c>
      <c r="H620" s="172" t="s">
        <v>20</v>
      </c>
      <c r="I620" s="175">
        <v>1</v>
      </c>
      <c r="J620" s="175" t="s">
        <v>18</v>
      </c>
      <c r="K620" s="175" t="s">
        <v>85</v>
      </c>
      <c r="L620" s="172" t="s">
        <v>86</v>
      </c>
    </row>
    <row r="621" spans="1:12" x14ac:dyDescent="0.2">
      <c r="A621" s="172" t="s">
        <v>83</v>
      </c>
      <c r="B621" s="172" t="s">
        <v>84</v>
      </c>
      <c r="C621" s="172" t="s">
        <v>14</v>
      </c>
      <c r="D621" s="172" t="s">
        <v>15</v>
      </c>
      <c r="E621" s="173">
        <v>42074</v>
      </c>
      <c r="F621" s="174">
        <v>51.067487999999997</v>
      </c>
      <c r="G621" s="175" t="s">
        <v>19</v>
      </c>
      <c r="H621" s="172" t="s">
        <v>20</v>
      </c>
      <c r="I621" s="175">
        <v>1</v>
      </c>
      <c r="J621" s="175" t="s">
        <v>18</v>
      </c>
      <c r="K621" s="175" t="s">
        <v>85</v>
      </c>
      <c r="L621" s="172" t="s">
        <v>86</v>
      </c>
    </row>
    <row r="622" spans="1:12" x14ac:dyDescent="0.2">
      <c r="A622" s="172" t="s">
        <v>83</v>
      </c>
      <c r="B622" s="172" t="s">
        <v>84</v>
      </c>
      <c r="C622" s="172" t="s">
        <v>14</v>
      </c>
      <c r="D622" s="172" t="s">
        <v>15</v>
      </c>
      <c r="E622" s="173">
        <v>42066</v>
      </c>
      <c r="F622" s="174">
        <v>31.1</v>
      </c>
      <c r="G622" s="175" t="s">
        <v>16</v>
      </c>
      <c r="H622" s="172" t="s">
        <v>17</v>
      </c>
      <c r="I622" s="175">
        <v>1</v>
      </c>
      <c r="J622" s="175" t="s">
        <v>18</v>
      </c>
      <c r="K622" s="175" t="s">
        <v>85</v>
      </c>
      <c r="L622" s="172" t="s">
        <v>86</v>
      </c>
    </row>
    <row r="623" spans="1:12" x14ac:dyDescent="0.2">
      <c r="A623" s="172" t="s">
        <v>83</v>
      </c>
      <c r="B623" s="172" t="s">
        <v>84</v>
      </c>
      <c r="C623" s="172" t="s">
        <v>14</v>
      </c>
      <c r="D623" s="172" t="s">
        <v>15</v>
      </c>
      <c r="E623" s="173">
        <v>42066</v>
      </c>
      <c r="F623" s="174">
        <v>80.405940000000001</v>
      </c>
      <c r="G623" s="175" t="s">
        <v>19</v>
      </c>
      <c r="H623" s="172" t="s">
        <v>17</v>
      </c>
      <c r="I623" s="175">
        <v>1</v>
      </c>
      <c r="J623" s="175" t="s">
        <v>18</v>
      </c>
      <c r="K623" s="175" t="s">
        <v>85</v>
      </c>
      <c r="L623" s="172" t="s">
        <v>86</v>
      </c>
    </row>
    <row r="624" spans="1:12" x14ac:dyDescent="0.2">
      <c r="A624" s="172" t="s">
        <v>83</v>
      </c>
      <c r="B624" s="172" t="s">
        <v>84</v>
      </c>
      <c r="C624" s="172" t="s">
        <v>14</v>
      </c>
      <c r="D624" s="172" t="s">
        <v>15</v>
      </c>
      <c r="E624" s="173">
        <v>42066</v>
      </c>
      <c r="F624" s="174">
        <v>13.6</v>
      </c>
      <c r="G624" s="175" t="s">
        <v>16</v>
      </c>
      <c r="H624" s="172" t="s">
        <v>20</v>
      </c>
      <c r="I624" s="175">
        <v>1</v>
      </c>
      <c r="J624" s="175" t="s">
        <v>18</v>
      </c>
      <c r="K624" s="175" t="s">
        <v>85</v>
      </c>
      <c r="L624" s="172" t="s">
        <v>86</v>
      </c>
    </row>
    <row r="625" spans="1:12" x14ac:dyDescent="0.2">
      <c r="A625" s="172" t="s">
        <v>83</v>
      </c>
      <c r="B625" s="172" t="s">
        <v>84</v>
      </c>
      <c r="C625" s="172" t="s">
        <v>14</v>
      </c>
      <c r="D625" s="172" t="s">
        <v>15</v>
      </c>
      <c r="E625" s="173">
        <v>42066</v>
      </c>
      <c r="F625" s="174">
        <v>35.161439999999999</v>
      </c>
      <c r="G625" s="175" t="s">
        <v>19</v>
      </c>
      <c r="H625" s="172" t="s">
        <v>20</v>
      </c>
      <c r="I625" s="175">
        <v>1</v>
      </c>
      <c r="J625" s="175" t="s">
        <v>18</v>
      </c>
      <c r="K625" s="175" t="s">
        <v>85</v>
      </c>
      <c r="L625" s="172" t="s">
        <v>86</v>
      </c>
    </row>
    <row r="626" spans="1:12" x14ac:dyDescent="0.2">
      <c r="A626" s="172" t="s">
        <v>83</v>
      </c>
      <c r="B626" s="172" t="s">
        <v>84</v>
      </c>
      <c r="C626" s="172" t="s">
        <v>14</v>
      </c>
      <c r="D626" s="172" t="s">
        <v>15</v>
      </c>
      <c r="E626" s="173">
        <v>42059</v>
      </c>
      <c r="F626" s="174">
        <v>24.1</v>
      </c>
      <c r="G626" s="175" t="s">
        <v>16</v>
      </c>
      <c r="H626" s="172" t="s">
        <v>17</v>
      </c>
      <c r="I626" s="175">
        <v>1</v>
      </c>
      <c r="J626" s="175" t="s">
        <v>18</v>
      </c>
      <c r="K626" s="175" t="s">
        <v>85</v>
      </c>
      <c r="L626" s="172" t="s">
        <v>86</v>
      </c>
    </row>
    <row r="627" spans="1:12" x14ac:dyDescent="0.2">
      <c r="A627" s="172" t="s">
        <v>83</v>
      </c>
      <c r="B627" s="172" t="s">
        <v>84</v>
      </c>
      <c r="C627" s="172" t="s">
        <v>14</v>
      </c>
      <c r="D627" s="172" t="s">
        <v>15</v>
      </c>
      <c r="E627" s="173">
        <v>42059</v>
      </c>
      <c r="F627" s="174">
        <v>66.127026000000001</v>
      </c>
      <c r="G627" s="175" t="s">
        <v>19</v>
      </c>
      <c r="H627" s="172" t="s">
        <v>17</v>
      </c>
      <c r="I627" s="175">
        <v>1</v>
      </c>
      <c r="J627" s="175" t="s">
        <v>18</v>
      </c>
      <c r="K627" s="175" t="s">
        <v>85</v>
      </c>
      <c r="L627" s="172" t="s">
        <v>86</v>
      </c>
    </row>
    <row r="628" spans="1:12" x14ac:dyDescent="0.2">
      <c r="A628" s="172" t="s">
        <v>83</v>
      </c>
      <c r="B628" s="172" t="s">
        <v>84</v>
      </c>
      <c r="C628" s="172" t="s">
        <v>14</v>
      </c>
      <c r="D628" s="172" t="s">
        <v>15</v>
      </c>
      <c r="E628" s="173">
        <v>42059</v>
      </c>
      <c r="F628" s="174">
        <v>12.8</v>
      </c>
      <c r="G628" s="175" t="s">
        <v>16</v>
      </c>
      <c r="H628" s="172" t="s">
        <v>20</v>
      </c>
      <c r="I628" s="175">
        <v>1</v>
      </c>
      <c r="J628" s="175" t="s">
        <v>18</v>
      </c>
      <c r="K628" s="175" t="s">
        <v>85</v>
      </c>
      <c r="L628" s="172" t="s">
        <v>86</v>
      </c>
    </row>
    <row r="629" spans="1:12" x14ac:dyDescent="0.2">
      <c r="A629" s="172" t="s">
        <v>83</v>
      </c>
      <c r="B629" s="172" t="s">
        <v>84</v>
      </c>
      <c r="C629" s="172" t="s">
        <v>14</v>
      </c>
      <c r="D629" s="172" t="s">
        <v>15</v>
      </c>
      <c r="E629" s="173">
        <v>42059</v>
      </c>
      <c r="F629" s="174">
        <v>35.121408000000002</v>
      </c>
      <c r="G629" s="175" t="s">
        <v>19</v>
      </c>
      <c r="H629" s="172" t="s">
        <v>20</v>
      </c>
      <c r="I629" s="175">
        <v>1</v>
      </c>
      <c r="J629" s="175" t="s">
        <v>18</v>
      </c>
      <c r="K629" s="175" t="s">
        <v>85</v>
      </c>
      <c r="L629" s="172" t="s">
        <v>86</v>
      </c>
    </row>
    <row r="630" spans="1:12" x14ac:dyDescent="0.2">
      <c r="A630" s="172" t="s">
        <v>83</v>
      </c>
      <c r="B630" s="172" t="s">
        <v>84</v>
      </c>
      <c r="C630" s="172" t="s">
        <v>14</v>
      </c>
      <c r="D630" s="172" t="s">
        <v>15</v>
      </c>
      <c r="E630" s="173">
        <v>42052</v>
      </c>
      <c r="F630" s="174">
        <v>34.39</v>
      </c>
      <c r="G630" s="175" t="s">
        <v>16</v>
      </c>
      <c r="H630" s="172" t="s">
        <v>17</v>
      </c>
      <c r="I630" s="175">
        <v>1</v>
      </c>
      <c r="J630" s="175" t="s">
        <v>18</v>
      </c>
      <c r="K630" s="175" t="s">
        <v>85</v>
      </c>
      <c r="L630" s="172" t="s">
        <v>86</v>
      </c>
    </row>
    <row r="631" spans="1:12" x14ac:dyDescent="0.2">
      <c r="A631" s="172" t="s">
        <v>83</v>
      </c>
      <c r="B631" s="172" t="s">
        <v>84</v>
      </c>
      <c r="C631" s="172" t="s">
        <v>14</v>
      </c>
      <c r="D631" s="172" t="s">
        <v>15</v>
      </c>
      <c r="E631" s="173">
        <v>42052</v>
      </c>
      <c r="F631" s="174">
        <v>96.082221000000004</v>
      </c>
      <c r="G631" s="175" t="s">
        <v>19</v>
      </c>
      <c r="H631" s="172" t="s">
        <v>17</v>
      </c>
      <c r="I631" s="175">
        <v>1</v>
      </c>
      <c r="J631" s="175" t="s">
        <v>18</v>
      </c>
      <c r="K631" s="175" t="s">
        <v>85</v>
      </c>
      <c r="L631" s="172" t="s">
        <v>86</v>
      </c>
    </row>
    <row r="632" spans="1:12" x14ac:dyDescent="0.2">
      <c r="A632" s="172" t="s">
        <v>83</v>
      </c>
      <c r="B632" s="172" t="s">
        <v>84</v>
      </c>
      <c r="C632" s="172" t="s">
        <v>14</v>
      </c>
      <c r="D632" s="172" t="s">
        <v>15</v>
      </c>
      <c r="E632" s="173">
        <v>42052</v>
      </c>
      <c r="F632" s="174">
        <v>11</v>
      </c>
      <c r="G632" s="175" t="s">
        <v>16</v>
      </c>
      <c r="H632" s="172" t="s">
        <v>20</v>
      </c>
      <c r="I632" s="175">
        <v>1</v>
      </c>
      <c r="J632" s="175" t="s">
        <v>18</v>
      </c>
      <c r="K632" s="175" t="s">
        <v>85</v>
      </c>
      <c r="L632" s="172" t="s">
        <v>86</v>
      </c>
    </row>
    <row r="633" spans="1:12" x14ac:dyDescent="0.2">
      <c r="A633" s="172" t="s">
        <v>83</v>
      </c>
      <c r="B633" s="172" t="s">
        <v>84</v>
      </c>
      <c r="C633" s="172" t="s">
        <v>14</v>
      </c>
      <c r="D633" s="172" t="s">
        <v>15</v>
      </c>
      <c r="E633" s="173">
        <v>42052</v>
      </c>
      <c r="F633" s="174">
        <v>30.732900000000001</v>
      </c>
      <c r="G633" s="175" t="s">
        <v>19</v>
      </c>
      <c r="H633" s="172" t="s">
        <v>20</v>
      </c>
      <c r="I633" s="175">
        <v>1</v>
      </c>
      <c r="J633" s="175" t="s">
        <v>18</v>
      </c>
      <c r="K633" s="175" t="s">
        <v>85</v>
      </c>
      <c r="L633" s="172" t="s">
        <v>86</v>
      </c>
    </row>
    <row r="634" spans="1:12" x14ac:dyDescent="0.2">
      <c r="A634" s="172" t="s">
        <v>83</v>
      </c>
      <c r="B634" s="172" t="s">
        <v>84</v>
      </c>
      <c r="C634" s="172" t="s">
        <v>14</v>
      </c>
      <c r="D634" s="172" t="s">
        <v>15</v>
      </c>
      <c r="E634" s="173">
        <v>42045</v>
      </c>
      <c r="F634" s="174">
        <v>25.44</v>
      </c>
      <c r="G634" s="175" t="s">
        <v>16</v>
      </c>
      <c r="H634" s="172" t="s">
        <v>17</v>
      </c>
      <c r="I634" s="175">
        <v>1</v>
      </c>
      <c r="J634" s="175" t="s">
        <v>18</v>
      </c>
      <c r="K634" s="175" t="s">
        <v>85</v>
      </c>
      <c r="L634" s="172" t="s">
        <v>86</v>
      </c>
    </row>
    <row r="635" spans="1:12" x14ac:dyDescent="0.2">
      <c r="A635" s="172" t="s">
        <v>83</v>
      </c>
      <c r="B635" s="172" t="s">
        <v>84</v>
      </c>
      <c r="C635" s="172" t="s">
        <v>14</v>
      </c>
      <c r="D635" s="172" t="s">
        <v>15</v>
      </c>
      <c r="E635" s="173">
        <v>42045</v>
      </c>
      <c r="F635" s="174">
        <v>81.048787200000007</v>
      </c>
      <c r="G635" s="175" t="s">
        <v>19</v>
      </c>
      <c r="H635" s="172" t="s">
        <v>17</v>
      </c>
      <c r="I635" s="175">
        <v>1</v>
      </c>
      <c r="J635" s="175" t="s">
        <v>18</v>
      </c>
      <c r="K635" s="175" t="s">
        <v>85</v>
      </c>
      <c r="L635" s="172" t="s">
        <v>86</v>
      </c>
    </row>
    <row r="636" spans="1:12" x14ac:dyDescent="0.2">
      <c r="A636" s="172" t="s">
        <v>83</v>
      </c>
      <c r="B636" s="172" t="s">
        <v>84</v>
      </c>
      <c r="C636" s="172" t="s">
        <v>14</v>
      </c>
      <c r="D636" s="172" t="s">
        <v>15</v>
      </c>
      <c r="E636" s="173">
        <v>42045</v>
      </c>
      <c r="F636" s="174">
        <v>11.1</v>
      </c>
      <c r="G636" s="175" t="s">
        <v>16</v>
      </c>
      <c r="H636" s="172" t="s">
        <v>20</v>
      </c>
      <c r="I636" s="175">
        <v>1</v>
      </c>
      <c r="J636" s="175" t="s">
        <v>18</v>
      </c>
      <c r="K636" s="175" t="s">
        <v>85</v>
      </c>
      <c r="L636" s="172" t="s">
        <v>86</v>
      </c>
    </row>
    <row r="637" spans="1:12" x14ac:dyDescent="0.2">
      <c r="A637" s="172" t="s">
        <v>83</v>
      </c>
      <c r="B637" s="172" t="s">
        <v>84</v>
      </c>
      <c r="C637" s="172" t="s">
        <v>14</v>
      </c>
      <c r="D637" s="172" t="s">
        <v>15</v>
      </c>
      <c r="E637" s="173">
        <v>42045</v>
      </c>
      <c r="F637" s="174">
        <v>35.363267999999998</v>
      </c>
      <c r="G637" s="175" t="s">
        <v>19</v>
      </c>
      <c r="H637" s="172" t="s">
        <v>20</v>
      </c>
      <c r="I637" s="175">
        <v>1</v>
      </c>
      <c r="J637" s="175" t="s">
        <v>18</v>
      </c>
      <c r="K637" s="175" t="s">
        <v>85</v>
      </c>
      <c r="L637" s="172" t="s">
        <v>86</v>
      </c>
    </row>
    <row r="638" spans="1:12" x14ac:dyDescent="0.2">
      <c r="A638" s="172" t="s">
        <v>83</v>
      </c>
      <c r="B638" s="172" t="s">
        <v>84</v>
      </c>
      <c r="C638" s="172" t="s">
        <v>14</v>
      </c>
      <c r="D638" s="172" t="s">
        <v>15</v>
      </c>
      <c r="E638" s="173">
        <v>42037</v>
      </c>
      <c r="F638" s="174">
        <v>30.34</v>
      </c>
      <c r="G638" s="175" t="s">
        <v>16</v>
      </c>
      <c r="H638" s="172" t="s">
        <v>17</v>
      </c>
      <c r="I638" s="175">
        <v>1</v>
      </c>
      <c r="J638" s="175" t="s">
        <v>18</v>
      </c>
      <c r="K638" s="175" t="s">
        <v>85</v>
      </c>
      <c r="L638" s="172" t="s">
        <v>86</v>
      </c>
    </row>
    <row r="639" spans="1:12" x14ac:dyDescent="0.2">
      <c r="A639" s="172" t="s">
        <v>83</v>
      </c>
      <c r="B639" s="172" t="s">
        <v>84</v>
      </c>
      <c r="C639" s="172" t="s">
        <v>14</v>
      </c>
      <c r="D639" s="172" t="s">
        <v>15</v>
      </c>
      <c r="E639" s="173">
        <v>42037</v>
      </c>
      <c r="F639" s="174">
        <v>88.562460000000002</v>
      </c>
      <c r="G639" s="175" t="s">
        <v>19</v>
      </c>
      <c r="H639" s="172" t="s">
        <v>17</v>
      </c>
      <c r="I639" s="175">
        <v>1</v>
      </c>
      <c r="J639" s="175" t="s">
        <v>18</v>
      </c>
      <c r="K639" s="175" t="s">
        <v>85</v>
      </c>
      <c r="L639" s="172" t="s">
        <v>86</v>
      </c>
    </row>
    <row r="640" spans="1:12" x14ac:dyDescent="0.2">
      <c r="A640" s="172" t="s">
        <v>83</v>
      </c>
      <c r="B640" s="172" t="s">
        <v>84</v>
      </c>
      <c r="C640" s="172" t="s">
        <v>14</v>
      </c>
      <c r="D640" s="172" t="s">
        <v>15</v>
      </c>
      <c r="E640" s="173">
        <v>42037</v>
      </c>
      <c r="F640" s="174">
        <v>9.5</v>
      </c>
      <c r="G640" s="175" t="s">
        <v>16</v>
      </c>
      <c r="H640" s="172" t="s">
        <v>20</v>
      </c>
      <c r="I640" s="175">
        <v>1</v>
      </c>
      <c r="J640" s="175" t="s">
        <v>18</v>
      </c>
      <c r="K640" s="175" t="s">
        <v>85</v>
      </c>
      <c r="L640" s="172" t="s">
        <v>86</v>
      </c>
    </row>
    <row r="641" spans="1:12" x14ac:dyDescent="0.2">
      <c r="A641" s="172" t="s">
        <v>83</v>
      </c>
      <c r="B641" s="172" t="s">
        <v>84</v>
      </c>
      <c r="C641" s="172" t="s">
        <v>14</v>
      </c>
      <c r="D641" s="172" t="s">
        <v>15</v>
      </c>
      <c r="E641" s="173">
        <v>42037</v>
      </c>
      <c r="F641" s="174">
        <v>27.730499999999999</v>
      </c>
      <c r="G641" s="175" t="s">
        <v>19</v>
      </c>
      <c r="H641" s="172" t="s">
        <v>20</v>
      </c>
      <c r="I641" s="175">
        <v>1</v>
      </c>
      <c r="J641" s="175" t="s">
        <v>18</v>
      </c>
      <c r="K641" s="175" t="s">
        <v>85</v>
      </c>
      <c r="L641" s="172" t="s">
        <v>86</v>
      </c>
    </row>
    <row r="642" spans="1:12" x14ac:dyDescent="0.2">
      <c r="A642" s="172" t="s">
        <v>83</v>
      </c>
      <c r="B642" s="172" t="s">
        <v>84</v>
      </c>
      <c r="C642" s="172" t="s">
        <v>14</v>
      </c>
      <c r="D642" s="172" t="s">
        <v>15</v>
      </c>
      <c r="E642" s="173">
        <v>42031</v>
      </c>
      <c r="F642" s="174">
        <v>30.7</v>
      </c>
      <c r="G642" s="175" t="s">
        <v>16</v>
      </c>
      <c r="H642" s="172" t="s">
        <v>17</v>
      </c>
      <c r="I642" s="175">
        <v>1</v>
      </c>
      <c r="J642" s="175" t="s">
        <v>18</v>
      </c>
      <c r="K642" s="175" t="s">
        <v>85</v>
      </c>
      <c r="L642" s="172" t="s">
        <v>86</v>
      </c>
    </row>
    <row r="643" spans="1:12" x14ac:dyDescent="0.2">
      <c r="A643" s="172" t="s">
        <v>83</v>
      </c>
      <c r="B643" s="172" t="s">
        <v>84</v>
      </c>
      <c r="C643" s="172" t="s">
        <v>14</v>
      </c>
      <c r="D643" s="172" t="s">
        <v>15</v>
      </c>
      <c r="E643" s="173">
        <v>42031</v>
      </c>
      <c r="F643" s="174">
        <v>119.56974599999999</v>
      </c>
      <c r="G643" s="175" t="s">
        <v>19</v>
      </c>
      <c r="H643" s="172" t="s">
        <v>17</v>
      </c>
      <c r="I643" s="175">
        <v>1</v>
      </c>
      <c r="J643" s="175" t="s">
        <v>18</v>
      </c>
      <c r="K643" s="175" t="s">
        <v>85</v>
      </c>
      <c r="L643" s="172" t="s">
        <v>86</v>
      </c>
    </row>
    <row r="644" spans="1:12" x14ac:dyDescent="0.2">
      <c r="A644" s="172" t="s">
        <v>83</v>
      </c>
      <c r="B644" s="172" t="s">
        <v>84</v>
      </c>
      <c r="C644" s="172" t="s">
        <v>14</v>
      </c>
      <c r="D644" s="172" t="s">
        <v>15</v>
      </c>
      <c r="E644" s="173">
        <v>42031</v>
      </c>
      <c r="F644" s="174">
        <v>9.3000000000000007</v>
      </c>
      <c r="G644" s="175" t="s">
        <v>16</v>
      </c>
      <c r="H644" s="172" t="s">
        <v>20</v>
      </c>
      <c r="I644" s="175">
        <v>1</v>
      </c>
      <c r="J644" s="175" t="s">
        <v>18</v>
      </c>
      <c r="K644" s="175" t="s">
        <v>85</v>
      </c>
      <c r="L644" s="172" t="s">
        <v>86</v>
      </c>
    </row>
    <row r="645" spans="1:12" x14ac:dyDescent="0.2">
      <c r="A645" s="172" t="s">
        <v>83</v>
      </c>
      <c r="B645" s="172" t="s">
        <v>84</v>
      </c>
      <c r="C645" s="172" t="s">
        <v>14</v>
      </c>
      <c r="D645" s="172" t="s">
        <v>15</v>
      </c>
      <c r="E645" s="173">
        <v>42031</v>
      </c>
      <c r="F645" s="174">
        <v>36.221454000000001</v>
      </c>
      <c r="G645" s="175" t="s">
        <v>19</v>
      </c>
      <c r="H645" s="172" t="s">
        <v>20</v>
      </c>
      <c r="I645" s="175">
        <v>1</v>
      </c>
      <c r="J645" s="175" t="s">
        <v>18</v>
      </c>
      <c r="K645" s="175" t="s">
        <v>85</v>
      </c>
      <c r="L645" s="172" t="s">
        <v>86</v>
      </c>
    </row>
    <row r="646" spans="1:12" x14ac:dyDescent="0.2">
      <c r="A646" s="172" t="s">
        <v>83</v>
      </c>
      <c r="B646" s="172" t="s">
        <v>84</v>
      </c>
      <c r="C646" s="172" t="s">
        <v>14</v>
      </c>
      <c r="D646" s="172" t="s">
        <v>15</v>
      </c>
      <c r="E646" s="173">
        <v>42024</v>
      </c>
      <c r="F646" s="174">
        <v>21.6</v>
      </c>
      <c r="G646" s="175" t="s">
        <v>16</v>
      </c>
      <c r="H646" s="172" t="s">
        <v>17</v>
      </c>
      <c r="I646" s="175">
        <v>1</v>
      </c>
      <c r="J646" s="175" t="s">
        <v>18</v>
      </c>
      <c r="K646" s="175" t="s">
        <v>85</v>
      </c>
      <c r="L646" s="172" t="s">
        <v>86</v>
      </c>
    </row>
    <row r="647" spans="1:12" x14ac:dyDescent="0.2">
      <c r="A647" s="172" t="s">
        <v>83</v>
      </c>
      <c r="B647" s="172" t="s">
        <v>84</v>
      </c>
      <c r="C647" s="172" t="s">
        <v>14</v>
      </c>
      <c r="D647" s="172" t="s">
        <v>15</v>
      </c>
      <c r="E647" s="173">
        <v>42024</v>
      </c>
      <c r="F647" s="174">
        <v>67.554000000000002</v>
      </c>
      <c r="G647" s="175" t="s">
        <v>19</v>
      </c>
      <c r="H647" s="172" t="s">
        <v>17</v>
      </c>
      <c r="I647" s="175">
        <v>1</v>
      </c>
      <c r="J647" s="175" t="s">
        <v>18</v>
      </c>
      <c r="K647" s="175" t="s">
        <v>85</v>
      </c>
      <c r="L647" s="172" t="s">
        <v>86</v>
      </c>
    </row>
    <row r="648" spans="1:12" x14ac:dyDescent="0.2">
      <c r="A648" s="172" t="s">
        <v>83</v>
      </c>
      <c r="B648" s="172" t="s">
        <v>84</v>
      </c>
      <c r="C648" s="172" t="s">
        <v>14</v>
      </c>
      <c r="D648" s="172" t="s">
        <v>15</v>
      </c>
      <c r="E648" s="173">
        <v>42024</v>
      </c>
      <c r="F648" s="174">
        <v>11.7</v>
      </c>
      <c r="G648" s="175" t="s">
        <v>16</v>
      </c>
      <c r="H648" s="172" t="s">
        <v>20</v>
      </c>
      <c r="I648" s="175">
        <v>1</v>
      </c>
      <c r="J648" s="175" t="s">
        <v>18</v>
      </c>
      <c r="K648" s="175" t="s">
        <v>85</v>
      </c>
      <c r="L648" s="172" t="s">
        <v>86</v>
      </c>
    </row>
    <row r="649" spans="1:12" x14ac:dyDescent="0.2">
      <c r="A649" s="172" t="s">
        <v>83</v>
      </c>
      <c r="B649" s="172" t="s">
        <v>84</v>
      </c>
      <c r="C649" s="172" t="s">
        <v>14</v>
      </c>
      <c r="D649" s="172" t="s">
        <v>15</v>
      </c>
      <c r="E649" s="173">
        <v>42024</v>
      </c>
      <c r="F649" s="174">
        <v>36.591749999999998</v>
      </c>
      <c r="G649" s="175" t="s">
        <v>19</v>
      </c>
      <c r="H649" s="172" t="s">
        <v>20</v>
      </c>
      <c r="I649" s="175">
        <v>1</v>
      </c>
      <c r="J649" s="175" t="s">
        <v>18</v>
      </c>
      <c r="K649" s="175" t="s">
        <v>85</v>
      </c>
      <c r="L649" s="172" t="s">
        <v>86</v>
      </c>
    </row>
    <row r="650" spans="1:12" x14ac:dyDescent="0.2">
      <c r="A650" s="172" t="s">
        <v>83</v>
      </c>
      <c r="B650" s="172" t="s">
        <v>84</v>
      </c>
      <c r="C650" s="172" t="s">
        <v>14</v>
      </c>
      <c r="D650" s="172" t="s">
        <v>15</v>
      </c>
      <c r="E650" s="173">
        <v>42017</v>
      </c>
      <c r="F650" s="174">
        <v>22.15</v>
      </c>
      <c r="G650" s="175" t="s">
        <v>16</v>
      </c>
      <c r="H650" s="172" t="s">
        <v>17</v>
      </c>
      <c r="I650" s="175">
        <v>1</v>
      </c>
      <c r="J650" s="175" t="s">
        <v>18</v>
      </c>
      <c r="K650" s="175" t="s">
        <v>85</v>
      </c>
      <c r="L650" s="172" t="s">
        <v>86</v>
      </c>
    </row>
    <row r="651" spans="1:12" x14ac:dyDescent="0.2">
      <c r="A651" s="172" t="s">
        <v>83</v>
      </c>
      <c r="B651" s="172" t="s">
        <v>84</v>
      </c>
      <c r="C651" s="172" t="s">
        <v>14</v>
      </c>
      <c r="D651" s="172" t="s">
        <v>15</v>
      </c>
      <c r="E651" s="173">
        <v>42017</v>
      </c>
      <c r="F651" s="174">
        <v>68.719932</v>
      </c>
      <c r="G651" s="175" t="s">
        <v>19</v>
      </c>
      <c r="H651" s="172" t="s">
        <v>17</v>
      </c>
      <c r="I651" s="175">
        <v>1</v>
      </c>
      <c r="J651" s="175" t="s">
        <v>18</v>
      </c>
      <c r="K651" s="175" t="s">
        <v>85</v>
      </c>
      <c r="L651" s="172" t="s">
        <v>86</v>
      </c>
    </row>
    <row r="652" spans="1:12" x14ac:dyDescent="0.2">
      <c r="A652" s="172" t="s">
        <v>83</v>
      </c>
      <c r="B652" s="172" t="s">
        <v>84</v>
      </c>
      <c r="C652" s="172" t="s">
        <v>14</v>
      </c>
      <c r="D652" s="172" t="s">
        <v>15</v>
      </c>
      <c r="E652" s="173">
        <v>42017</v>
      </c>
      <c r="F652" s="174">
        <v>11.4</v>
      </c>
      <c r="G652" s="175" t="s">
        <v>16</v>
      </c>
      <c r="H652" s="172" t="s">
        <v>20</v>
      </c>
      <c r="I652" s="175">
        <v>1</v>
      </c>
      <c r="J652" s="175" t="s">
        <v>18</v>
      </c>
      <c r="K652" s="175" t="s">
        <v>85</v>
      </c>
      <c r="L652" s="172" t="s">
        <v>86</v>
      </c>
    </row>
    <row r="653" spans="1:12" x14ac:dyDescent="0.2">
      <c r="A653" s="172" t="s">
        <v>83</v>
      </c>
      <c r="B653" s="172" t="s">
        <v>84</v>
      </c>
      <c r="C653" s="172" t="s">
        <v>14</v>
      </c>
      <c r="D653" s="172" t="s">
        <v>15</v>
      </c>
      <c r="E653" s="173">
        <v>42017</v>
      </c>
      <c r="F653" s="174">
        <v>35.368271999999997</v>
      </c>
      <c r="G653" s="175" t="s">
        <v>19</v>
      </c>
      <c r="H653" s="172" t="s">
        <v>20</v>
      </c>
      <c r="I653" s="175">
        <v>1</v>
      </c>
      <c r="J653" s="175" t="s">
        <v>18</v>
      </c>
      <c r="K653" s="175" t="s">
        <v>85</v>
      </c>
      <c r="L653" s="172" t="s">
        <v>86</v>
      </c>
    </row>
    <row r="654" spans="1:12" x14ac:dyDescent="0.2">
      <c r="A654" s="172" t="s">
        <v>83</v>
      </c>
      <c r="B654" s="172" t="s">
        <v>84</v>
      </c>
      <c r="C654" s="172" t="s">
        <v>14</v>
      </c>
      <c r="D654" s="172" t="s">
        <v>15</v>
      </c>
      <c r="E654" s="173">
        <v>42010</v>
      </c>
      <c r="F654" s="174">
        <v>33.1</v>
      </c>
      <c r="G654" s="175" t="s">
        <v>16</v>
      </c>
      <c r="H654" s="172" t="s">
        <v>17</v>
      </c>
      <c r="I654" s="175">
        <v>1</v>
      </c>
      <c r="J654" s="175" t="s">
        <v>18</v>
      </c>
      <c r="K654" s="175" t="s">
        <v>85</v>
      </c>
      <c r="L654" s="172" t="s">
        <v>86</v>
      </c>
    </row>
    <row r="655" spans="1:12" x14ac:dyDescent="0.2">
      <c r="A655" s="172" t="s">
        <v>83</v>
      </c>
      <c r="B655" s="172" t="s">
        <v>84</v>
      </c>
      <c r="C655" s="172" t="s">
        <v>14</v>
      </c>
      <c r="D655" s="172" t="s">
        <v>15</v>
      </c>
      <c r="E655" s="173">
        <v>42010</v>
      </c>
      <c r="F655" s="174">
        <v>100.483656</v>
      </c>
      <c r="G655" s="175" t="s">
        <v>19</v>
      </c>
      <c r="H655" s="172" t="s">
        <v>17</v>
      </c>
      <c r="I655" s="175">
        <v>1</v>
      </c>
      <c r="J655" s="175" t="s">
        <v>18</v>
      </c>
      <c r="K655" s="175" t="s">
        <v>85</v>
      </c>
      <c r="L655" s="172" t="s">
        <v>86</v>
      </c>
    </row>
    <row r="656" spans="1:12" x14ac:dyDescent="0.2">
      <c r="A656" s="172" t="s">
        <v>83</v>
      </c>
      <c r="B656" s="172" t="s">
        <v>84</v>
      </c>
      <c r="C656" s="172" t="s">
        <v>14</v>
      </c>
      <c r="D656" s="172" t="s">
        <v>15</v>
      </c>
      <c r="E656" s="173">
        <v>42010</v>
      </c>
      <c r="F656" s="174">
        <v>9.5</v>
      </c>
      <c r="G656" s="175" t="s">
        <v>16</v>
      </c>
      <c r="H656" s="172" t="s">
        <v>20</v>
      </c>
      <c r="I656" s="175">
        <v>1</v>
      </c>
      <c r="J656" s="175" t="s">
        <v>18</v>
      </c>
      <c r="K656" s="175" t="s">
        <v>85</v>
      </c>
      <c r="L656" s="172" t="s">
        <v>86</v>
      </c>
    </row>
    <row r="657" spans="1:12" x14ac:dyDescent="0.2">
      <c r="A657" s="172" t="s">
        <v>83</v>
      </c>
      <c r="B657" s="172" t="s">
        <v>84</v>
      </c>
      <c r="C657" s="172" t="s">
        <v>14</v>
      </c>
      <c r="D657" s="172" t="s">
        <v>15</v>
      </c>
      <c r="E657" s="173">
        <v>42010</v>
      </c>
      <c r="F657" s="174">
        <v>28.83972</v>
      </c>
      <c r="G657" s="175" t="s">
        <v>19</v>
      </c>
      <c r="H657" s="172" t="s">
        <v>20</v>
      </c>
      <c r="I657" s="175">
        <v>1</v>
      </c>
      <c r="J657" s="175" t="s">
        <v>18</v>
      </c>
      <c r="K657" s="175" t="s">
        <v>85</v>
      </c>
      <c r="L657" s="172" t="s">
        <v>86</v>
      </c>
    </row>
    <row r="658" spans="1:12" x14ac:dyDescent="0.2">
      <c r="A658" s="172" t="s">
        <v>83</v>
      </c>
      <c r="B658" s="172" t="s">
        <v>84</v>
      </c>
      <c r="C658" s="172" t="s">
        <v>14</v>
      </c>
      <c r="D658" s="172" t="s">
        <v>15</v>
      </c>
      <c r="E658" s="173">
        <v>42003</v>
      </c>
      <c r="F658" s="174">
        <v>24.34</v>
      </c>
      <c r="G658" s="175" t="s">
        <v>16</v>
      </c>
      <c r="H658" s="172" t="s">
        <v>17</v>
      </c>
      <c r="I658" s="175">
        <v>1</v>
      </c>
      <c r="J658" s="175" t="s">
        <v>18</v>
      </c>
      <c r="K658" s="175" t="s">
        <v>85</v>
      </c>
      <c r="L658" s="172" t="s">
        <v>86</v>
      </c>
    </row>
    <row r="659" spans="1:12" x14ac:dyDescent="0.2">
      <c r="A659" s="172" t="s">
        <v>83</v>
      </c>
      <c r="B659" s="172" t="s">
        <v>84</v>
      </c>
      <c r="C659" s="172" t="s">
        <v>14</v>
      </c>
      <c r="D659" s="172" t="s">
        <v>15</v>
      </c>
      <c r="E659" s="173">
        <v>42003</v>
      </c>
      <c r="F659" s="174">
        <v>82.6192092</v>
      </c>
      <c r="G659" s="175" t="s">
        <v>19</v>
      </c>
      <c r="H659" s="172" t="s">
        <v>17</v>
      </c>
      <c r="I659" s="175">
        <v>1</v>
      </c>
      <c r="J659" s="175" t="s">
        <v>18</v>
      </c>
      <c r="K659" s="175" t="s">
        <v>85</v>
      </c>
      <c r="L659" s="172" t="s">
        <v>86</v>
      </c>
    </row>
    <row r="660" spans="1:12" x14ac:dyDescent="0.2">
      <c r="A660" s="172" t="s">
        <v>83</v>
      </c>
      <c r="B660" s="172" t="s">
        <v>84</v>
      </c>
      <c r="C660" s="172" t="s">
        <v>14</v>
      </c>
      <c r="D660" s="172" t="s">
        <v>15</v>
      </c>
      <c r="E660" s="173">
        <v>42003</v>
      </c>
      <c r="F660" s="174">
        <v>9.8000000000000007</v>
      </c>
      <c r="G660" s="175" t="s">
        <v>16</v>
      </c>
      <c r="H660" s="172" t="s">
        <v>20</v>
      </c>
      <c r="I660" s="175">
        <v>1</v>
      </c>
      <c r="J660" s="175" t="s">
        <v>18</v>
      </c>
      <c r="K660" s="175" t="s">
        <v>85</v>
      </c>
      <c r="L660" s="172" t="s">
        <v>86</v>
      </c>
    </row>
    <row r="661" spans="1:12" x14ac:dyDescent="0.2">
      <c r="A661" s="172" t="s">
        <v>83</v>
      </c>
      <c r="B661" s="172" t="s">
        <v>84</v>
      </c>
      <c r="C661" s="172" t="s">
        <v>14</v>
      </c>
      <c r="D661" s="172" t="s">
        <v>15</v>
      </c>
      <c r="E661" s="173">
        <v>42003</v>
      </c>
      <c r="F661" s="174">
        <v>33.264924000000001</v>
      </c>
      <c r="G661" s="175" t="s">
        <v>19</v>
      </c>
      <c r="H661" s="172" t="s">
        <v>20</v>
      </c>
      <c r="I661" s="175">
        <v>1</v>
      </c>
      <c r="J661" s="175" t="s">
        <v>18</v>
      </c>
      <c r="K661" s="175" t="s">
        <v>85</v>
      </c>
      <c r="L661" s="172" t="s">
        <v>86</v>
      </c>
    </row>
    <row r="662" spans="1:12" x14ac:dyDescent="0.2">
      <c r="A662" s="172" t="s">
        <v>83</v>
      </c>
      <c r="B662" s="172" t="s">
        <v>84</v>
      </c>
      <c r="C662" s="172" t="s">
        <v>14</v>
      </c>
      <c r="D662" s="172" t="s">
        <v>15</v>
      </c>
      <c r="E662" s="173">
        <v>41996</v>
      </c>
      <c r="F662" s="174">
        <v>24.1</v>
      </c>
      <c r="G662" s="175" t="s">
        <v>16</v>
      </c>
      <c r="H662" s="172" t="s">
        <v>17</v>
      </c>
      <c r="I662" s="175">
        <v>1</v>
      </c>
      <c r="J662" s="175" t="s">
        <v>18</v>
      </c>
      <c r="K662" s="175" t="s">
        <v>85</v>
      </c>
      <c r="L662" s="172" t="s">
        <v>86</v>
      </c>
    </row>
    <row r="663" spans="1:12" x14ac:dyDescent="0.2">
      <c r="A663" s="172" t="s">
        <v>83</v>
      </c>
      <c r="B663" s="172" t="s">
        <v>84</v>
      </c>
      <c r="C663" s="172" t="s">
        <v>14</v>
      </c>
      <c r="D663" s="172" t="s">
        <v>15</v>
      </c>
      <c r="E663" s="173">
        <v>41996</v>
      </c>
      <c r="F663" s="174">
        <v>111.752664</v>
      </c>
      <c r="G663" s="175" t="s">
        <v>19</v>
      </c>
      <c r="H663" s="172" t="s">
        <v>17</v>
      </c>
      <c r="I663" s="175">
        <v>1</v>
      </c>
      <c r="J663" s="175" t="s">
        <v>18</v>
      </c>
      <c r="K663" s="175" t="s">
        <v>85</v>
      </c>
      <c r="L663" s="172" t="s">
        <v>86</v>
      </c>
    </row>
    <row r="664" spans="1:12" x14ac:dyDescent="0.2">
      <c r="A664" s="172" t="s">
        <v>83</v>
      </c>
      <c r="B664" s="172" t="s">
        <v>84</v>
      </c>
      <c r="C664" s="172" t="s">
        <v>14</v>
      </c>
      <c r="D664" s="172" t="s">
        <v>15</v>
      </c>
      <c r="E664" s="173">
        <v>41996</v>
      </c>
      <c r="F664" s="174">
        <v>11.9</v>
      </c>
      <c r="G664" s="175" t="s">
        <v>16</v>
      </c>
      <c r="H664" s="172" t="s">
        <v>20</v>
      </c>
      <c r="I664" s="175">
        <v>1</v>
      </c>
      <c r="J664" s="175" t="s">
        <v>18</v>
      </c>
      <c r="K664" s="175" t="s">
        <v>85</v>
      </c>
      <c r="L664" s="172" t="s">
        <v>86</v>
      </c>
    </row>
    <row r="665" spans="1:12" x14ac:dyDescent="0.2">
      <c r="A665" s="172" t="s">
        <v>83</v>
      </c>
      <c r="B665" s="172" t="s">
        <v>84</v>
      </c>
      <c r="C665" s="172" t="s">
        <v>14</v>
      </c>
      <c r="D665" s="172" t="s">
        <v>15</v>
      </c>
      <c r="E665" s="173">
        <v>41996</v>
      </c>
      <c r="F665" s="174">
        <v>55.180776000000002</v>
      </c>
      <c r="G665" s="175" t="s">
        <v>19</v>
      </c>
      <c r="H665" s="172" t="s">
        <v>20</v>
      </c>
      <c r="I665" s="175">
        <v>1</v>
      </c>
      <c r="J665" s="175" t="s">
        <v>18</v>
      </c>
      <c r="K665" s="175" t="s">
        <v>85</v>
      </c>
      <c r="L665" s="172" t="s">
        <v>86</v>
      </c>
    </row>
    <row r="666" spans="1:12" x14ac:dyDescent="0.2">
      <c r="A666" s="172" t="s">
        <v>83</v>
      </c>
      <c r="B666" s="172" t="s">
        <v>84</v>
      </c>
      <c r="C666" s="172" t="s">
        <v>14</v>
      </c>
      <c r="D666" s="172" t="s">
        <v>15</v>
      </c>
      <c r="E666" s="173">
        <v>41989</v>
      </c>
      <c r="F666" s="174">
        <v>22.1</v>
      </c>
      <c r="G666" s="175" t="s">
        <v>16</v>
      </c>
      <c r="H666" s="172" t="s">
        <v>17</v>
      </c>
      <c r="I666" s="175">
        <v>1</v>
      </c>
      <c r="J666" s="175" t="s">
        <v>18</v>
      </c>
      <c r="K666" s="175" t="s">
        <v>85</v>
      </c>
      <c r="L666" s="172" t="s">
        <v>86</v>
      </c>
    </row>
    <row r="667" spans="1:12" x14ac:dyDescent="0.2">
      <c r="A667" s="172" t="s">
        <v>83</v>
      </c>
      <c r="B667" s="172" t="s">
        <v>84</v>
      </c>
      <c r="C667" s="172" t="s">
        <v>14</v>
      </c>
      <c r="D667" s="172" t="s">
        <v>15</v>
      </c>
      <c r="E667" s="173">
        <v>41989</v>
      </c>
      <c r="F667" s="174">
        <v>82.941299999999998</v>
      </c>
      <c r="G667" s="175" t="s">
        <v>19</v>
      </c>
      <c r="H667" s="172" t="s">
        <v>17</v>
      </c>
      <c r="I667" s="175">
        <v>1</v>
      </c>
      <c r="J667" s="175" t="s">
        <v>18</v>
      </c>
      <c r="K667" s="175" t="s">
        <v>85</v>
      </c>
      <c r="L667" s="172" t="s">
        <v>86</v>
      </c>
    </row>
    <row r="668" spans="1:12" x14ac:dyDescent="0.2">
      <c r="A668" s="172" t="s">
        <v>83</v>
      </c>
      <c r="B668" s="172" t="s">
        <v>84</v>
      </c>
      <c r="C668" s="172" t="s">
        <v>14</v>
      </c>
      <c r="D668" s="172" t="s">
        <v>15</v>
      </c>
      <c r="E668" s="173">
        <v>41989</v>
      </c>
      <c r="F668" s="174">
        <v>10.6</v>
      </c>
      <c r="G668" s="175" t="s">
        <v>16</v>
      </c>
      <c r="H668" s="172" t="s">
        <v>20</v>
      </c>
      <c r="I668" s="175">
        <v>1</v>
      </c>
      <c r="J668" s="175" t="s">
        <v>18</v>
      </c>
      <c r="K668" s="175" t="s">
        <v>85</v>
      </c>
      <c r="L668" s="172" t="s">
        <v>86</v>
      </c>
    </row>
    <row r="669" spans="1:12" x14ac:dyDescent="0.2">
      <c r="A669" s="172" t="s">
        <v>83</v>
      </c>
      <c r="B669" s="172" t="s">
        <v>84</v>
      </c>
      <c r="C669" s="172" t="s">
        <v>14</v>
      </c>
      <c r="D669" s="172" t="s">
        <v>15</v>
      </c>
      <c r="E669" s="173">
        <v>41989</v>
      </c>
      <c r="F669" s="174">
        <v>39.781799999999997</v>
      </c>
      <c r="G669" s="175" t="s">
        <v>19</v>
      </c>
      <c r="H669" s="172" t="s">
        <v>20</v>
      </c>
      <c r="I669" s="175">
        <v>1</v>
      </c>
      <c r="J669" s="175" t="s">
        <v>18</v>
      </c>
      <c r="K669" s="175" t="s">
        <v>85</v>
      </c>
      <c r="L669" s="172" t="s">
        <v>86</v>
      </c>
    </row>
    <row r="670" spans="1:12" x14ac:dyDescent="0.2">
      <c r="A670" s="172" t="s">
        <v>83</v>
      </c>
      <c r="B670" s="172" t="s">
        <v>84</v>
      </c>
      <c r="C670" s="172" t="s">
        <v>14</v>
      </c>
      <c r="D670" s="172" t="s">
        <v>15</v>
      </c>
      <c r="E670" s="173">
        <v>41982</v>
      </c>
      <c r="F670" s="174">
        <v>27.1</v>
      </c>
      <c r="G670" s="175" t="s">
        <v>16</v>
      </c>
      <c r="H670" s="172" t="s">
        <v>17</v>
      </c>
      <c r="I670" s="175">
        <v>1</v>
      </c>
      <c r="J670" s="175" t="s">
        <v>18</v>
      </c>
      <c r="K670" s="175" t="s">
        <v>85</v>
      </c>
      <c r="L670" s="172" t="s">
        <v>86</v>
      </c>
    </row>
    <row r="671" spans="1:12" x14ac:dyDescent="0.2">
      <c r="A671" s="172" t="s">
        <v>83</v>
      </c>
      <c r="B671" s="172" t="s">
        <v>84</v>
      </c>
      <c r="C671" s="172" t="s">
        <v>14</v>
      </c>
      <c r="D671" s="172" t="s">
        <v>15</v>
      </c>
      <c r="E671" s="173">
        <v>41982</v>
      </c>
      <c r="F671" s="174">
        <v>69.160284000000004</v>
      </c>
      <c r="G671" s="175" t="s">
        <v>19</v>
      </c>
      <c r="H671" s="172" t="s">
        <v>17</v>
      </c>
      <c r="I671" s="175">
        <v>1</v>
      </c>
      <c r="J671" s="175" t="s">
        <v>18</v>
      </c>
      <c r="K671" s="175" t="s">
        <v>85</v>
      </c>
      <c r="L671" s="172" t="s">
        <v>86</v>
      </c>
    </row>
    <row r="672" spans="1:12" x14ac:dyDescent="0.2">
      <c r="A672" s="172" t="s">
        <v>83</v>
      </c>
      <c r="B672" s="172" t="s">
        <v>84</v>
      </c>
      <c r="C672" s="172" t="s">
        <v>14</v>
      </c>
      <c r="D672" s="172" t="s">
        <v>15</v>
      </c>
      <c r="E672" s="173">
        <v>41982</v>
      </c>
      <c r="F672" s="174">
        <v>11.3</v>
      </c>
      <c r="G672" s="175" t="s">
        <v>16</v>
      </c>
      <c r="H672" s="172" t="s">
        <v>20</v>
      </c>
      <c r="I672" s="175">
        <v>1</v>
      </c>
      <c r="J672" s="175" t="s">
        <v>18</v>
      </c>
      <c r="K672" s="175" t="s">
        <v>85</v>
      </c>
      <c r="L672" s="172" t="s">
        <v>86</v>
      </c>
    </row>
    <row r="673" spans="1:12" x14ac:dyDescent="0.2">
      <c r="A673" s="172" t="s">
        <v>83</v>
      </c>
      <c r="B673" s="172" t="s">
        <v>84</v>
      </c>
      <c r="C673" s="172" t="s">
        <v>14</v>
      </c>
      <c r="D673" s="172" t="s">
        <v>15</v>
      </c>
      <c r="E673" s="173">
        <v>41982</v>
      </c>
      <c r="F673" s="174">
        <v>28.838052000000001</v>
      </c>
      <c r="G673" s="175" t="s">
        <v>19</v>
      </c>
      <c r="H673" s="172" t="s">
        <v>20</v>
      </c>
      <c r="I673" s="175">
        <v>1</v>
      </c>
      <c r="J673" s="175" t="s">
        <v>18</v>
      </c>
      <c r="K673" s="175" t="s">
        <v>85</v>
      </c>
      <c r="L673" s="172" t="s">
        <v>86</v>
      </c>
    </row>
    <row r="674" spans="1:12" x14ac:dyDescent="0.2">
      <c r="A674" s="172" t="s">
        <v>83</v>
      </c>
      <c r="B674" s="172" t="s">
        <v>84</v>
      </c>
      <c r="C674" s="172" t="s">
        <v>14</v>
      </c>
      <c r="D674" s="172" t="s">
        <v>15</v>
      </c>
      <c r="E674" s="173">
        <v>41976</v>
      </c>
      <c r="F674" s="174">
        <v>12.2</v>
      </c>
      <c r="G674" s="175" t="s">
        <v>16</v>
      </c>
      <c r="H674" s="172" t="s">
        <v>20</v>
      </c>
      <c r="I674" s="175">
        <v>1</v>
      </c>
      <c r="J674" s="175" t="s">
        <v>18</v>
      </c>
      <c r="K674" s="175" t="s">
        <v>85</v>
      </c>
      <c r="L674" s="172" t="s">
        <v>86</v>
      </c>
    </row>
    <row r="675" spans="1:12" x14ac:dyDescent="0.2">
      <c r="A675" s="172" t="s">
        <v>83</v>
      </c>
      <c r="B675" s="172" t="s">
        <v>84</v>
      </c>
      <c r="C675" s="172" t="s">
        <v>14</v>
      </c>
      <c r="D675" s="172" t="s">
        <v>15</v>
      </c>
      <c r="E675" s="173">
        <v>41976</v>
      </c>
      <c r="F675" s="174">
        <v>36.018791999999998</v>
      </c>
      <c r="G675" s="175" t="s">
        <v>19</v>
      </c>
      <c r="H675" s="172" t="s">
        <v>20</v>
      </c>
      <c r="I675" s="175">
        <v>1</v>
      </c>
      <c r="J675" s="175" t="s">
        <v>18</v>
      </c>
      <c r="K675" s="175" t="s">
        <v>85</v>
      </c>
      <c r="L675" s="172" t="s">
        <v>86</v>
      </c>
    </row>
    <row r="676" spans="1:12" x14ac:dyDescent="0.2">
      <c r="A676" s="172" t="s">
        <v>83</v>
      </c>
      <c r="B676" s="172" t="s">
        <v>84</v>
      </c>
      <c r="C676" s="172" t="s">
        <v>14</v>
      </c>
      <c r="D676" s="172" t="s">
        <v>15</v>
      </c>
      <c r="E676" s="173">
        <v>41975</v>
      </c>
      <c r="F676" s="174">
        <v>33.1</v>
      </c>
      <c r="G676" s="175" t="s">
        <v>16</v>
      </c>
      <c r="H676" s="172" t="s">
        <v>17</v>
      </c>
      <c r="I676" s="175">
        <v>1</v>
      </c>
      <c r="J676" s="175" t="s">
        <v>18</v>
      </c>
      <c r="K676" s="175" t="s">
        <v>85</v>
      </c>
      <c r="L676" s="172" t="s">
        <v>86</v>
      </c>
    </row>
    <row r="677" spans="1:12" x14ac:dyDescent="0.2">
      <c r="A677" s="172" t="s">
        <v>83</v>
      </c>
      <c r="B677" s="172" t="s">
        <v>84</v>
      </c>
      <c r="C677" s="172" t="s">
        <v>14</v>
      </c>
      <c r="D677" s="172" t="s">
        <v>15</v>
      </c>
      <c r="E677" s="173">
        <v>41975</v>
      </c>
      <c r="F677" s="174">
        <v>84.196470000000005</v>
      </c>
      <c r="G677" s="175" t="s">
        <v>19</v>
      </c>
      <c r="H677" s="172" t="s">
        <v>17</v>
      </c>
      <c r="I677" s="175">
        <v>1</v>
      </c>
      <c r="J677" s="175" t="s">
        <v>18</v>
      </c>
      <c r="K677" s="175" t="s">
        <v>85</v>
      </c>
      <c r="L677" s="172" t="s">
        <v>86</v>
      </c>
    </row>
    <row r="678" spans="1:12" x14ac:dyDescent="0.2">
      <c r="A678" s="172" t="s">
        <v>83</v>
      </c>
      <c r="B678" s="172" t="s">
        <v>84</v>
      </c>
      <c r="C678" s="172" t="s">
        <v>14</v>
      </c>
      <c r="D678" s="172" t="s">
        <v>15</v>
      </c>
      <c r="E678" s="173">
        <v>41967</v>
      </c>
      <c r="F678" s="174">
        <v>15.1</v>
      </c>
      <c r="G678" s="175" t="s">
        <v>16</v>
      </c>
      <c r="H678" s="172" t="s">
        <v>17</v>
      </c>
      <c r="I678" s="175">
        <v>1</v>
      </c>
      <c r="J678" s="175" t="s">
        <v>18</v>
      </c>
      <c r="K678" s="175" t="s">
        <v>85</v>
      </c>
      <c r="L678" s="172" t="s">
        <v>86</v>
      </c>
    </row>
    <row r="679" spans="1:12" x14ac:dyDescent="0.2">
      <c r="A679" s="172" t="s">
        <v>83</v>
      </c>
      <c r="B679" s="172" t="s">
        <v>84</v>
      </c>
      <c r="C679" s="172" t="s">
        <v>14</v>
      </c>
      <c r="D679" s="172" t="s">
        <v>15</v>
      </c>
      <c r="E679" s="173">
        <v>41967</v>
      </c>
      <c r="F679" s="174">
        <v>48.484589999999997</v>
      </c>
      <c r="G679" s="175" t="s">
        <v>19</v>
      </c>
      <c r="H679" s="172" t="s">
        <v>17</v>
      </c>
      <c r="I679" s="175">
        <v>1</v>
      </c>
      <c r="J679" s="175" t="s">
        <v>18</v>
      </c>
      <c r="K679" s="175" t="s">
        <v>85</v>
      </c>
      <c r="L679" s="172" t="s">
        <v>86</v>
      </c>
    </row>
    <row r="680" spans="1:12" x14ac:dyDescent="0.2">
      <c r="A680" s="172" t="s">
        <v>83</v>
      </c>
      <c r="B680" s="172" t="s">
        <v>84</v>
      </c>
      <c r="C680" s="172" t="s">
        <v>14</v>
      </c>
      <c r="D680" s="172" t="s">
        <v>15</v>
      </c>
      <c r="E680" s="173">
        <v>41967</v>
      </c>
      <c r="F680" s="174">
        <v>13.3</v>
      </c>
      <c r="G680" s="175" t="s">
        <v>16</v>
      </c>
      <c r="H680" s="172" t="s">
        <v>20</v>
      </c>
      <c r="I680" s="175">
        <v>1</v>
      </c>
      <c r="J680" s="175" t="s">
        <v>18</v>
      </c>
      <c r="K680" s="175" t="s">
        <v>85</v>
      </c>
      <c r="L680" s="172" t="s">
        <v>86</v>
      </c>
    </row>
    <row r="681" spans="1:12" x14ac:dyDescent="0.2">
      <c r="A681" s="172" t="s">
        <v>83</v>
      </c>
      <c r="B681" s="172" t="s">
        <v>84</v>
      </c>
      <c r="C681" s="172" t="s">
        <v>14</v>
      </c>
      <c r="D681" s="172" t="s">
        <v>15</v>
      </c>
      <c r="E681" s="173">
        <v>41967</v>
      </c>
      <c r="F681" s="174">
        <v>42.704970000000003</v>
      </c>
      <c r="G681" s="175" t="s">
        <v>19</v>
      </c>
      <c r="H681" s="172" t="s">
        <v>20</v>
      </c>
      <c r="I681" s="175">
        <v>1</v>
      </c>
      <c r="J681" s="175" t="s">
        <v>18</v>
      </c>
      <c r="K681" s="175" t="s">
        <v>85</v>
      </c>
      <c r="L681" s="172" t="s">
        <v>86</v>
      </c>
    </row>
    <row r="682" spans="1:12" x14ac:dyDescent="0.2">
      <c r="A682" s="172" t="s">
        <v>83</v>
      </c>
      <c r="B682" s="172" t="s">
        <v>84</v>
      </c>
      <c r="C682" s="172" t="s">
        <v>14</v>
      </c>
      <c r="D682" s="172" t="s">
        <v>15</v>
      </c>
      <c r="E682" s="173">
        <v>41961</v>
      </c>
      <c r="F682" s="174">
        <v>25.1</v>
      </c>
      <c r="G682" s="175" t="s">
        <v>16</v>
      </c>
      <c r="H682" s="172" t="s">
        <v>17</v>
      </c>
      <c r="I682" s="175">
        <v>1</v>
      </c>
      <c r="J682" s="175" t="s">
        <v>18</v>
      </c>
      <c r="K682" s="175" t="s">
        <v>85</v>
      </c>
      <c r="L682" s="172" t="s">
        <v>86</v>
      </c>
    </row>
    <row r="683" spans="1:12" x14ac:dyDescent="0.2">
      <c r="A683" s="172" t="s">
        <v>83</v>
      </c>
      <c r="B683" s="172" t="s">
        <v>84</v>
      </c>
      <c r="C683" s="172" t="s">
        <v>14</v>
      </c>
      <c r="D683" s="172" t="s">
        <v>15</v>
      </c>
      <c r="E683" s="173">
        <v>41961</v>
      </c>
      <c r="F683" s="174">
        <v>71.173559999999995</v>
      </c>
      <c r="G683" s="175" t="s">
        <v>19</v>
      </c>
      <c r="H683" s="172" t="s">
        <v>17</v>
      </c>
      <c r="I683" s="175">
        <v>1</v>
      </c>
      <c r="J683" s="175" t="s">
        <v>18</v>
      </c>
      <c r="K683" s="175" t="s">
        <v>85</v>
      </c>
      <c r="L683" s="172" t="s">
        <v>86</v>
      </c>
    </row>
    <row r="684" spans="1:12" x14ac:dyDescent="0.2">
      <c r="A684" s="172" t="s">
        <v>83</v>
      </c>
      <c r="B684" s="172" t="s">
        <v>84</v>
      </c>
      <c r="C684" s="172" t="s">
        <v>14</v>
      </c>
      <c r="D684" s="172" t="s">
        <v>15</v>
      </c>
      <c r="E684" s="173">
        <v>41961</v>
      </c>
      <c r="F684" s="174">
        <v>13.5</v>
      </c>
      <c r="G684" s="175" t="s">
        <v>16</v>
      </c>
      <c r="H684" s="172" t="s">
        <v>20</v>
      </c>
      <c r="I684" s="175">
        <v>1</v>
      </c>
      <c r="J684" s="175" t="s">
        <v>18</v>
      </c>
      <c r="K684" s="175" t="s">
        <v>85</v>
      </c>
      <c r="L684" s="172" t="s">
        <v>86</v>
      </c>
    </row>
    <row r="685" spans="1:12" x14ac:dyDescent="0.2">
      <c r="A685" s="172" t="s">
        <v>83</v>
      </c>
      <c r="B685" s="172" t="s">
        <v>84</v>
      </c>
      <c r="C685" s="172" t="s">
        <v>14</v>
      </c>
      <c r="D685" s="172" t="s">
        <v>15</v>
      </c>
      <c r="E685" s="173">
        <v>41961</v>
      </c>
      <c r="F685" s="174">
        <v>38.2806</v>
      </c>
      <c r="G685" s="175" t="s">
        <v>19</v>
      </c>
      <c r="H685" s="172" t="s">
        <v>20</v>
      </c>
      <c r="I685" s="175">
        <v>1</v>
      </c>
      <c r="J685" s="175" t="s">
        <v>18</v>
      </c>
      <c r="K685" s="175" t="s">
        <v>85</v>
      </c>
      <c r="L685" s="172" t="s">
        <v>86</v>
      </c>
    </row>
    <row r="686" spans="1:12" x14ac:dyDescent="0.2">
      <c r="A686" s="172" t="s">
        <v>83</v>
      </c>
      <c r="B686" s="172" t="s">
        <v>84</v>
      </c>
      <c r="C686" s="172" t="s">
        <v>14</v>
      </c>
      <c r="D686" s="172" t="s">
        <v>15</v>
      </c>
      <c r="E686" s="173">
        <v>41956</v>
      </c>
      <c r="F686" s="174">
        <v>19.100000000000001</v>
      </c>
      <c r="G686" s="175" t="s">
        <v>16</v>
      </c>
      <c r="H686" s="172" t="s">
        <v>17</v>
      </c>
      <c r="I686" s="175">
        <v>1</v>
      </c>
      <c r="J686" s="175" t="s">
        <v>18</v>
      </c>
      <c r="K686" s="175" t="s">
        <v>85</v>
      </c>
      <c r="L686" s="172" t="s">
        <v>86</v>
      </c>
    </row>
    <row r="687" spans="1:12" x14ac:dyDescent="0.2">
      <c r="A687" s="172" t="s">
        <v>83</v>
      </c>
      <c r="B687" s="172" t="s">
        <v>84</v>
      </c>
      <c r="C687" s="172" t="s">
        <v>14</v>
      </c>
      <c r="D687" s="172" t="s">
        <v>15</v>
      </c>
      <c r="E687" s="173">
        <v>41956</v>
      </c>
      <c r="F687" s="174">
        <v>54.637841999999999</v>
      </c>
      <c r="G687" s="175" t="s">
        <v>19</v>
      </c>
      <c r="H687" s="172" t="s">
        <v>17</v>
      </c>
      <c r="I687" s="175">
        <v>1</v>
      </c>
      <c r="J687" s="175" t="s">
        <v>18</v>
      </c>
      <c r="K687" s="175" t="s">
        <v>85</v>
      </c>
      <c r="L687" s="172" t="s">
        <v>86</v>
      </c>
    </row>
    <row r="688" spans="1:12" x14ac:dyDescent="0.2">
      <c r="A688" s="172" t="s">
        <v>83</v>
      </c>
      <c r="B688" s="172" t="s">
        <v>84</v>
      </c>
      <c r="C688" s="172" t="s">
        <v>14</v>
      </c>
      <c r="D688" s="172" t="s">
        <v>15</v>
      </c>
      <c r="E688" s="173">
        <v>41956</v>
      </c>
      <c r="F688" s="174">
        <v>10.199999999999999</v>
      </c>
      <c r="G688" s="175" t="s">
        <v>16</v>
      </c>
      <c r="H688" s="172" t="s">
        <v>20</v>
      </c>
      <c r="I688" s="175">
        <v>1</v>
      </c>
      <c r="J688" s="175" t="s">
        <v>18</v>
      </c>
      <c r="K688" s="175" t="s">
        <v>85</v>
      </c>
      <c r="L688" s="172" t="s">
        <v>86</v>
      </c>
    </row>
    <row r="689" spans="1:12" x14ac:dyDescent="0.2">
      <c r="A689" s="172" t="s">
        <v>83</v>
      </c>
      <c r="B689" s="172" t="s">
        <v>84</v>
      </c>
      <c r="C689" s="172" t="s">
        <v>14</v>
      </c>
      <c r="D689" s="172" t="s">
        <v>15</v>
      </c>
      <c r="E689" s="173">
        <v>41956</v>
      </c>
      <c r="F689" s="174">
        <v>29.178324</v>
      </c>
      <c r="G689" s="175" t="s">
        <v>19</v>
      </c>
      <c r="H689" s="172" t="s">
        <v>20</v>
      </c>
      <c r="I689" s="175">
        <v>1</v>
      </c>
      <c r="J689" s="175" t="s">
        <v>18</v>
      </c>
      <c r="K689" s="175" t="s">
        <v>85</v>
      </c>
      <c r="L689" s="172" t="s">
        <v>86</v>
      </c>
    </row>
    <row r="690" spans="1:12" x14ac:dyDescent="0.2">
      <c r="A690" s="172" t="s">
        <v>83</v>
      </c>
      <c r="B690" s="172" t="s">
        <v>84</v>
      </c>
      <c r="C690" s="172" t="s">
        <v>14</v>
      </c>
      <c r="D690" s="172" t="s">
        <v>15</v>
      </c>
      <c r="E690" s="173">
        <v>41947</v>
      </c>
      <c r="F690" s="174">
        <v>22.1</v>
      </c>
      <c r="G690" s="175" t="s">
        <v>16</v>
      </c>
      <c r="H690" s="172" t="s">
        <v>17</v>
      </c>
      <c r="I690" s="175">
        <v>1</v>
      </c>
      <c r="J690" s="175" t="s">
        <v>18</v>
      </c>
      <c r="K690" s="175" t="s">
        <v>85</v>
      </c>
      <c r="L690" s="172" t="s">
        <v>86</v>
      </c>
    </row>
    <row r="691" spans="1:12" x14ac:dyDescent="0.2">
      <c r="A691" s="172" t="s">
        <v>83</v>
      </c>
      <c r="B691" s="172" t="s">
        <v>84</v>
      </c>
      <c r="C691" s="172" t="s">
        <v>14</v>
      </c>
      <c r="D691" s="172" t="s">
        <v>15</v>
      </c>
      <c r="E691" s="173">
        <v>41947</v>
      </c>
      <c r="F691" s="174">
        <v>73.356971999999999</v>
      </c>
      <c r="G691" s="175" t="s">
        <v>19</v>
      </c>
      <c r="H691" s="172" t="s">
        <v>17</v>
      </c>
      <c r="I691" s="175">
        <v>1</v>
      </c>
      <c r="J691" s="175" t="s">
        <v>18</v>
      </c>
      <c r="K691" s="175" t="s">
        <v>85</v>
      </c>
      <c r="L691" s="172" t="s">
        <v>86</v>
      </c>
    </row>
    <row r="692" spans="1:12" x14ac:dyDescent="0.2">
      <c r="A692" s="172" t="s">
        <v>83</v>
      </c>
      <c r="B692" s="172" t="s">
        <v>84</v>
      </c>
      <c r="C692" s="172" t="s">
        <v>14</v>
      </c>
      <c r="D692" s="172" t="s">
        <v>15</v>
      </c>
      <c r="E692" s="173">
        <v>41947</v>
      </c>
      <c r="F692" s="174">
        <v>10.3</v>
      </c>
      <c r="G692" s="175" t="s">
        <v>16</v>
      </c>
      <c r="H692" s="172" t="s">
        <v>20</v>
      </c>
      <c r="I692" s="175">
        <v>1</v>
      </c>
      <c r="J692" s="175" t="s">
        <v>18</v>
      </c>
      <c r="K692" s="175" t="s">
        <v>85</v>
      </c>
      <c r="L692" s="172" t="s">
        <v>86</v>
      </c>
    </row>
    <row r="693" spans="1:12" x14ac:dyDescent="0.2">
      <c r="A693" s="172" t="s">
        <v>83</v>
      </c>
      <c r="B693" s="172" t="s">
        <v>84</v>
      </c>
      <c r="C693" s="172" t="s">
        <v>14</v>
      </c>
      <c r="D693" s="172" t="s">
        <v>15</v>
      </c>
      <c r="E693" s="173">
        <v>41947</v>
      </c>
      <c r="F693" s="174">
        <v>34.188996000000003</v>
      </c>
      <c r="G693" s="175" t="s">
        <v>19</v>
      </c>
      <c r="H693" s="172" t="s">
        <v>20</v>
      </c>
      <c r="I693" s="175">
        <v>1</v>
      </c>
      <c r="J693" s="175" t="s">
        <v>18</v>
      </c>
      <c r="K693" s="175" t="s">
        <v>85</v>
      </c>
      <c r="L693" s="172" t="s">
        <v>86</v>
      </c>
    </row>
    <row r="694" spans="1:12" x14ac:dyDescent="0.2">
      <c r="A694" s="172" t="s">
        <v>83</v>
      </c>
      <c r="B694" s="172" t="s">
        <v>84</v>
      </c>
      <c r="C694" s="172" t="s">
        <v>14</v>
      </c>
      <c r="D694" s="172" t="s">
        <v>15</v>
      </c>
      <c r="E694" s="173">
        <v>41940</v>
      </c>
      <c r="F694" s="174">
        <v>19.14</v>
      </c>
      <c r="G694" s="175" t="s">
        <v>16</v>
      </c>
      <c r="H694" s="172" t="s">
        <v>17</v>
      </c>
      <c r="I694" s="175">
        <v>1</v>
      </c>
      <c r="J694" s="175" t="s">
        <v>18</v>
      </c>
      <c r="K694" s="175" t="s">
        <v>85</v>
      </c>
      <c r="L694" s="172" t="s">
        <v>86</v>
      </c>
    </row>
    <row r="695" spans="1:12" x14ac:dyDescent="0.2">
      <c r="A695" s="172" t="s">
        <v>83</v>
      </c>
      <c r="B695" s="172" t="s">
        <v>84</v>
      </c>
      <c r="C695" s="172" t="s">
        <v>14</v>
      </c>
      <c r="D695" s="172" t="s">
        <v>15</v>
      </c>
      <c r="E695" s="173">
        <v>41940</v>
      </c>
      <c r="F695" s="174">
        <v>68.320612800000006</v>
      </c>
      <c r="G695" s="175" t="s">
        <v>19</v>
      </c>
      <c r="H695" s="172" t="s">
        <v>17</v>
      </c>
      <c r="I695" s="175">
        <v>1</v>
      </c>
      <c r="J695" s="175" t="s">
        <v>18</v>
      </c>
      <c r="K695" s="175" t="s">
        <v>85</v>
      </c>
      <c r="L695" s="172" t="s">
        <v>86</v>
      </c>
    </row>
    <row r="696" spans="1:12" x14ac:dyDescent="0.2">
      <c r="A696" s="172" t="s">
        <v>83</v>
      </c>
      <c r="B696" s="172" t="s">
        <v>84</v>
      </c>
      <c r="C696" s="172" t="s">
        <v>14</v>
      </c>
      <c r="D696" s="172" t="s">
        <v>15</v>
      </c>
      <c r="E696" s="173">
        <v>41940</v>
      </c>
      <c r="F696" s="174">
        <v>9.6999999999999993</v>
      </c>
      <c r="G696" s="175" t="s">
        <v>16</v>
      </c>
      <c r="H696" s="172" t="s">
        <v>20</v>
      </c>
      <c r="I696" s="175">
        <v>1</v>
      </c>
      <c r="J696" s="175" t="s">
        <v>18</v>
      </c>
      <c r="K696" s="175" t="s">
        <v>85</v>
      </c>
      <c r="L696" s="172" t="s">
        <v>86</v>
      </c>
    </row>
    <row r="697" spans="1:12" x14ac:dyDescent="0.2">
      <c r="A697" s="172" t="s">
        <v>83</v>
      </c>
      <c r="B697" s="172" t="s">
        <v>84</v>
      </c>
      <c r="C697" s="172" t="s">
        <v>14</v>
      </c>
      <c r="D697" s="172" t="s">
        <v>15</v>
      </c>
      <c r="E697" s="173">
        <v>41940</v>
      </c>
      <c r="F697" s="174">
        <v>34.624344000000001</v>
      </c>
      <c r="G697" s="175" t="s">
        <v>19</v>
      </c>
      <c r="H697" s="172" t="s">
        <v>20</v>
      </c>
      <c r="I697" s="175">
        <v>1</v>
      </c>
      <c r="J697" s="175" t="s">
        <v>18</v>
      </c>
      <c r="K697" s="175" t="s">
        <v>85</v>
      </c>
      <c r="L697" s="172" t="s">
        <v>86</v>
      </c>
    </row>
    <row r="698" spans="1:12" x14ac:dyDescent="0.2">
      <c r="A698" s="172" t="s">
        <v>83</v>
      </c>
      <c r="B698" s="172" t="s">
        <v>84</v>
      </c>
      <c r="C698" s="172" t="s">
        <v>14</v>
      </c>
      <c r="D698" s="172" t="s">
        <v>15</v>
      </c>
      <c r="E698" s="173">
        <v>41933</v>
      </c>
      <c r="F698" s="174">
        <v>18.100000000000001</v>
      </c>
      <c r="G698" s="175" t="s">
        <v>16</v>
      </c>
      <c r="H698" s="172" t="s">
        <v>17</v>
      </c>
      <c r="I698" s="175">
        <v>1</v>
      </c>
      <c r="J698" s="175" t="s">
        <v>18</v>
      </c>
      <c r="K698" s="175" t="s">
        <v>85</v>
      </c>
      <c r="L698" s="172" t="s">
        <v>86</v>
      </c>
    </row>
    <row r="699" spans="1:12" x14ac:dyDescent="0.2">
      <c r="A699" s="172" t="s">
        <v>83</v>
      </c>
      <c r="B699" s="172" t="s">
        <v>84</v>
      </c>
      <c r="C699" s="172" t="s">
        <v>14</v>
      </c>
      <c r="D699" s="172" t="s">
        <v>15</v>
      </c>
      <c r="E699" s="173">
        <v>41933</v>
      </c>
      <c r="F699" s="174">
        <v>64.608311999999998</v>
      </c>
      <c r="G699" s="175" t="s">
        <v>19</v>
      </c>
      <c r="H699" s="172" t="s">
        <v>17</v>
      </c>
      <c r="I699" s="175">
        <v>1</v>
      </c>
      <c r="J699" s="175" t="s">
        <v>18</v>
      </c>
      <c r="K699" s="175" t="s">
        <v>85</v>
      </c>
      <c r="L699" s="172" t="s">
        <v>86</v>
      </c>
    </row>
    <row r="700" spans="1:12" x14ac:dyDescent="0.2">
      <c r="A700" s="172" t="s">
        <v>83</v>
      </c>
      <c r="B700" s="172" t="s">
        <v>84</v>
      </c>
      <c r="C700" s="172" t="s">
        <v>14</v>
      </c>
      <c r="D700" s="172" t="s">
        <v>15</v>
      </c>
      <c r="E700" s="173">
        <v>41933</v>
      </c>
      <c r="F700" s="174">
        <v>10.3</v>
      </c>
      <c r="G700" s="175" t="s">
        <v>16</v>
      </c>
      <c r="H700" s="172" t="s">
        <v>20</v>
      </c>
      <c r="I700" s="175">
        <v>1</v>
      </c>
      <c r="J700" s="175" t="s">
        <v>18</v>
      </c>
      <c r="K700" s="175" t="s">
        <v>85</v>
      </c>
      <c r="L700" s="172" t="s">
        <v>86</v>
      </c>
    </row>
    <row r="701" spans="1:12" x14ac:dyDescent="0.2">
      <c r="A701" s="172" t="s">
        <v>83</v>
      </c>
      <c r="B701" s="172" t="s">
        <v>84</v>
      </c>
      <c r="C701" s="172" t="s">
        <v>14</v>
      </c>
      <c r="D701" s="172" t="s">
        <v>15</v>
      </c>
      <c r="E701" s="173">
        <v>41933</v>
      </c>
      <c r="F701" s="174">
        <v>36.766055999999999</v>
      </c>
      <c r="G701" s="175" t="s">
        <v>19</v>
      </c>
      <c r="H701" s="172" t="s">
        <v>20</v>
      </c>
      <c r="I701" s="175">
        <v>1</v>
      </c>
      <c r="J701" s="175" t="s">
        <v>18</v>
      </c>
      <c r="K701" s="175" t="s">
        <v>85</v>
      </c>
      <c r="L701" s="172" t="s">
        <v>86</v>
      </c>
    </row>
    <row r="702" spans="1:12" x14ac:dyDescent="0.2">
      <c r="A702" s="172" t="s">
        <v>83</v>
      </c>
      <c r="B702" s="172" t="s">
        <v>84</v>
      </c>
      <c r="C702" s="172" t="s">
        <v>14</v>
      </c>
      <c r="D702" s="172" t="s">
        <v>15</v>
      </c>
      <c r="E702" s="173">
        <v>41926</v>
      </c>
      <c r="F702" s="174">
        <v>18.23</v>
      </c>
      <c r="G702" s="175" t="s">
        <v>16</v>
      </c>
      <c r="H702" s="172" t="s">
        <v>17</v>
      </c>
      <c r="I702" s="175">
        <v>1</v>
      </c>
      <c r="J702" s="175" t="s">
        <v>18</v>
      </c>
      <c r="K702" s="175" t="s">
        <v>85</v>
      </c>
      <c r="L702" s="172" t="s">
        <v>86</v>
      </c>
    </row>
    <row r="703" spans="1:12" x14ac:dyDescent="0.2">
      <c r="A703" s="172" t="s">
        <v>83</v>
      </c>
      <c r="B703" s="172" t="s">
        <v>84</v>
      </c>
      <c r="C703" s="172" t="s">
        <v>14</v>
      </c>
      <c r="D703" s="172" t="s">
        <v>15</v>
      </c>
      <c r="E703" s="173">
        <v>41926</v>
      </c>
      <c r="F703" s="174">
        <v>99.737059200000004</v>
      </c>
      <c r="G703" s="175" t="s">
        <v>19</v>
      </c>
      <c r="H703" s="172" t="s">
        <v>17</v>
      </c>
      <c r="I703" s="175">
        <v>1</v>
      </c>
      <c r="J703" s="175" t="s">
        <v>18</v>
      </c>
      <c r="K703" s="175" t="s">
        <v>85</v>
      </c>
      <c r="L703" s="172" t="s">
        <v>86</v>
      </c>
    </row>
    <row r="704" spans="1:12" x14ac:dyDescent="0.2">
      <c r="A704" s="172" t="s">
        <v>83</v>
      </c>
      <c r="B704" s="172" t="s">
        <v>84</v>
      </c>
      <c r="C704" s="172" t="s">
        <v>14</v>
      </c>
      <c r="D704" s="172" t="s">
        <v>15</v>
      </c>
      <c r="E704" s="173">
        <v>41926</v>
      </c>
      <c r="F704" s="174">
        <v>11</v>
      </c>
      <c r="G704" s="175" t="s">
        <v>16</v>
      </c>
      <c r="H704" s="172" t="s">
        <v>20</v>
      </c>
      <c r="I704" s="175">
        <v>1</v>
      </c>
      <c r="J704" s="175" t="s">
        <v>18</v>
      </c>
      <c r="K704" s="175" t="s">
        <v>85</v>
      </c>
      <c r="L704" s="172" t="s">
        <v>86</v>
      </c>
    </row>
    <row r="705" spans="1:12" x14ac:dyDescent="0.2">
      <c r="A705" s="172" t="s">
        <v>83</v>
      </c>
      <c r="B705" s="172" t="s">
        <v>84</v>
      </c>
      <c r="C705" s="172" t="s">
        <v>14</v>
      </c>
      <c r="D705" s="172" t="s">
        <v>15</v>
      </c>
      <c r="E705" s="173">
        <v>41926</v>
      </c>
      <c r="F705" s="174">
        <v>60.181440000000002</v>
      </c>
      <c r="G705" s="175" t="s">
        <v>19</v>
      </c>
      <c r="H705" s="172" t="s">
        <v>20</v>
      </c>
      <c r="I705" s="175">
        <v>1</v>
      </c>
      <c r="J705" s="175" t="s">
        <v>18</v>
      </c>
      <c r="K705" s="175" t="s">
        <v>85</v>
      </c>
      <c r="L705" s="172" t="s">
        <v>86</v>
      </c>
    </row>
    <row r="706" spans="1:12" x14ac:dyDescent="0.2">
      <c r="A706" s="172" t="s">
        <v>83</v>
      </c>
      <c r="B706" s="172" t="s">
        <v>84</v>
      </c>
      <c r="C706" s="172" t="s">
        <v>14</v>
      </c>
      <c r="D706" s="172" t="s">
        <v>15</v>
      </c>
      <c r="E706" s="173">
        <v>41919</v>
      </c>
      <c r="F706" s="174">
        <v>20.100000000000001</v>
      </c>
      <c r="G706" s="175" t="s">
        <v>16</v>
      </c>
      <c r="H706" s="172" t="s">
        <v>17</v>
      </c>
      <c r="I706" s="175">
        <v>1</v>
      </c>
      <c r="J706" s="175" t="s">
        <v>18</v>
      </c>
      <c r="K706" s="175" t="s">
        <v>85</v>
      </c>
      <c r="L706" s="172" t="s">
        <v>86</v>
      </c>
    </row>
    <row r="707" spans="1:12" x14ac:dyDescent="0.2">
      <c r="A707" s="172" t="s">
        <v>83</v>
      </c>
      <c r="B707" s="172" t="s">
        <v>84</v>
      </c>
      <c r="C707" s="172" t="s">
        <v>14</v>
      </c>
      <c r="D707" s="172" t="s">
        <v>15</v>
      </c>
      <c r="E707" s="173">
        <v>41919</v>
      </c>
      <c r="F707" s="174">
        <v>58.504266000000001</v>
      </c>
      <c r="G707" s="175" t="s">
        <v>19</v>
      </c>
      <c r="H707" s="172" t="s">
        <v>17</v>
      </c>
      <c r="I707" s="175">
        <v>1</v>
      </c>
      <c r="J707" s="175" t="s">
        <v>18</v>
      </c>
      <c r="K707" s="175" t="s">
        <v>85</v>
      </c>
      <c r="L707" s="172" t="s">
        <v>86</v>
      </c>
    </row>
    <row r="708" spans="1:12" x14ac:dyDescent="0.2">
      <c r="A708" s="172" t="s">
        <v>83</v>
      </c>
      <c r="B708" s="172" t="s">
        <v>84</v>
      </c>
      <c r="C708" s="172" t="s">
        <v>14</v>
      </c>
      <c r="D708" s="172" t="s">
        <v>15</v>
      </c>
      <c r="E708" s="173">
        <v>41919</v>
      </c>
      <c r="F708" s="174">
        <v>8.8000000000000007</v>
      </c>
      <c r="G708" s="175" t="s">
        <v>16</v>
      </c>
      <c r="H708" s="172" t="s">
        <v>20</v>
      </c>
      <c r="I708" s="175">
        <v>1</v>
      </c>
      <c r="J708" s="175" t="s">
        <v>18</v>
      </c>
      <c r="K708" s="175" t="s">
        <v>85</v>
      </c>
      <c r="L708" s="172" t="s">
        <v>86</v>
      </c>
    </row>
    <row r="709" spans="1:12" x14ac:dyDescent="0.2">
      <c r="A709" s="172" t="s">
        <v>83</v>
      </c>
      <c r="B709" s="172" t="s">
        <v>84</v>
      </c>
      <c r="C709" s="172" t="s">
        <v>14</v>
      </c>
      <c r="D709" s="172" t="s">
        <v>15</v>
      </c>
      <c r="E709" s="173">
        <v>41919</v>
      </c>
      <c r="F709" s="174">
        <v>25.613807999999999</v>
      </c>
      <c r="G709" s="175" t="s">
        <v>19</v>
      </c>
      <c r="H709" s="172" t="s">
        <v>20</v>
      </c>
      <c r="I709" s="175">
        <v>1</v>
      </c>
      <c r="J709" s="175" t="s">
        <v>18</v>
      </c>
      <c r="K709" s="175" t="s">
        <v>85</v>
      </c>
      <c r="L709" s="172" t="s">
        <v>86</v>
      </c>
    </row>
    <row r="710" spans="1:12" x14ac:dyDescent="0.2">
      <c r="A710" s="172" t="s">
        <v>83</v>
      </c>
      <c r="B710" s="172" t="s">
        <v>84</v>
      </c>
      <c r="C710" s="172" t="s">
        <v>14</v>
      </c>
      <c r="D710" s="172" t="s">
        <v>15</v>
      </c>
      <c r="E710" s="173">
        <v>41912</v>
      </c>
      <c r="F710" s="174">
        <v>24.16</v>
      </c>
      <c r="G710" s="175" t="s">
        <v>16</v>
      </c>
      <c r="H710" s="172" t="s">
        <v>17</v>
      </c>
      <c r="I710" s="175">
        <v>1</v>
      </c>
      <c r="J710" s="175" t="s">
        <v>18</v>
      </c>
      <c r="K710" s="175" t="s">
        <v>85</v>
      </c>
      <c r="L710" s="172" t="s">
        <v>86</v>
      </c>
    </row>
    <row r="711" spans="1:12" x14ac:dyDescent="0.2">
      <c r="A711" s="172" t="s">
        <v>83</v>
      </c>
      <c r="B711" s="172" t="s">
        <v>84</v>
      </c>
      <c r="C711" s="172" t="s">
        <v>14</v>
      </c>
      <c r="D711" s="172" t="s">
        <v>15</v>
      </c>
      <c r="E711" s="173">
        <v>41912</v>
      </c>
      <c r="F711" s="174">
        <v>66.090163200000006</v>
      </c>
      <c r="G711" s="175" t="s">
        <v>19</v>
      </c>
      <c r="H711" s="172" t="s">
        <v>17</v>
      </c>
      <c r="I711" s="175">
        <v>1</v>
      </c>
      <c r="J711" s="175" t="s">
        <v>18</v>
      </c>
      <c r="K711" s="175" t="s">
        <v>85</v>
      </c>
      <c r="L711" s="172" t="s">
        <v>86</v>
      </c>
    </row>
    <row r="712" spans="1:12" x14ac:dyDescent="0.2">
      <c r="A712" s="172" t="s">
        <v>83</v>
      </c>
      <c r="B712" s="172" t="s">
        <v>84</v>
      </c>
      <c r="C712" s="172" t="s">
        <v>14</v>
      </c>
      <c r="D712" s="172" t="s">
        <v>15</v>
      </c>
      <c r="E712" s="173">
        <v>41912</v>
      </c>
      <c r="F712" s="174">
        <v>14.9</v>
      </c>
      <c r="G712" s="175" t="s">
        <v>16</v>
      </c>
      <c r="H712" s="172" t="s">
        <v>20</v>
      </c>
      <c r="I712" s="175">
        <v>1</v>
      </c>
      <c r="J712" s="175" t="s">
        <v>18</v>
      </c>
      <c r="K712" s="175" t="s">
        <v>85</v>
      </c>
      <c r="L712" s="172" t="s">
        <v>86</v>
      </c>
    </row>
    <row r="713" spans="1:12" x14ac:dyDescent="0.2">
      <c r="A713" s="172" t="s">
        <v>83</v>
      </c>
      <c r="B713" s="172" t="s">
        <v>84</v>
      </c>
      <c r="C713" s="172" t="s">
        <v>14</v>
      </c>
      <c r="D713" s="172" t="s">
        <v>15</v>
      </c>
      <c r="E713" s="173">
        <v>41912</v>
      </c>
      <c r="F713" s="174">
        <v>40.759247999999999</v>
      </c>
      <c r="G713" s="175" t="s">
        <v>19</v>
      </c>
      <c r="H713" s="172" t="s">
        <v>20</v>
      </c>
      <c r="I713" s="175">
        <v>1</v>
      </c>
      <c r="J713" s="175" t="s">
        <v>18</v>
      </c>
      <c r="K713" s="175" t="s">
        <v>85</v>
      </c>
      <c r="L713" s="172" t="s">
        <v>86</v>
      </c>
    </row>
    <row r="714" spans="1:12" x14ac:dyDescent="0.2">
      <c r="A714" s="172" t="s">
        <v>83</v>
      </c>
      <c r="B714" s="172" t="s">
        <v>84</v>
      </c>
      <c r="C714" s="172" t="s">
        <v>14</v>
      </c>
      <c r="D714" s="172" t="s">
        <v>15</v>
      </c>
      <c r="E714" s="173">
        <v>41907</v>
      </c>
      <c r="F714" s="174">
        <v>20.100000000000001</v>
      </c>
      <c r="G714" s="175" t="s">
        <v>16</v>
      </c>
      <c r="H714" s="172" t="s">
        <v>17</v>
      </c>
      <c r="I714" s="175">
        <v>1</v>
      </c>
      <c r="J714" s="175" t="s">
        <v>18</v>
      </c>
      <c r="K714" s="175" t="s">
        <v>85</v>
      </c>
      <c r="L714" s="172" t="s">
        <v>86</v>
      </c>
    </row>
    <row r="715" spans="1:12" x14ac:dyDescent="0.2">
      <c r="A715" s="172" t="s">
        <v>83</v>
      </c>
      <c r="B715" s="172" t="s">
        <v>84</v>
      </c>
      <c r="C715" s="172" t="s">
        <v>14</v>
      </c>
      <c r="D715" s="172" t="s">
        <v>15</v>
      </c>
      <c r="E715" s="173">
        <v>41907</v>
      </c>
      <c r="F715" s="174">
        <v>63.365651999999997</v>
      </c>
      <c r="G715" s="175" t="s">
        <v>19</v>
      </c>
      <c r="H715" s="172" t="s">
        <v>17</v>
      </c>
      <c r="I715" s="175">
        <v>1</v>
      </c>
      <c r="J715" s="175" t="s">
        <v>18</v>
      </c>
      <c r="K715" s="175" t="s">
        <v>85</v>
      </c>
      <c r="L715" s="172" t="s">
        <v>86</v>
      </c>
    </row>
    <row r="716" spans="1:12" x14ac:dyDescent="0.2">
      <c r="A716" s="172" t="s">
        <v>83</v>
      </c>
      <c r="B716" s="172" t="s">
        <v>84</v>
      </c>
      <c r="C716" s="172" t="s">
        <v>14</v>
      </c>
      <c r="D716" s="172" t="s">
        <v>15</v>
      </c>
      <c r="E716" s="173">
        <v>41907</v>
      </c>
      <c r="F716" s="174">
        <v>11.8</v>
      </c>
      <c r="G716" s="175" t="s">
        <v>16</v>
      </c>
      <c r="H716" s="172" t="s">
        <v>20</v>
      </c>
      <c r="I716" s="175">
        <v>1</v>
      </c>
      <c r="J716" s="175" t="s">
        <v>18</v>
      </c>
      <c r="K716" s="175" t="s">
        <v>85</v>
      </c>
      <c r="L716" s="172" t="s">
        <v>86</v>
      </c>
    </row>
    <row r="717" spans="1:12" x14ac:dyDescent="0.2">
      <c r="A717" s="172" t="s">
        <v>83</v>
      </c>
      <c r="B717" s="172" t="s">
        <v>84</v>
      </c>
      <c r="C717" s="172" t="s">
        <v>14</v>
      </c>
      <c r="D717" s="172" t="s">
        <v>15</v>
      </c>
      <c r="E717" s="173">
        <v>41907</v>
      </c>
      <c r="F717" s="174">
        <v>37.199736000000001</v>
      </c>
      <c r="G717" s="175" t="s">
        <v>19</v>
      </c>
      <c r="H717" s="172" t="s">
        <v>20</v>
      </c>
      <c r="I717" s="175">
        <v>1</v>
      </c>
      <c r="J717" s="175" t="s">
        <v>18</v>
      </c>
      <c r="K717" s="175" t="s">
        <v>85</v>
      </c>
      <c r="L717" s="172" t="s">
        <v>86</v>
      </c>
    </row>
    <row r="718" spans="1:12" x14ac:dyDescent="0.2">
      <c r="A718" s="172" t="s">
        <v>83</v>
      </c>
      <c r="B718" s="172" t="s">
        <v>84</v>
      </c>
      <c r="C718" s="172" t="s">
        <v>14</v>
      </c>
      <c r="D718" s="172" t="s">
        <v>15</v>
      </c>
      <c r="E718" s="173">
        <v>41898</v>
      </c>
      <c r="F718" s="174">
        <v>24.1</v>
      </c>
      <c r="G718" s="175" t="s">
        <v>16</v>
      </c>
      <c r="H718" s="172" t="s">
        <v>17</v>
      </c>
      <c r="I718" s="175">
        <v>1</v>
      </c>
      <c r="J718" s="175" t="s">
        <v>18</v>
      </c>
      <c r="K718" s="175" t="s">
        <v>85</v>
      </c>
      <c r="L718" s="172" t="s">
        <v>86</v>
      </c>
    </row>
    <row r="719" spans="1:12" x14ac:dyDescent="0.2">
      <c r="A719" s="172" t="s">
        <v>83</v>
      </c>
      <c r="B719" s="172" t="s">
        <v>84</v>
      </c>
      <c r="C719" s="172" t="s">
        <v>14</v>
      </c>
      <c r="D719" s="172" t="s">
        <v>15</v>
      </c>
      <c r="E719" s="173">
        <v>41898</v>
      </c>
      <c r="F719" s="174">
        <v>85.221456000000003</v>
      </c>
      <c r="G719" s="175" t="s">
        <v>19</v>
      </c>
      <c r="H719" s="172" t="s">
        <v>17</v>
      </c>
      <c r="I719" s="175">
        <v>1</v>
      </c>
      <c r="J719" s="175" t="s">
        <v>18</v>
      </c>
      <c r="K719" s="175" t="s">
        <v>85</v>
      </c>
      <c r="L719" s="172" t="s">
        <v>86</v>
      </c>
    </row>
    <row r="720" spans="1:12" x14ac:dyDescent="0.2">
      <c r="A720" s="172" t="s">
        <v>83</v>
      </c>
      <c r="B720" s="172" t="s">
        <v>84</v>
      </c>
      <c r="C720" s="172" t="s">
        <v>14</v>
      </c>
      <c r="D720" s="172" t="s">
        <v>15</v>
      </c>
      <c r="E720" s="173">
        <v>41898</v>
      </c>
      <c r="F720" s="174">
        <v>10.6</v>
      </c>
      <c r="G720" s="175" t="s">
        <v>16</v>
      </c>
      <c r="H720" s="172" t="s">
        <v>20</v>
      </c>
      <c r="I720" s="175">
        <v>1</v>
      </c>
      <c r="J720" s="175" t="s">
        <v>18</v>
      </c>
      <c r="K720" s="175" t="s">
        <v>85</v>
      </c>
      <c r="L720" s="172" t="s">
        <v>86</v>
      </c>
    </row>
    <row r="721" spans="1:14" x14ac:dyDescent="0.2">
      <c r="A721" s="172" t="s">
        <v>83</v>
      </c>
      <c r="B721" s="172" t="s">
        <v>84</v>
      </c>
      <c r="C721" s="172" t="s">
        <v>14</v>
      </c>
      <c r="D721" s="172" t="s">
        <v>15</v>
      </c>
      <c r="E721" s="173">
        <v>41898</v>
      </c>
      <c r="F721" s="174">
        <v>37.483296000000003</v>
      </c>
      <c r="G721" s="175" t="s">
        <v>19</v>
      </c>
      <c r="H721" s="172" t="s">
        <v>20</v>
      </c>
      <c r="I721" s="175">
        <v>1</v>
      </c>
      <c r="J721" s="175" t="s">
        <v>18</v>
      </c>
      <c r="K721" s="175" t="s">
        <v>85</v>
      </c>
      <c r="L721" s="172" t="s">
        <v>86</v>
      </c>
    </row>
    <row r="722" spans="1:14" x14ac:dyDescent="0.2">
      <c r="A722" s="172" t="s">
        <v>83</v>
      </c>
      <c r="B722" s="172" t="s">
        <v>84</v>
      </c>
      <c r="C722" s="172" t="s">
        <v>14</v>
      </c>
      <c r="D722" s="172" t="s">
        <v>15</v>
      </c>
      <c r="E722" s="173">
        <v>41891</v>
      </c>
      <c r="F722" s="174">
        <v>17.100000000000001</v>
      </c>
      <c r="G722" s="175" t="s">
        <v>16</v>
      </c>
      <c r="H722" s="172" t="s">
        <v>17</v>
      </c>
      <c r="I722" s="175">
        <v>1</v>
      </c>
      <c r="J722" s="175" t="s">
        <v>18</v>
      </c>
      <c r="K722" s="175" t="s">
        <v>85</v>
      </c>
      <c r="L722" s="172" t="s">
        <v>86</v>
      </c>
    </row>
    <row r="723" spans="1:14" x14ac:dyDescent="0.2">
      <c r="A723" s="172" t="s">
        <v>83</v>
      </c>
      <c r="B723" s="172" t="s">
        <v>84</v>
      </c>
      <c r="C723" s="172" t="s">
        <v>14</v>
      </c>
      <c r="D723" s="172" t="s">
        <v>15</v>
      </c>
      <c r="E723" s="173">
        <v>41891</v>
      </c>
      <c r="F723" s="174">
        <v>59.042195999999997</v>
      </c>
      <c r="G723" s="175" t="s">
        <v>19</v>
      </c>
      <c r="H723" s="172" t="s">
        <v>17</v>
      </c>
      <c r="I723" s="175">
        <v>1</v>
      </c>
      <c r="J723" s="175" t="s">
        <v>18</v>
      </c>
      <c r="K723" s="175" t="s">
        <v>85</v>
      </c>
      <c r="L723" s="172" t="s">
        <v>86</v>
      </c>
    </row>
    <row r="724" spans="1:14" x14ac:dyDescent="0.2">
      <c r="A724" s="172" t="s">
        <v>83</v>
      </c>
      <c r="B724" s="172" t="s">
        <v>84</v>
      </c>
      <c r="C724" s="172" t="s">
        <v>14</v>
      </c>
      <c r="D724" s="172" t="s">
        <v>15</v>
      </c>
      <c r="E724" s="173">
        <v>41891</v>
      </c>
      <c r="F724" s="174">
        <v>6.4</v>
      </c>
      <c r="G724" s="175" t="s">
        <v>16</v>
      </c>
      <c r="H724" s="172" t="s">
        <v>20</v>
      </c>
      <c r="I724" s="175">
        <v>1</v>
      </c>
      <c r="J724" s="175" t="s">
        <v>18</v>
      </c>
      <c r="K724" s="175" t="s">
        <v>85</v>
      </c>
      <c r="L724" s="172" t="s">
        <v>86</v>
      </c>
    </row>
    <row r="725" spans="1:14" x14ac:dyDescent="0.2">
      <c r="A725" s="172" t="s">
        <v>83</v>
      </c>
      <c r="B725" s="172" t="s">
        <v>84</v>
      </c>
      <c r="C725" s="172" t="s">
        <v>14</v>
      </c>
      <c r="D725" s="172" t="s">
        <v>15</v>
      </c>
      <c r="E725" s="173">
        <v>41891</v>
      </c>
      <c r="F725" s="174">
        <v>22.097664000000002</v>
      </c>
      <c r="G725" s="175" t="s">
        <v>19</v>
      </c>
      <c r="H725" s="172" t="s">
        <v>20</v>
      </c>
      <c r="I725" s="175">
        <v>1</v>
      </c>
      <c r="J725" s="175" t="s">
        <v>18</v>
      </c>
      <c r="K725" s="175" t="s">
        <v>85</v>
      </c>
      <c r="L725" s="172" t="s">
        <v>86</v>
      </c>
    </row>
    <row r="726" spans="1:14" x14ac:dyDescent="0.2">
      <c r="A726" s="172" t="s">
        <v>83</v>
      </c>
      <c r="B726" s="172" t="s">
        <v>84</v>
      </c>
      <c r="C726" s="172" t="s">
        <v>14</v>
      </c>
      <c r="D726" s="172" t="s">
        <v>15</v>
      </c>
      <c r="E726" s="173">
        <v>41886</v>
      </c>
      <c r="F726" s="174">
        <v>17.100000000000001</v>
      </c>
      <c r="G726" s="175" t="s">
        <v>16</v>
      </c>
      <c r="H726" s="172" t="s">
        <v>17</v>
      </c>
      <c r="I726" s="175">
        <v>1</v>
      </c>
      <c r="J726" s="175" t="s">
        <v>18</v>
      </c>
      <c r="K726" s="175" t="s">
        <v>85</v>
      </c>
      <c r="L726" s="172" t="s">
        <v>86</v>
      </c>
    </row>
    <row r="727" spans="1:14" x14ac:dyDescent="0.2">
      <c r="A727" s="172" t="s">
        <v>83</v>
      </c>
      <c r="B727" s="172" t="s">
        <v>84</v>
      </c>
      <c r="C727" s="172" t="s">
        <v>14</v>
      </c>
      <c r="D727" s="172" t="s">
        <v>15</v>
      </c>
      <c r="E727" s="173">
        <v>41886</v>
      </c>
      <c r="F727" s="174">
        <v>63.891072000000001</v>
      </c>
      <c r="G727" s="175" t="s">
        <v>19</v>
      </c>
      <c r="H727" s="172" t="s">
        <v>17</v>
      </c>
      <c r="I727" s="175">
        <v>1</v>
      </c>
      <c r="J727" s="175" t="s">
        <v>18</v>
      </c>
      <c r="K727" s="175" t="s">
        <v>85</v>
      </c>
      <c r="L727" s="172" t="s">
        <v>86</v>
      </c>
    </row>
    <row r="728" spans="1:14" x14ac:dyDescent="0.2">
      <c r="A728" s="172" t="s">
        <v>83</v>
      </c>
      <c r="B728" s="172" t="s">
        <v>84</v>
      </c>
      <c r="C728" s="172" t="s">
        <v>14</v>
      </c>
      <c r="D728" s="172" t="s">
        <v>15</v>
      </c>
      <c r="E728" s="173">
        <v>41886</v>
      </c>
      <c r="F728" s="174">
        <v>8.3000000000000007</v>
      </c>
      <c r="G728" s="175" t="s">
        <v>16</v>
      </c>
      <c r="H728" s="172" t="s">
        <v>20</v>
      </c>
      <c r="I728" s="175">
        <v>1</v>
      </c>
      <c r="J728" s="175" t="s">
        <v>18</v>
      </c>
      <c r="K728" s="175" t="s">
        <v>85</v>
      </c>
      <c r="L728" s="172" t="s">
        <v>86</v>
      </c>
    </row>
    <row r="729" spans="1:14" x14ac:dyDescent="0.2">
      <c r="A729" s="172" t="s">
        <v>83</v>
      </c>
      <c r="B729" s="172" t="s">
        <v>84</v>
      </c>
      <c r="C729" s="172" t="s">
        <v>14</v>
      </c>
      <c r="D729" s="172" t="s">
        <v>15</v>
      </c>
      <c r="E729" s="173">
        <v>41886</v>
      </c>
      <c r="F729" s="174">
        <v>31.011455999999999</v>
      </c>
      <c r="G729" s="175" t="s">
        <v>19</v>
      </c>
      <c r="H729" s="172" t="s">
        <v>20</v>
      </c>
      <c r="I729" s="175">
        <v>1</v>
      </c>
      <c r="J729" s="175" t="s">
        <v>18</v>
      </c>
      <c r="K729" s="175" t="s">
        <v>85</v>
      </c>
      <c r="L729" s="172" t="s">
        <v>86</v>
      </c>
    </row>
    <row r="730" spans="1:14" x14ac:dyDescent="0.2">
      <c r="A730" s="172" t="s">
        <v>83</v>
      </c>
      <c r="B730" s="172" t="s">
        <v>84</v>
      </c>
      <c r="C730" s="172" t="s">
        <v>21</v>
      </c>
      <c r="D730" s="172" t="s">
        <v>15</v>
      </c>
      <c r="E730" s="173">
        <v>43215</v>
      </c>
      <c r="F730" s="174">
        <v>2.48</v>
      </c>
      <c r="G730" s="175" t="s">
        <v>16</v>
      </c>
      <c r="H730" s="172" t="s">
        <v>17</v>
      </c>
      <c r="I730" s="175">
        <v>1</v>
      </c>
      <c r="J730" s="175" t="s">
        <v>18</v>
      </c>
      <c r="K730" s="175" t="s">
        <v>85</v>
      </c>
      <c r="L730" s="172" t="s">
        <v>86</v>
      </c>
      <c r="M730" s="172" t="s">
        <v>17</v>
      </c>
      <c r="N730" s="186"/>
    </row>
    <row r="731" spans="1:14" x14ac:dyDescent="0.2">
      <c r="A731" s="172" t="s">
        <v>83</v>
      </c>
      <c r="B731" s="172" t="s">
        <v>84</v>
      </c>
      <c r="C731" s="172" t="s">
        <v>21</v>
      </c>
      <c r="D731" s="172" t="s">
        <v>15</v>
      </c>
      <c r="E731" s="173">
        <v>43215</v>
      </c>
      <c r="F731" s="174">
        <v>13.96116</v>
      </c>
      <c r="G731" s="175" t="s">
        <v>19</v>
      </c>
      <c r="H731" s="172" t="s">
        <v>17</v>
      </c>
      <c r="I731" s="175">
        <v>1</v>
      </c>
      <c r="J731" s="175" t="s">
        <v>18</v>
      </c>
      <c r="K731" s="175" t="s">
        <v>85</v>
      </c>
      <c r="L731" s="172" t="s">
        <v>86</v>
      </c>
      <c r="M731" s="172" t="s">
        <v>17</v>
      </c>
      <c r="N731" s="186"/>
    </row>
    <row r="732" spans="1:14" x14ac:dyDescent="0.2">
      <c r="A732" s="172" t="s">
        <v>83</v>
      </c>
      <c r="B732" s="172" t="s">
        <v>84</v>
      </c>
      <c r="C732" s="172" t="s">
        <v>21</v>
      </c>
      <c r="D732" s="172" t="s">
        <v>15</v>
      </c>
      <c r="E732" s="173">
        <v>43215</v>
      </c>
      <c r="F732" s="174">
        <v>1.4</v>
      </c>
      <c r="G732" s="175" t="s">
        <v>16</v>
      </c>
      <c r="H732" s="172" t="s">
        <v>20</v>
      </c>
      <c r="I732" s="175">
        <v>1</v>
      </c>
      <c r="J732" s="175" t="s">
        <v>18</v>
      </c>
      <c r="K732" s="175" t="s">
        <v>85</v>
      </c>
      <c r="L732" s="172" t="s">
        <v>86</v>
      </c>
      <c r="M732" s="172" t="s">
        <v>76</v>
      </c>
      <c r="N732" s="186"/>
    </row>
    <row r="733" spans="1:14" x14ac:dyDescent="0.2">
      <c r="A733" s="172" t="s">
        <v>83</v>
      </c>
      <c r="B733" s="172" t="s">
        <v>84</v>
      </c>
      <c r="C733" s="172" t="s">
        <v>21</v>
      </c>
      <c r="D733" s="172" t="s">
        <v>15</v>
      </c>
      <c r="E733" s="173">
        <v>43215</v>
      </c>
      <c r="F733" s="174">
        <v>7.8813000000000004</v>
      </c>
      <c r="G733" s="175" t="s">
        <v>19</v>
      </c>
      <c r="H733" s="172" t="s">
        <v>20</v>
      </c>
      <c r="I733" s="175">
        <v>1</v>
      </c>
      <c r="J733" s="175" t="s">
        <v>18</v>
      </c>
      <c r="K733" s="175" t="s">
        <v>85</v>
      </c>
      <c r="L733" s="172" t="s">
        <v>86</v>
      </c>
      <c r="M733" s="172" t="s">
        <v>76</v>
      </c>
      <c r="N733" s="186"/>
    </row>
    <row r="734" spans="1:14" x14ac:dyDescent="0.2">
      <c r="A734" s="172" t="s">
        <v>83</v>
      </c>
      <c r="B734" s="172" t="s">
        <v>84</v>
      </c>
      <c r="C734" s="172" t="s">
        <v>21</v>
      </c>
      <c r="D734" s="172" t="s">
        <v>15</v>
      </c>
      <c r="E734" s="173">
        <v>43208</v>
      </c>
      <c r="F734" s="174">
        <v>1.98</v>
      </c>
      <c r="G734" s="175" t="s">
        <v>16</v>
      </c>
      <c r="H734" s="172" t="s">
        <v>17</v>
      </c>
      <c r="I734" s="175">
        <v>1</v>
      </c>
      <c r="J734" s="175" t="s">
        <v>18</v>
      </c>
      <c r="K734" s="175" t="s">
        <v>85</v>
      </c>
      <c r="L734" s="172" t="s">
        <v>86</v>
      </c>
      <c r="M734" s="172" t="s">
        <v>17</v>
      </c>
      <c r="N734" s="186"/>
    </row>
    <row r="735" spans="1:14" x14ac:dyDescent="0.2">
      <c r="A735" s="172" t="s">
        <v>83</v>
      </c>
      <c r="B735" s="172" t="s">
        <v>84</v>
      </c>
      <c r="C735" s="172" t="s">
        <v>21</v>
      </c>
      <c r="D735" s="172" t="s">
        <v>15</v>
      </c>
      <c r="E735" s="173">
        <v>43208</v>
      </c>
      <c r="F735" s="174">
        <v>12.698650799999999</v>
      </c>
      <c r="G735" s="175" t="s">
        <v>19</v>
      </c>
      <c r="H735" s="172" t="s">
        <v>17</v>
      </c>
      <c r="I735" s="175">
        <v>1</v>
      </c>
      <c r="J735" s="175" t="s">
        <v>18</v>
      </c>
      <c r="K735" s="175" t="s">
        <v>85</v>
      </c>
      <c r="L735" s="172" t="s">
        <v>86</v>
      </c>
      <c r="M735" s="172" t="s">
        <v>17</v>
      </c>
      <c r="N735" s="186"/>
    </row>
    <row r="736" spans="1:14" x14ac:dyDescent="0.2">
      <c r="A736" s="172" t="s">
        <v>83</v>
      </c>
      <c r="B736" s="172" t="s">
        <v>84</v>
      </c>
      <c r="C736" s="172" t="s">
        <v>21</v>
      </c>
      <c r="D736" s="172" t="s">
        <v>15</v>
      </c>
      <c r="E736" s="173">
        <v>43208</v>
      </c>
      <c r="F736" s="174">
        <v>1.1200000000000001</v>
      </c>
      <c r="G736" s="175" t="s">
        <v>16</v>
      </c>
      <c r="H736" s="172" t="s">
        <v>20</v>
      </c>
      <c r="I736" s="175">
        <v>1</v>
      </c>
      <c r="J736" s="175" t="s">
        <v>18</v>
      </c>
      <c r="K736" s="175" t="s">
        <v>85</v>
      </c>
      <c r="L736" s="172" t="s">
        <v>86</v>
      </c>
      <c r="M736" s="172" t="s">
        <v>76</v>
      </c>
      <c r="N736" s="186"/>
    </row>
    <row r="737" spans="1:14" x14ac:dyDescent="0.2">
      <c r="A737" s="172" t="s">
        <v>83</v>
      </c>
      <c r="B737" s="172" t="s">
        <v>84</v>
      </c>
      <c r="C737" s="172" t="s">
        <v>21</v>
      </c>
      <c r="D737" s="172" t="s">
        <v>15</v>
      </c>
      <c r="E737" s="173">
        <v>43208</v>
      </c>
      <c r="F737" s="174">
        <v>7.1830752000000002</v>
      </c>
      <c r="G737" s="175" t="s">
        <v>19</v>
      </c>
      <c r="H737" s="172" t="s">
        <v>20</v>
      </c>
      <c r="I737" s="175">
        <v>1</v>
      </c>
      <c r="J737" s="175" t="s">
        <v>18</v>
      </c>
      <c r="K737" s="175" t="s">
        <v>85</v>
      </c>
      <c r="L737" s="172" t="s">
        <v>86</v>
      </c>
      <c r="M737" s="172" t="s">
        <v>76</v>
      </c>
      <c r="N737" s="186"/>
    </row>
    <row r="738" spans="1:14" x14ac:dyDescent="0.2">
      <c r="A738" s="172" t="s">
        <v>83</v>
      </c>
      <c r="B738" s="172" t="s">
        <v>84</v>
      </c>
      <c r="C738" s="172" t="s">
        <v>21</v>
      </c>
      <c r="D738" s="172" t="s">
        <v>15</v>
      </c>
      <c r="E738" s="173">
        <v>43201</v>
      </c>
      <c r="F738" s="174">
        <v>3.37</v>
      </c>
      <c r="G738" s="175" t="s">
        <v>16</v>
      </c>
      <c r="H738" s="172" t="s">
        <v>17</v>
      </c>
      <c r="I738" s="175">
        <v>1</v>
      </c>
      <c r="J738" s="175" t="s">
        <v>18</v>
      </c>
      <c r="K738" s="175" t="s">
        <v>85</v>
      </c>
      <c r="L738" s="172" t="s">
        <v>86</v>
      </c>
      <c r="M738" s="172" t="s">
        <v>17</v>
      </c>
      <c r="N738" s="186"/>
    </row>
    <row r="739" spans="1:14" x14ac:dyDescent="0.2">
      <c r="A739" s="172" t="s">
        <v>83</v>
      </c>
      <c r="B739" s="172" t="s">
        <v>84</v>
      </c>
      <c r="C739" s="172" t="s">
        <v>21</v>
      </c>
      <c r="D739" s="172" t="s">
        <v>15</v>
      </c>
      <c r="E739" s="173">
        <v>43201</v>
      </c>
      <c r="F739" s="174">
        <v>15.45819</v>
      </c>
      <c r="G739" s="175" t="s">
        <v>19</v>
      </c>
      <c r="H739" s="172" t="s">
        <v>17</v>
      </c>
      <c r="I739" s="175">
        <v>1</v>
      </c>
      <c r="J739" s="175" t="s">
        <v>18</v>
      </c>
      <c r="K739" s="175" t="s">
        <v>85</v>
      </c>
      <c r="L739" s="172" t="s">
        <v>86</v>
      </c>
      <c r="M739" s="172" t="s">
        <v>17</v>
      </c>
      <c r="N739" s="186"/>
    </row>
    <row r="740" spans="1:14" x14ac:dyDescent="0.2">
      <c r="A740" s="172" t="s">
        <v>83</v>
      </c>
      <c r="B740" s="172" t="s">
        <v>84</v>
      </c>
      <c r="C740" s="172" t="s">
        <v>21</v>
      </c>
      <c r="D740" s="172" t="s">
        <v>15</v>
      </c>
      <c r="E740" s="173">
        <v>43201</v>
      </c>
      <c r="F740" s="174">
        <v>1.79</v>
      </c>
      <c r="G740" s="175" t="s">
        <v>16</v>
      </c>
      <c r="H740" s="172" t="s">
        <v>20</v>
      </c>
      <c r="I740" s="175">
        <v>1</v>
      </c>
      <c r="J740" s="175" t="s">
        <v>18</v>
      </c>
      <c r="K740" s="175" t="s">
        <v>85</v>
      </c>
      <c r="L740" s="172" t="s">
        <v>86</v>
      </c>
      <c r="M740" s="172" t="s">
        <v>76</v>
      </c>
      <c r="N740" s="186"/>
    </row>
    <row r="741" spans="1:14" x14ac:dyDescent="0.2">
      <c r="A741" s="172" t="s">
        <v>83</v>
      </c>
      <c r="B741" s="172" t="s">
        <v>84</v>
      </c>
      <c r="C741" s="172" t="s">
        <v>21</v>
      </c>
      <c r="D741" s="172" t="s">
        <v>15</v>
      </c>
      <c r="E741" s="173">
        <v>43201</v>
      </c>
      <c r="F741" s="174">
        <v>8.2107299999999999</v>
      </c>
      <c r="G741" s="175" t="s">
        <v>19</v>
      </c>
      <c r="H741" s="172" t="s">
        <v>20</v>
      </c>
      <c r="I741" s="175">
        <v>1</v>
      </c>
      <c r="J741" s="175" t="s">
        <v>18</v>
      </c>
      <c r="K741" s="175" t="s">
        <v>85</v>
      </c>
      <c r="L741" s="172" t="s">
        <v>86</v>
      </c>
      <c r="M741" s="172" t="s">
        <v>76</v>
      </c>
      <c r="N741" s="186"/>
    </row>
    <row r="742" spans="1:14" x14ac:dyDescent="0.2">
      <c r="A742" s="172" t="s">
        <v>83</v>
      </c>
      <c r="B742" s="172" t="s">
        <v>84</v>
      </c>
      <c r="C742" s="172" t="s">
        <v>21</v>
      </c>
      <c r="D742" s="172" t="s">
        <v>15</v>
      </c>
      <c r="E742" s="173">
        <v>43194</v>
      </c>
      <c r="F742" s="174">
        <v>2.98</v>
      </c>
      <c r="G742" s="175" t="s">
        <v>16</v>
      </c>
      <c r="H742" s="172" t="s">
        <v>17</v>
      </c>
      <c r="I742" s="175">
        <v>1</v>
      </c>
      <c r="J742" s="175" t="s">
        <v>18</v>
      </c>
      <c r="K742" s="175" t="s">
        <v>85</v>
      </c>
      <c r="L742" s="172" t="s">
        <v>86</v>
      </c>
      <c r="M742" s="172" t="s">
        <v>17</v>
      </c>
      <c r="N742" s="186"/>
    </row>
    <row r="743" spans="1:14" x14ac:dyDescent="0.2">
      <c r="A743" s="172" t="s">
        <v>83</v>
      </c>
      <c r="B743" s="172" t="s">
        <v>84</v>
      </c>
      <c r="C743" s="172" t="s">
        <v>21</v>
      </c>
      <c r="D743" s="172" t="s">
        <v>15</v>
      </c>
      <c r="E743" s="173">
        <v>43194</v>
      </c>
      <c r="F743" s="174">
        <v>14.365149600000001</v>
      </c>
      <c r="G743" s="175" t="s">
        <v>19</v>
      </c>
      <c r="H743" s="172" t="s">
        <v>17</v>
      </c>
      <c r="I743" s="175">
        <v>1</v>
      </c>
      <c r="J743" s="175" t="s">
        <v>18</v>
      </c>
      <c r="K743" s="175" t="s">
        <v>85</v>
      </c>
      <c r="L743" s="172" t="s">
        <v>86</v>
      </c>
      <c r="M743" s="172" t="s">
        <v>17</v>
      </c>
      <c r="N743" s="186"/>
    </row>
    <row r="744" spans="1:14" x14ac:dyDescent="0.2">
      <c r="A744" s="172" t="s">
        <v>83</v>
      </c>
      <c r="B744" s="172" t="s">
        <v>84</v>
      </c>
      <c r="C744" s="172" t="s">
        <v>21</v>
      </c>
      <c r="D744" s="172" t="s">
        <v>15</v>
      </c>
      <c r="E744" s="173">
        <v>43194</v>
      </c>
      <c r="F744" s="174">
        <v>1.25</v>
      </c>
      <c r="G744" s="175" t="s">
        <v>16</v>
      </c>
      <c r="H744" s="172" t="s">
        <v>20</v>
      </c>
      <c r="I744" s="175">
        <v>1</v>
      </c>
      <c r="J744" s="175" t="s">
        <v>18</v>
      </c>
      <c r="K744" s="175" t="s">
        <v>85</v>
      </c>
      <c r="L744" s="172" t="s">
        <v>86</v>
      </c>
      <c r="M744" s="172" t="s">
        <v>76</v>
      </c>
      <c r="N744" s="186"/>
    </row>
    <row r="745" spans="1:14" x14ac:dyDescent="0.2">
      <c r="A745" s="172" t="s">
        <v>83</v>
      </c>
      <c r="B745" s="172" t="s">
        <v>84</v>
      </c>
      <c r="C745" s="172" t="s">
        <v>21</v>
      </c>
      <c r="D745" s="172" t="s">
        <v>15</v>
      </c>
      <c r="E745" s="173">
        <v>43194</v>
      </c>
      <c r="F745" s="174">
        <v>6.0256499999999997</v>
      </c>
      <c r="G745" s="175" t="s">
        <v>19</v>
      </c>
      <c r="H745" s="172" t="s">
        <v>20</v>
      </c>
      <c r="I745" s="175">
        <v>1</v>
      </c>
      <c r="J745" s="175" t="s">
        <v>18</v>
      </c>
      <c r="K745" s="175" t="s">
        <v>85</v>
      </c>
      <c r="L745" s="172" t="s">
        <v>86</v>
      </c>
      <c r="M745" s="172" t="s">
        <v>76</v>
      </c>
      <c r="N745" s="186"/>
    </row>
    <row r="746" spans="1:14" x14ac:dyDescent="0.2">
      <c r="A746" s="172" t="s">
        <v>83</v>
      </c>
      <c r="B746" s="172" t="s">
        <v>84</v>
      </c>
      <c r="C746" s="172" t="s">
        <v>21</v>
      </c>
      <c r="D746" s="172" t="s">
        <v>15</v>
      </c>
      <c r="E746" s="173">
        <v>43185</v>
      </c>
      <c r="F746" s="174">
        <v>4.47</v>
      </c>
      <c r="G746" s="175" t="s">
        <v>16</v>
      </c>
      <c r="H746" s="172" t="s">
        <v>17</v>
      </c>
      <c r="I746" s="175">
        <v>1</v>
      </c>
      <c r="J746" s="175" t="s">
        <v>18</v>
      </c>
      <c r="K746" s="175" t="s">
        <v>85</v>
      </c>
      <c r="L746" s="172" t="s">
        <v>86</v>
      </c>
      <c r="M746" s="172" t="s">
        <v>17</v>
      </c>
      <c r="N746" s="186"/>
    </row>
    <row r="747" spans="1:14" x14ac:dyDescent="0.2">
      <c r="A747" s="172" t="s">
        <v>83</v>
      </c>
      <c r="B747" s="172" t="s">
        <v>84</v>
      </c>
      <c r="C747" s="172" t="s">
        <v>21</v>
      </c>
      <c r="D747" s="172" t="s">
        <v>15</v>
      </c>
      <c r="E747" s="173">
        <v>43185</v>
      </c>
      <c r="F747" s="174">
        <v>16.104873600000001</v>
      </c>
      <c r="G747" s="175" t="s">
        <v>19</v>
      </c>
      <c r="H747" s="172" t="s">
        <v>17</v>
      </c>
      <c r="I747" s="175">
        <v>1</v>
      </c>
      <c r="J747" s="175" t="s">
        <v>18</v>
      </c>
      <c r="K747" s="175" t="s">
        <v>85</v>
      </c>
      <c r="L747" s="172" t="s">
        <v>86</v>
      </c>
      <c r="M747" s="172" t="s">
        <v>17</v>
      </c>
      <c r="N747" s="186"/>
    </row>
    <row r="748" spans="1:14" x14ac:dyDescent="0.2">
      <c r="A748" s="172" t="s">
        <v>83</v>
      </c>
      <c r="B748" s="172" t="s">
        <v>84</v>
      </c>
      <c r="C748" s="172" t="s">
        <v>21</v>
      </c>
      <c r="D748" s="172" t="s">
        <v>15</v>
      </c>
      <c r="E748" s="173">
        <v>43185</v>
      </c>
      <c r="F748" s="174">
        <v>2.42</v>
      </c>
      <c r="G748" s="175" t="s">
        <v>16</v>
      </c>
      <c r="H748" s="172" t="s">
        <v>20</v>
      </c>
      <c r="I748" s="175">
        <v>1</v>
      </c>
      <c r="J748" s="175" t="s">
        <v>18</v>
      </c>
      <c r="K748" s="175" t="s">
        <v>85</v>
      </c>
      <c r="L748" s="172" t="s">
        <v>86</v>
      </c>
      <c r="M748" s="172" t="s">
        <v>76</v>
      </c>
      <c r="N748" s="186"/>
    </row>
    <row r="749" spans="1:14" x14ac:dyDescent="0.2">
      <c r="A749" s="172" t="s">
        <v>83</v>
      </c>
      <c r="B749" s="172" t="s">
        <v>84</v>
      </c>
      <c r="C749" s="172" t="s">
        <v>21</v>
      </c>
      <c r="D749" s="172" t="s">
        <v>15</v>
      </c>
      <c r="E749" s="173">
        <v>43185</v>
      </c>
      <c r="F749" s="174">
        <v>8.7189695999999994</v>
      </c>
      <c r="G749" s="175" t="s">
        <v>19</v>
      </c>
      <c r="H749" s="172" t="s">
        <v>20</v>
      </c>
      <c r="I749" s="175">
        <v>1</v>
      </c>
      <c r="J749" s="175" t="s">
        <v>18</v>
      </c>
      <c r="K749" s="175" t="s">
        <v>85</v>
      </c>
      <c r="L749" s="172" t="s">
        <v>86</v>
      </c>
      <c r="M749" s="172" t="s">
        <v>76</v>
      </c>
      <c r="N749" s="186"/>
    </row>
    <row r="750" spans="1:14" x14ac:dyDescent="0.2">
      <c r="A750" s="172" t="s">
        <v>83</v>
      </c>
      <c r="B750" s="172" t="s">
        <v>84</v>
      </c>
      <c r="C750" s="172" t="s">
        <v>21</v>
      </c>
      <c r="D750" s="172" t="s">
        <v>15</v>
      </c>
      <c r="E750" s="173">
        <v>43180</v>
      </c>
      <c r="F750" s="174">
        <v>3.59</v>
      </c>
      <c r="G750" s="175" t="s">
        <v>16</v>
      </c>
      <c r="H750" s="172" t="s">
        <v>17</v>
      </c>
      <c r="I750" s="175">
        <v>1</v>
      </c>
      <c r="J750" s="175" t="s">
        <v>18</v>
      </c>
      <c r="K750" s="175" t="s">
        <v>85</v>
      </c>
      <c r="L750" s="172" t="s">
        <v>86</v>
      </c>
      <c r="M750" s="172" t="s">
        <v>17</v>
      </c>
      <c r="N750" s="186"/>
    </row>
    <row r="751" spans="1:14" x14ac:dyDescent="0.2">
      <c r="A751" s="172" t="s">
        <v>83</v>
      </c>
      <c r="B751" s="172" t="s">
        <v>84</v>
      </c>
      <c r="C751" s="172" t="s">
        <v>21</v>
      </c>
      <c r="D751" s="172" t="s">
        <v>15</v>
      </c>
      <c r="E751" s="173">
        <v>43180</v>
      </c>
      <c r="F751" s="174">
        <v>11.946299399999999</v>
      </c>
      <c r="G751" s="175" t="s">
        <v>19</v>
      </c>
      <c r="H751" s="172" t="s">
        <v>17</v>
      </c>
      <c r="I751" s="175">
        <v>1</v>
      </c>
      <c r="J751" s="175" t="s">
        <v>18</v>
      </c>
      <c r="K751" s="175" t="s">
        <v>85</v>
      </c>
      <c r="L751" s="172" t="s">
        <v>86</v>
      </c>
      <c r="M751" s="172" t="s">
        <v>17</v>
      </c>
      <c r="N751" s="186"/>
    </row>
    <row r="752" spans="1:14" x14ac:dyDescent="0.2">
      <c r="A752" s="172" t="s">
        <v>83</v>
      </c>
      <c r="B752" s="172" t="s">
        <v>84</v>
      </c>
      <c r="C752" s="172" t="s">
        <v>21</v>
      </c>
      <c r="D752" s="172" t="s">
        <v>15</v>
      </c>
      <c r="E752" s="173">
        <v>43180</v>
      </c>
      <c r="F752" s="174">
        <v>2.46</v>
      </c>
      <c r="G752" s="175" t="s">
        <v>16</v>
      </c>
      <c r="H752" s="172" t="s">
        <v>20</v>
      </c>
      <c r="I752" s="175">
        <v>1</v>
      </c>
      <c r="J752" s="175" t="s">
        <v>18</v>
      </c>
      <c r="K752" s="175" t="s">
        <v>85</v>
      </c>
      <c r="L752" s="172" t="s">
        <v>86</v>
      </c>
      <c r="M752" s="172" t="s">
        <v>76</v>
      </c>
      <c r="N752" s="186"/>
    </row>
    <row r="753" spans="1:14" x14ac:dyDescent="0.2">
      <c r="A753" s="172" t="s">
        <v>83</v>
      </c>
      <c r="B753" s="172" t="s">
        <v>84</v>
      </c>
      <c r="C753" s="172" t="s">
        <v>21</v>
      </c>
      <c r="D753" s="172" t="s">
        <v>15</v>
      </c>
      <c r="E753" s="173">
        <v>43180</v>
      </c>
      <c r="F753" s="174">
        <v>8.1860435999999996</v>
      </c>
      <c r="G753" s="175" t="s">
        <v>19</v>
      </c>
      <c r="H753" s="172" t="s">
        <v>20</v>
      </c>
      <c r="I753" s="175">
        <v>1</v>
      </c>
      <c r="J753" s="175" t="s">
        <v>18</v>
      </c>
      <c r="K753" s="175" t="s">
        <v>85</v>
      </c>
      <c r="L753" s="172" t="s">
        <v>86</v>
      </c>
      <c r="M753" s="172" t="s">
        <v>76</v>
      </c>
      <c r="N753" s="186"/>
    </row>
    <row r="754" spans="1:14" x14ac:dyDescent="0.2">
      <c r="A754" s="172" t="s">
        <v>83</v>
      </c>
      <c r="B754" s="172" t="s">
        <v>84</v>
      </c>
      <c r="C754" s="172" t="s">
        <v>21</v>
      </c>
      <c r="D754" s="172" t="s">
        <v>15</v>
      </c>
      <c r="E754" s="173">
        <v>43173</v>
      </c>
      <c r="F754" s="174">
        <v>4.5999999999999996</v>
      </c>
      <c r="G754" s="175" t="s">
        <v>16</v>
      </c>
      <c r="H754" s="172" t="s">
        <v>17</v>
      </c>
      <c r="I754" s="175">
        <v>1</v>
      </c>
      <c r="J754" s="175" t="s">
        <v>18</v>
      </c>
      <c r="K754" s="175" t="s">
        <v>85</v>
      </c>
      <c r="L754" s="172" t="s">
        <v>86</v>
      </c>
      <c r="M754" s="172" t="s">
        <v>17</v>
      </c>
      <c r="N754" s="186"/>
    </row>
    <row r="755" spans="1:14" x14ac:dyDescent="0.2">
      <c r="A755" s="172" t="s">
        <v>83</v>
      </c>
      <c r="B755" s="172" t="s">
        <v>84</v>
      </c>
      <c r="C755" s="172" t="s">
        <v>21</v>
      </c>
      <c r="D755" s="172" t="s">
        <v>15</v>
      </c>
      <c r="E755" s="173">
        <v>43173</v>
      </c>
      <c r="F755" s="174">
        <v>14.501592</v>
      </c>
      <c r="G755" s="175" t="s">
        <v>19</v>
      </c>
      <c r="H755" s="172" t="s">
        <v>17</v>
      </c>
      <c r="I755" s="175">
        <v>1</v>
      </c>
      <c r="J755" s="175" t="s">
        <v>18</v>
      </c>
      <c r="K755" s="175" t="s">
        <v>85</v>
      </c>
      <c r="L755" s="172" t="s">
        <v>86</v>
      </c>
      <c r="M755" s="172" t="s">
        <v>17</v>
      </c>
      <c r="N755" s="186"/>
    </row>
    <row r="756" spans="1:14" x14ac:dyDescent="0.2">
      <c r="A756" s="172" t="s">
        <v>83</v>
      </c>
      <c r="B756" s="172" t="s">
        <v>84</v>
      </c>
      <c r="C756" s="172" t="s">
        <v>21</v>
      </c>
      <c r="D756" s="172" t="s">
        <v>15</v>
      </c>
      <c r="E756" s="173">
        <v>43173</v>
      </c>
      <c r="F756" s="174">
        <v>2.4500000000000002</v>
      </c>
      <c r="G756" s="175" t="s">
        <v>16</v>
      </c>
      <c r="H756" s="172" t="s">
        <v>20</v>
      </c>
      <c r="I756" s="175">
        <v>1</v>
      </c>
      <c r="J756" s="175" t="s">
        <v>18</v>
      </c>
      <c r="K756" s="175" t="s">
        <v>85</v>
      </c>
      <c r="L756" s="172" t="s">
        <v>86</v>
      </c>
      <c r="M756" s="172" t="s">
        <v>76</v>
      </c>
      <c r="N756" s="186"/>
    </row>
    <row r="757" spans="1:14" x14ac:dyDescent="0.2">
      <c r="A757" s="172" t="s">
        <v>83</v>
      </c>
      <c r="B757" s="172" t="s">
        <v>84</v>
      </c>
      <c r="C757" s="172" t="s">
        <v>21</v>
      </c>
      <c r="D757" s="172" t="s">
        <v>15</v>
      </c>
      <c r="E757" s="173">
        <v>43173</v>
      </c>
      <c r="F757" s="174">
        <v>7.7236739999999999</v>
      </c>
      <c r="G757" s="175" t="s">
        <v>19</v>
      </c>
      <c r="H757" s="172" t="s">
        <v>20</v>
      </c>
      <c r="I757" s="175">
        <v>1</v>
      </c>
      <c r="J757" s="175" t="s">
        <v>18</v>
      </c>
      <c r="K757" s="175" t="s">
        <v>85</v>
      </c>
      <c r="L757" s="172" t="s">
        <v>86</v>
      </c>
      <c r="M757" s="172" t="s">
        <v>76</v>
      </c>
      <c r="N757" s="186"/>
    </row>
    <row r="758" spans="1:14" x14ac:dyDescent="0.2">
      <c r="A758" s="172" t="s">
        <v>83</v>
      </c>
      <c r="B758" s="172" t="s">
        <v>84</v>
      </c>
      <c r="C758" s="172" t="s">
        <v>21</v>
      </c>
      <c r="D758" s="172" t="s">
        <v>15</v>
      </c>
      <c r="E758" s="173">
        <v>43166</v>
      </c>
      <c r="F758" s="174">
        <v>3.73</v>
      </c>
      <c r="G758" s="175" t="s">
        <v>16</v>
      </c>
      <c r="H758" s="172" t="s">
        <v>17</v>
      </c>
      <c r="I758" s="175">
        <v>1</v>
      </c>
      <c r="J758" s="175" t="s">
        <v>18</v>
      </c>
      <c r="K758" s="175" t="s">
        <v>85</v>
      </c>
      <c r="L758" s="172" t="s">
        <v>86</v>
      </c>
      <c r="M758" s="172" t="s">
        <v>17</v>
      </c>
      <c r="N758" s="186"/>
    </row>
    <row r="759" spans="1:14" x14ac:dyDescent="0.2">
      <c r="A759" s="172" t="s">
        <v>83</v>
      </c>
      <c r="B759" s="172" t="s">
        <v>84</v>
      </c>
      <c r="C759" s="172" t="s">
        <v>21</v>
      </c>
      <c r="D759" s="172" t="s">
        <v>15</v>
      </c>
      <c r="E759" s="173">
        <v>43166</v>
      </c>
      <c r="F759" s="174">
        <v>12.5054964</v>
      </c>
      <c r="G759" s="175" t="s">
        <v>19</v>
      </c>
      <c r="H759" s="172" t="s">
        <v>17</v>
      </c>
      <c r="I759" s="175">
        <v>1</v>
      </c>
      <c r="J759" s="175" t="s">
        <v>18</v>
      </c>
      <c r="K759" s="175" t="s">
        <v>85</v>
      </c>
      <c r="L759" s="172" t="s">
        <v>86</v>
      </c>
      <c r="M759" s="172" t="s">
        <v>17</v>
      </c>
      <c r="N759" s="186"/>
    </row>
    <row r="760" spans="1:14" x14ac:dyDescent="0.2">
      <c r="A760" s="172" t="s">
        <v>83</v>
      </c>
      <c r="B760" s="172" t="s">
        <v>84</v>
      </c>
      <c r="C760" s="172" t="s">
        <v>21</v>
      </c>
      <c r="D760" s="172" t="s">
        <v>15</v>
      </c>
      <c r="E760" s="173">
        <v>43166</v>
      </c>
      <c r="F760" s="174">
        <v>1.87</v>
      </c>
      <c r="G760" s="175" t="s">
        <v>16</v>
      </c>
      <c r="H760" s="172" t="s">
        <v>20</v>
      </c>
      <c r="I760" s="175">
        <v>1</v>
      </c>
      <c r="J760" s="175" t="s">
        <v>18</v>
      </c>
      <c r="K760" s="175" t="s">
        <v>85</v>
      </c>
      <c r="L760" s="172" t="s">
        <v>86</v>
      </c>
      <c r="M760" s="172" t="s">
        <v>76</v>
      </c>
      <c r="N760" s="186"/>
    </row>
    <row r="761" spans="1:14" x14ac:dyDescent="0.2">
      <c r="A761" s="172" t="s">
        <v>83</v>
      </c>
      <c r="B761" s="172" t="s">
        <v>84</v>
      </c>
      <c r="C761" s="172" t="s">
        <v>21</v>
      </c>
      <c r="D761" s="172" t="s">
        <v>15</v>
      </c>
      <c r="E761" s="173">
        <v>43166</v>
      </c>
      <c r="F761" s="174">
        <v>6.2695116000000004</v>
      </c>
      <c r="G761" s="175" t="s">
        <v>19</v>
      </c>
      <c r="H761" s="172" t="s">
        <v>20</v>
      </c>
      <c r="I761" s="175">
        <v>1</v>
      </c>
      <c r="J761" s="175" t="s">
        <v>18</v>
      </c>
      <c r="K761" s="175" t="s">
        <v>85</v>
      </c>
      <c r="L761" s="172" t="s">
        <v>86</v>
      </c>
      <c r="M761" s="172" t="s">
        <v>76</v>
      </c>
      <c r="N761" s="186"/>
    </row>
    <row r="762" spans="1:14" x14ac:dyDescent="0.2">
      <c r="A762" s="172" t="s">
        <v>83</v>
      </c>
      <c r="B762" s="172" t="s">
        <v>84</v>
      </c>
      <c r="C762" s="172" t="s">
        <v>21</v>
      </c>
      <c r="D762" s="172" t="s">
        <v>15</v>
      </c>
      <c r="E762" s="173">
        <v>43157</v>
      </c>
      <c r="F762" s="174">
        <v>4.07</v>
      </c>
      <c r="G762" s="175" t="s">
        <v>16</v>
      </c>
      <c r="H762" s="172" t="s">
        <v>17</v>
      </c>
      <c r="I762" s="175">
        <v>1</v>
      </c>
      <c r="J762" s="175" t="s">
        <v>18</v>
      </c>
      <c r="K762" s="175" t="s">
        <v>85</v>
      </c>
      <c r="L762" s="172" t="s">
        <v>86</v>
      </c>
      <c r="M762" s="172" t="s">
        <v>17</v>
      </c>
      <c r="N762" s="186"/>
    </row>
    <row r="763" spans="1:14" x14ac:dyDescent="0.2">
      <c r="A763" s="172" t="s">
        <v>83</v>
      </c>
      <c r="B763" s="172" t="s">
        <v>84</v>
      </c>
      <c r="C763" s="172" t="s">
        <v>21</v>
      </c>
      <c r="D763" s="172" t="s">
        <v>15</v>
      </c>
      <c r="E763" s="173">
        <v>43157</v>
      </c>
      <c r="F763" s="174">
        <v>13.8490704</v>
      </c>
      <c r="G763" s="175" t="s">
        <v>19</v>
      </c>
      <c r="H763" s="172" t="s">
        <v>17</v>
      </c>
      <c r="I763" s="175">
        <v>1</v>
      </c>
      <c r="J763" s="175" t="s">
        <v>18</v>
      </c>
      <c r="K763" s="175" t="s">
        <v>85</v>
      </c>
      <c r="L763" s="172" t="s">
        <v>86</v>
      </c>
      <c r="M763" s="172" t="s">
        <v>17</v>
      </c>
      <c r="N763" s="186"/>
    </row>
    <row r="764" spans="1:14" x14ac:dyDescent="0.2">
      <c r="A764" s="172" t="s">
        <v>83</v>
      </c>
      <c r="B764" s="172" t="s">
        <v>84</v>
      </c>
      <c r="C764" s="172" t="s">
        <v>21</v>
      </c>
      <c r="D764" s="172" t="s">
        <v>15</v>
      </c>
      <c r="E764" s="173">
        <v>43157</v>
      </c>
      <c r="F764" s="174">
        <v>2.14</v>
      </c>
      <c r="G764" s="175" t="s">
        <v>16</v>
      </c>
      <c r="H764" s="172" t="s">
        <v>20</v>
      </c>
      <c r="I764" s="175">
        <v>1</v>
      </c>
      <c r="J764" s="175" t="s">
        <v>18</v>
      </c>
      <c r="K764" s="175" t="s">
        <v>85</v>
      </c>
      <c r="L764" s="172" t="s">
        <v>86</v>
      </c>
      <c r="M764" s="172" t="s">
        <v>76</v>
      </c>
      <c r="N764" s="186"/>
    </row>
    <row r="765" spans="1:14" x14ac:dyDescent="0.2">
      <c r="A765" s="172" t="s">
        <v>83</v>
      </c>
      <c r="B765" s="172" t="s">
        <v>84</v>
      </c>
      <c r="C765" s="172" t="s">
        <v>21</v>
      </c>
      <c r="D765" s="172" t="s">
        <v>15</v>
      </c>
      <c r="E765" s="173">
        <v>43157</v>
      </c>
      <c r="F765" s="174">
        <v>7.2818208000000002</v>
      </c>
      <c r="G765" s="175" t="s">
        <v>19</v>
      </c>
      <c r="H765" s="172" t="s">
        <v>20</v>
      </c>
      <c r="I765" s="175">
        <v>1</v>
      </c>
      <c r="J765" s="175" t="s">
        <v>18</v>
      </c>
      <c r="K765" s="175" t="s">
        <v>85</v>
      </c>
      <c r="L765" s="172" t="s">
        <v>86</v>
      </c>
      <c r="M765" s="172" t="s">
        <v>76</v>
      </c>
      <c r="N765" s="186"/>
    </row>
    <row r="766" spans="1:14" x14ac:dyDescent="0.2">
      <c r="A766" s="172" t="s">
        <v>83</v>
      </c>
      <c r="B766" s="172" t="s">
        <v>84</v>
      </c>
      <c r="C766" s="172" t="s">
        <v>21</v>
      </c>
      <c r="D766" s="172" t="s">
        <v>15</v>
      </c>
      <c r="E766" s="173">
        <v>43145</v>
      </c>
      <c r="F766" s="174">
        <v>4.55</v>
      </c>
      <c r="G766" s="175" t="s">
        <v>16</v>
      </c>
      <c r="H766" s="172" t="s">
        <v>17</v>
      </c>
      <c r="I766" s="175">
        <v>1</v>
      </c>
      <c r="J766" s="175" t="s">
        <v>18</v>
      </c>
      <c r="K766" s="175" t="s">
        <v>85</v>
      </c>
      <c r="L766" s="172" t="s">
        <v>86</v>
      </c>
      <c r="M766" s="172" t="s">
        <v>17</v>
      </c>
      <c r="N766" s="186"/>
    </row>
    <row r="767" spans="1:14" x14ac:dyDescent="0.2">
      <c r="A767" s="172" t="s">
        <v>83</v>
      </c>
      <c r="B767" s="172" t="s">
        <v>84</v>
      </c>
      <c r="C767" s="172" t="s">
        <v>21</v>
      </c>
      <c r="D767" s="172" t="s">
        <v>15</v>
      </c>
      <c r="E767" s="173">
        <v>43145</v>
      </c>
      <c r="F767" s="174">
        <v>11.535888</v>
      </c>
      <c r="G767" s="175" t="s">
        <v>19</v>
      </c>
      <c r="H767" s="172" t="s">
        <v>17</v>
      </c>
      <c r="I767" s="175">
        <v>1</v>
      </c>
      <c r="J767" s="175" t="s">
        <v>18</v>
      </c>
      <c r="K767" s="175" t="s">
        <v>85</v>
      </c>
      <c r="L767" s="172" t="s">
        <v>86</v>
      </c>
      <c r="M767" s="172" t="s">
        <v>17</v>
      </c>
      <c r="N767" s="186"/>
    </row>
    <row r="768" spans="1:14" x14ac:dyDescent="0.2">
      <c r="A768" s="172" t="s">
        <v>83</v>
      </c>
      <c r="B768" s="172" t="s">
        <v>84</v>
      </c>
      <c r="C768" s="172" t="s">
        <v>21</v>
      </c>
      <c r="D768" s="172" t="s">
        <v>15</v>
      </c>
      <c r="E768" s="173">
        <v>43145</v>
      </c>
      <c r="F768" s="174">
        <v>2.99</v>
      </c>
      <c r="G768" s="175" t="s">
        <v>16</v>
      </c>
      <c r="H768" s="172" t="s">
        <v>20</v>
      </c>
      <c r="I768" s="175">
        <v>1</v>
      </c>
      <c r="J768" s="175" t="s">
        <v>18</v>
      </c>
      <c r="K768" s="175" t="s">
        <v>85</v>
      </c>
      <c r="L768" s="172" t="s">
        <v>86</v>
      </c>
      <c r="M768" s="172" t="s">
        <v>76</v>
      </c>
      <c r="N768" s="186"/>
    </row>
    <row r="769" spans="1:14" x14ac:dyDescent="0.2">
      <c r="A769" s="172" t="s">
        <v>83</v>
      </c>
      <c r="B769" s="172" t="s">
        <v>84</v>
      </c>
      <c r="C769" s="172" t="s">
        <v>21</v>
      </c>
      <c r="D769" s="172" t="s">
        <v>15</v>
      </c>
      <c r="E769" s="173">
        <v>43145</v>
      </c>
      <c r="F769" s="174">
        <v>7.5807263999999996</v>
      </c>
      <c r="G769" s="175" t="s">
        <v>19</v>
      </c>
      <c r="H769" s="172" t="s">
        <v>20</v>
      </c>
      <c r="I769" s="175">
        <v>1</v>
      </c>
      <c r="J769" s="175" t="s">
        <v>18</v>
      </c>
      <c r="K769" s="175" t="s">
        <v>85</v>
      </c>
      <c r="L769" s="172" t="s">
        <v>86</v>
      </c>
      <c r="M769" s="172" t="s">
        <v>76</v>
      </c>
      <c r="N769" s="186"/>
    </row>
    <row r="770" spans="1:14" x14ac:dyDescent="0.2">
      <c r="A770" s="172" t="s">
        <v>83</v>
      </c>
      <c r="B770" s="172" t="s">
        <v>84</v>
      </c>
      <c r="C770" s="172" t="s">
        <v>21</v>
      </c>
      <c r="D770" s="172" t="s">
        <v>15</v>
      </c>
      <c r="E770" s="173">
        <v>43138</v>
      </c>
      <c r="F770" s="174">
        <v>4.41</v>
      </c>
      <c r="G770" s="175" t="s">
        <v>16</v>
      </c>
      <c r="H770" s="172" t="s">
        <v>17</v>
      </c>
      <c r="I770" s="175">
        <v>1</v>
      </c>
      <c r="J770" s="175" t="s">
        <v>18</v>
      </c>
      <c r="K770" s="175" t="s">
        <v>85</v>
      </c>
      <c r="L770" s="172" t="s">
        <v>86</v>
      </c>
      <c r="M770" s="172" t="s">
        <v>17</v>
      </c>
      <c r="N770" s="186"/>
    </row>
    <row r="771" spans="1:14" x14ac:dyDescent="0.2">
      <c r="A771" s="172" t="s">
        <v>83</v>
      </c>
      <c r="B771" s="172" t="s">
        <v>84</v>
      </c>
      <c r="C771" s="172" t="s">
        <v>21</v>
      </c>
      <c r="D771" s="172" t="s">
        <v>15</v>
      </c>
      <c r="E771" s="173">
        <v>43138</v>
      </c>
      <c r="F771" s="174">
        <v>11.254496400000001</v>
      </c>
      <c r="G771" s="175" t="s">
        <v>19</v>
      </c>
      <c r="H771" s="172" t="s">
        <v>17</v>
      </c>
      <c r="I771" s="175">
        <v>1</v>
      </c>
      <c r="J771" s="175" t="s">
        <v>18</v>
      </c>
      <c r="K771" s="175" t="s">
        <v>85</v>
      </c>
      <c r="L771" s="172" t="s">
        <v>86</v>
      </c>
      <c r="M771" s="172" t="s">
        <v>17</v>
      </c>
      <c r="N771" s="186"/>
    </row>
    <row r="772" spans="1:14" x14ac:dyDescent="0.2">
      <c r="A772" s="172" t="s">
        <v>83</v>
      </c>
      <c r="B772" s="172" t="s">
        <v>84</v>
      </c>
      <c r="C772" s="172" t="s">
        <v>21</v>
      </c>
      <c r="D772" s="172" t="s">
        <v>15</v>
      </c>
      <c r="E772" s="173">
        <v>43138</v>
      </c>
      <c r="F772" s="174">
        <v>2.8</v>
      </c>
      <c r="G772" s="175" t="s">
        <v>16</v>
      </c>
      <c r="H772" s="172" t="s">
        <v>20</v>
      </c>
      <c r="I772" s="175">
        <v>1</v>
      </c>
      <c r="J772" s="175" t="s">
        <v>18</v>
      </c>
      <c r="K772" s="175" t="s">
        <v>85</v>
      </c>
      <c r="L772" s="172" t="s">
        <v>86</v>
      </c>
      <c r="M772" s="172" t="s">
        <v>76</v>
      </c>
      <c r="N772" s="186"/>
    </row>
    <row r="773" spans="1:14" x14ac:dyDescent="0.2">
      <c r="A773" s="172" t="s">
        <v>83</v>
      </c>
      <c r="B773" s="172" t="s">
        <v>84</v>
      </c>
      <c r="C773" s="172" t="s">
        <v>21</v>
      </c>
      <c r="D773" s="172" t="s">
        <v>15</v>
      </c>
      <c r="E773" s="173">
        <v>43138</v>
      </c>
      <c r="F773" s="174">
        <v>7.1457119999999996</v>
      </c>
      <c r="G773" s="175" t="s">
        <v>19</v>
      </c>
      <c r="H773" s="172" t="s">
        <v>20</v>
      </c>
      <c r="I773" s="175">
        <v>1</v>
      </c>
      <c r="J773" s="175" t="s">
        <v>18</v>
      </c>
      <c r="K773" s="175" t="s">
        <v>85</v>
      </c>
      <c r="L773" s="172" t="s">
        <v>86</v>
      </c>
      <c r="M773" s="172" t="s">
        <v>76</v>
      </c>
      <c r="N773" s="186"/>
    </row>
    <row r="774" spans="1:14" x14ac:dyDescent="0.2">
      <c r="A774" s="172" t="s">
        <v>83</v>
      </c>
      <c r="B774" s="172" t="s">
        <v>84</v>
      </c>
      <c r="C774" s="172" t="s">
        <v>21</v>
      </c>
      <c r="D774" s="172" t="s">
        <v>15</v>
      </c>
      <c r="E774" s="173">
        <v>43129</v>
      </c>
      <c r="F774" s="174">
        <v>4.95</v>
      </c>
      <c r="G774" s="175" t="s">
        <v>16</v>
      </c>
      <c r="H774" s="172" t="s">
        <v>17</v>
      </c>
      <c r="I774" s="175">
        <v>1</v>
      </c>
      <c r="J774" s="175" t="s">
        <v>18</v>
      </c>
      <c r="K774" s="175" t="s">
        <v>85</v>
      </c>
      <c r="L774" s="172" t="s">
        <v>86</v>
      </c>
      <c r="M774" s="172" t="s">
        <v>17</v>
      </c>
    </row>
    <row r="775" spans="1:14" x14ac:dyDescent="0.2">
      <c r="A775" s="172" t="s">
        <v>83</v>
      </c>
      <c r="B775" s="172" t="s">
        <v>84</v>
      </c>
      <c r="C775" s="172" t="s">
        <v>21</v>
      </c>
      <c r="D775" s="172" t="s">
        <v>15</v>
      </c>
      <c r="E775" s="173">
        <v>43129</v>
      </c>
      <c r="F775" s="174">
        <v>12.550032</v>
      </c>
      <c r="G775" s="175" t="s">
        <v>19</v>
      </c>
      <c r="H775" s="172" t="s">
        <v>17</v>
      </c>
      <c r="I775" s="175">
        <v>1</v>
      </c>
      <c r="J775" s="175" t="s">
        <v>18</v>
      </c>
      <c r="K775" s="175" t="s">
        <v>85</v>
      </c>
      <c r="L775" s="172" t="s">
        <v>86</v>
      </c>
      <c r="M775" s="172" t="s">
        <v>17</v>
      </c>
    </row>
    <row r="776" spans="1:14" x14ac:dyDescent="0.2">
      <c r="A776" s="172" t="s">
        <v>83</v>
      </c>
      <c r="B776" s="172" t="s">
        <v>84</v>
      </c>
      <c r="C776" s="172" t="s">
        <v>21</v>
      </c>
      <c r="D776" s="172" t="s">
        <v>15</v>
      </c>
      <c r="E776" s="173">
        <v>43129</v>
      </c>
      <c r="F776" s="174">
        <v>1.9</v>
      </c>
      <c r="G776" s="175" t="s">
        <v>16</v>
      </c>
      <c r="H776" s="172" t="s">
        <v>20</v>
      </c>
      <c r="I776" s="175">
        <v>1</v>
      </c>
      <c r="J776" s="175" t="s">
        <v>18</v>
      </c>
      <c r="K776" s="175" t="s">
        <v>85</v>
      </c>
      <c r="L776" s="172" t="s">
        <v>86</v>
      </c>
      <c r="M776" s="172" t="s">
        <v>76</v>
      </c>
    </row>
    <row r="777" spans="1:14" x14ac:dyDescent="0.2">
      <c r="A777" s="172" t="s">
        <v>83</v>
      </c>
      <c r="B777" s="172" t="s">
        <v>84</v>
      </c>
      <c r="C777" s="172" t="s">
        <v>21</v>
      </c>
      <c r="D777" s="172" t="s">
        <v>15</v>
      </c>
      <c r="E777" s="173">
        <v>43129</v>
      </c>
      <c r="F777" s="174">
        <v>4.8171840000000001</v>
      </c>
      <c r="G777" s="175" t="s">
        <v>19</v>
      </c>
      <c r="H777" s="172" t="s">
        <v>20</v>
      </c>
      <c r="I777" s="175">
        <v>1</v>
      </c>
      <c r="J777" s="175" t="s">
        <v>18</v>
      </c>
      <c r="K777" s="175" t="s">
        <v>85</v>
      </c>
      <c r="L777" s="172" t="s">
        <v>86</v>
      </c>
      <c r="M777" s="172" t="s">
        <v>76</v>
      </c>
    </row>
    <row r="778" spans="1:14" x14ac:dyDescent="0.2">
      <c r="A778" s="172" t="s">
        <v>83</v>
      </c>
      <c r="B778" s="172" t="s">
        <v>84</v>
      </c>
      <c r="C778" s="172" t="s">
        <v>21</v>
      </c>
      <c r="D778" s="172" t="s">
        <v>15</v>
      </c>
      <c r="E778" s="173">
        <v>43124</v>
      </c>
      <c r="F778" s="174">
        <v>3.25</v>
      </c>
      <c r="G778" s="175" t="s">
        <v>16</v>
      </c>
      <c r="H778" s="172" t="s">
        <v>17</v>
      </c>
      <c r="I778" s="175">
        <v>1</v>
      </c>
      <c r="J778" s="175" t="s">
        <v>18</v>
      </c>
      <c r="K778" s="175" t="s">
        <v>85</v>
      </c>
      <c r="L778" s="172" t="s">
        <v>86</v>
      </c>
      <c r="M778" s="172" t="s">
        <v>17</v>
      </c>
    </row>
    <row r="779" spans="1:14" x14ac:dyDescent="0.2">
      <c r="A779" s="172" t="s">
        <v>83</v>
      </c>
      <c r="B779" s="172" t="s">
        <v>84</v>
      </c>
      <c r="C779" s="172" t="s">
        <v>21</v>
      </c>
      <c r="D779" s="172" t="s">
        <v>15</v>
      </c>
      <c r="E779" s="173">
        <v>43124</v>
      </c>
      <c r="F779" s="174">
        <v>10.543844999999999</v>
      </c>
      <c r="G779" s="175" t="s">
        <v>19</v>
      </c>
      <c r="H779" s="172" t="s">
        <v>17</v>
      </c>
      <c r="I779" s="175">
        <v>1</v>
      </c>
      <c r="J779" s="175" t="s">
        <v>18</v>
      </c>
      <c r="K779" s="175" t="s">
        <v>85</v>
      </c>
      <c r="L779" s="172" t="s">
        <v>86</v>
      </c>
      <c r="M779" s="172" t="s">
        <v>17</v>
      </c>
    </row>
    <row r="780" spans="1:14" x14ac:dyDescent="0.2">
      <c r="A780" s="172" t="s">
        <v>83</v>
      </c>
      <c r="B780" s="172" t="s">
        <v>84</v>
      </c>
      <c r="C780" s="172" t="s">
        <v>21</v>
      </c>
      <c r="D780" s="172" t="s">
        <v>15</v>
      </c>
      <c r="E780" s="173">
        <v>43124</v>
      </c>
      <c r="F780" s="174">
        <v>1.69</v>
      </c>
      <c r="G780" s="175" t="s">
        <v>16</v>
      </c>
      <c r="H780" s="172" t="s">
        <v>20</v>
      </c>
      <c r="I780" s="175">
        <v>1</v>
      </c>
      <c r="J780" s="175" t="s">
        <v>18</v>
      </c>
      <c r="K780" s="175" t="s">
        <v>85</v>
      </c>
      <c r="L780" s="172" t="s">
        <v>86</v>
      </c>
      <c r="M780" s="172" t="s">
        <v>76</v>
      </c>
    </row>
    <row r="781" spans="1:14" x14ac:dyDescent="0.2">
      <c r="A781" s="172" t="s">
        <v>83</v>
      </c>
      <c r="B781" s="172" t="s">
        <v>84</v>
      </c>
      <c r="C781" s="172" t="s">
        <v>21</v>
      </c>
      <c r="D781" s="172" t="s">
        <v>15</v>
      </c>
      <c r="E781" s="173">
        <v>43124</v>
      </c>
      <c r="F781" s="174">
        <v>5.4827994000000002</v>
      </c>
      <c r="G781" s="175" t="s">
        <v>19</v>
      </c>
      <c r="H781" s="172" t="s">
        <v>20</v>
      </c>
      <c r="I781" s="175">
        <v>1</v>
      </c>
      <c r="J781" s="175" t="s">
        <v>18</v>
      </c>
      <c r="K781" s="175" t="s">
        <v>85</v>
      </c>
      <c r="L781" s="172" t="s">
        <v>86</v>
      </c>
      <c r="M781" s="172" t="s">
        <v>76</v>
      </c>
    </row>
    <row r="782" spans="1:14" x14ac:dyDescent="0.2">
      <c r="A782" s="172" t="s">
        <v>83</v>
      </c>
      <c r="B782" s="172" t="s">
        <v>84</v>
      </c>
      <c r="C782" s="172" t="s">
        <v>21</v>
      </c>
      <c r="D782" s="172" t="s">
        <v>15</v>
      </c>
      <c r="E782" s="173">
        <v>43117</v>
      </c>
      <c r="F782" s="174">
        <v>5.52</v>
      </c>
      <c r="G782" s="175" t="s">
        <v>16</v>
      </c>
      <c r="H782" s="172" t="s">
        <v>17</v>
      </c>
      <c r="I782" s="175">
        <v>1</v>
      </c>
      <c r="J782" s="175" t="s">
        <v>18</v>
      </c>
      <c r="K782" s="175" t="s">
        <v>85</v>
      </c>
      <c r="L782" s="172" t="s">
        <v>86</v>
      </c>
      <c r="M782" s="172" t="s">
        <v>17</v>
      </c>
    </row>
    <row r="783" spans="1:14" x14ac:dyDescent="0.2">
      <c r="A783" s="172" t="s">
        <v>83</v>
      </c>
      <c r="B783" s="172" t="s">
        <v>84</v>
      </c>
      <c r="C783" s="172" t="s">
        <v>21</v>
      </c>
      <c r="D783" s="172" t="s">
        <v>15</v>
      </c>
      <c r="E783" s="173">
        <v>43117</v>
      </c>
      <c r="F783" s="174">
        <v>13.396708800000001</v>
      </c>
      <c r="G783" s="175" t="s">
        <v>19</v>
      </c>
      <c r="H783" s="172" t="s">
        <v>17</v>
      </c>
      <c r="I783" s="175">
        <v>1</v>
      </c>
      <c r="J783" s="175" t="s">
        <v>18</v>
      </c>
      <c r="K783" s="175" t="s">
        <v>85</v>
      </c>
      <c r="L783" s="172" t="s">
        <v>86</v>
      </c>
      <c r="M783" s="172" t="s">
        <v>17</v>
      </c>
    </row>
    <row r="784" spans="1:14" x14ac:dyDescent="0.2">
      <c r="A784" s="172" t="s">
        <v>83</v>
      </c>
      <c r="B784" s="172" t="s">
        <v>84</v>
      </c>
      <c r="C784" s="172" t="s">
        <v>21</v>
      </c>
      <c r="D784" s="172" t="s">
        <v>15</v>
      </c>
      <c r="E784" s="173">
        <v>43117</v>
      </c>
      <c r="F784" s="174">
        <v>3.43</v>
      </c>
      <c r="G784" s="175" t="s">
        <v>16</v>
      </c>
      <c r="H784" s="172" t="s">
        <v>20</v>
      </c>
      <c r="I784" s="175">
        <v>1</v>
      </c>
      <c r="J784" s="175" t="s">
        <v>18</v>
      </c>
      <c r="K784" s="175" t="s">
        <v>85</v>
      </c>
      <c r="L784" s="172" t="s">
        <v>86</v>
      </c>
      <c r="M784" s="172" t="s">
        <v>76</v>
      </c>
    </row>
    <row r="785" spans="1:13" x14ac:dyDescent="0.2">
      <c r="A785" s="172" t="s">
        <v>83</v>
      </c>
      <c r="B785" s="172" t="s">
        <v>84</v>
      </c>
      <c r="C785" s="172" t="s">
        <v>21</v>
      </c>
      <c r="D785" s="172" t="s">
        <v>15</v>
      </c>
      <c r="E785" s="173">
        <v>43117</v>
      </c>
      <c r="F785" s="174">
        <v>8.3244042</v>
      </c>
      <c r="G785" s="175" t="s">
        <v>19</v>
      </c>
      <c r="H785" s="172" t="s">
        <v>20</v>
      </c>
      <c r="I785" s="175">
        <v>1</v>
      </c>
      <c r="J785" s="175" t="s">
        <v>18</v>
      </c>
      <c r="K785" s="175" t="s">
        <v>85</v>
      </c>
      <c r="L785" s="172" t="s">
        <v>86</v>
      </c>
      <c r="M785" s="172" t="s">
        <v>76</v>
      </c>
    </row>
    <row r="786" spans="1:13" x14ac:dyDescent="0.2">
      <c r="A786" s="172" t="s">
        <v>83</v>
      </c>
      <c r="B786" s="172" t="s">
        <v>84</v>
      </c>
      <c r="C786" s="172" t="s">
        <v>21</v>
      </c>
      <c r="D786" s="172" t="s">
        <v>15</v>
      </c>
      <c r="E786" s="173">
        <v>43110</v>
      </c>
      <c r="F786" s="174">
        <v>5.1100000000000003</v>
      </c>
      <c r="G786" s="175" t="s">
        <v>16</v>
      </c>
      <c r="H786" s="172" t="s">
        <v>17</v>
      </c>
      <c r="I786" s="175">
        <v>1</v>
      </c>
      <c r="J786" s="175" t="s">
        <v>18</v>
      </c>
      <c r="K786" s="175" t="s">
        <v>85</v>
      </c>
      <c r="L786" s="172" t="s">
        <v>86</v>
      </c>
      <c r="M786" s="172" t="s">
        <v>17</v>
      </c>
    </row>
    <row r="787" spans="1:13" x14ac:dyDescent="0.2">
      <c r="A787" s="172" t="s">
        <v>83</v>
      </c>
      <c r="B787" s="172" t="s">
        <v>84</v>
      </c>
      <c r="C787" s="172" t="s">
        <v>21</v>
      </c>
      <c r="D787" s="172" t="s">
        <v>15</v>
      </c>
      <c r="E787" s="173">
        <v>43110</v>
      </c>
      <c r="F787" s="174">
        <v>12.6999852</v>
      </c>
      <c r="G787" s="175" t="s">
        <v>19</v>
      </c>
      <c r="H787" s="172" t="s">
        <v>17</v>
      </c>
      <c r="I787" s="175">
        <v>1</v>
      </c>
      <c r="J787" s="175" t="s">
        <v>18</v>
      </c>
      <c r="K787" s="175" t="s">
        <v>85</v>
      </c>
      <c r="L787" s="172" t="s">
        <v>86</v>
      </c>
      <c r="M787" s="172" t="s">
        <v>17</v>
      </c>
    </row>
    <row r="788" spans="1:13" x14ac:dyDescent="0.2">
      <c r="A788" s="172" t="s">
        <v>83</v>
      </c>
      <c r="B788" s="172" t="s">
        <v>84</v>
      </c>
      <c r="C788" s="172" t="s">
        <v>21</v>
      </c>
      <c r="D788" s="172" t="s">
        <v>15</v>
      </c>
      <c r="E788" s="173">
        <v>43110</v>
      </c>
      <c r="F788" s="174">
        <v>3.35</v>
      </c>
      <c r="G788" s="175" t="s">
        <v>16</v>
      </c>
      <c r="H788" s="172" t="s">
        <v>20</v>
      </c>
      <c r="I788" s="175">
        <v>1</v>
      </c>
      <c r="J788" s="175" t="s">
        <v>18</v>
      </c>
      <c r="K788" s="175" t="s">
        <v>85</v>
      </c>
      <c r="L788" s="172" t="s">
        <v>86</v>
      </c>
      <c r="M788" s="172" t="s">
        <v>76</v>
      </c>
    </row>
    <row r="789" spans="1:13" x14ac:dyDescent="0.2">
      <c r="A789" s="172" t="s">
        <v>83</v>
      </c>
      <c r="B789" s="172" t="s">
        <v>84</v>
      </c>
      <c r="C789" s="172" t="s">
        <v>21</v>
      </c>
      <c r="D789" s="172" t="s">
        <v>15</v>
      </c>
      <c r="E789" s="173">
        <v>43110</v>
      </c>
      <c r="F789" s="174">
        <v>8.3258220000000005</v>
      </c>
      <c r="G789" s="175" t="s">
        <v>19</v>
      </c>
      <c r="H789" s="172" t="s">
        <v>20</v>
      </c>
      <c r="I789" s="175">
        <v>1</v>
      </c>
      <c r="J789" s="175" t="s">
        <v>18</v>
      </c>
      <c r="K789" s="175" t="s">
        <v>85</v>
      </c>
      <c r="L789" s="172" t="s">
        <v>86</v>
      </c>
      <c r="M789" s="172" t="s">
        <v>76</v>
      </c>
    </row>
    <row r="790" spans="1:13" x14ac:dyDescent="0.2">
      <c r="A790" s="172" t="s">
        <v>83</v>
      </c>
      <c r="B790" s="172" t="s">
        <v>84</v>
      </c>
      <c r="C790" s="172" t="s">
        <v>21</v>
      </c>
      <c r="D790" s="172" t="s">
        <v>15</v>
      </c>
      <c r="E790" s="173">
        <v>43104</v>
      </c>
      <c r="F790" s="174">
        <v>5.48</v>
      </c>
      <c r="G790" s="175" t="s">
        <v>16</v>
      </c>
      <c r="H790" s="172" t="s">
        <v>17</v>
      </c>
      <c r="I790" s="175">
        <v>1</v>
      </c>
      <c r="J790" s="175" t="s">
        <v>18</v>
      </c>
      <c r="K790" s="175" t="s">
        <v>85</v>
      </c>
      <c r="L790" s="172" t="s">
        <v>86</v>
      </c>
      <c r="M790" s="172" t="s">
        <v>17</v>
      </c>
    </row>
    <row r="791" spans="1:13" x14ac:dyDescent="0.2">
      <c r="A791" s="172" t="s">
        <v>83</v>
      </c>
      <c r="B791" s="172" t="s">
        <v>84</v>
      </c>
      <c r="C791" s="172" t="s">
        <v>21</v>
      </c>
      <c r="D791" s="172" t="s">
        <v>15</v>
      </c>
      <c r="E791" s="173">
        <v>43104</v>
      </c>
      <c r="F791" s="174">
        <v>12.2027544</v>
      </c>
      <c r="G791" s="175" t="s">
        <v>19</v>
      </c>
      <c r="H791" s="172" t="s">
        <v>17</v>
      </c>
      <c r="I791" s="175">
        <v>1</v>
      </c>
      <c r="J791" s="175" t="s">
        <v>18</v>
      </c>
      <c r="K791" s="175" t="s">
        <v>85</v>
      </c>
      <c r="L791" s="172" t="s">
        <v>86</v>
      </c>
      <c r="M791" s="172" t="s">
        <v>17</v>
      </c>
    </row>
    <row r="792" spans="1:13" x14ac:dyDescent="0.2">
      <c r="A792" s="172" t="s">
        <v>83</v>
      </c>
      <c r="B792" s="172" t="s">
        <v>84</v>
      </c>
      <c r="C792" s="172" t="s">
        <v>21</v>
      </c>
      <c r="D792" s="172" t="s">
        <v>15</v>
      </c>
      <c r="E792" s="173">
        <v>43104</v>
      </c>
      <c r="F792" s="174">
        <v>3.51</v>
      </c>
      <c r="G792" s="175" t="s">
        <v>16</v>
      </c>
      <c r="H792" s="172" t="s">
        <v>20</v>
      </c>
      <c r="I792" s="175">
        <v>1</v>
      </c>
      <c r="J792" s="175" t="s">
        <v>18</v>
      </c>
      <c r="K792" s="175" t="s">
        <v>85</v>
      </c>
      <c r="L792" s="172" t="s">
        <v>86</v>
      </c>
      <c r="M792" s="172" t="s">
        <v>76</v>
      </c>
    </row>
    <row r="793" spans="1:13" x14ac:dyDescent="0.2">
      <c r="A793" s="172" t="s">
        <v>83</v>
      </c>
      <c r="B793" s="172" t="s">
        <v>84</v>
      </c>
      <c r="C793" s="172" t="s">
        <v>21</v>
      </c>
      <c r="D793" s="172" t="s">
        <v>15</v>
      </c>
      <c r="E793" s="173">
        <v>43104</v>
      </c>
      <c r="F793" s="174">
        <v>7.8159977999999999</v>
      </c>
      <c r="G793" s="175" t="s">
        <v>19</v>
      </c>
      <c r="H793" s="172" t="s">
        <v>20</v>
      </c>
      <c r="I793" s="175">
        <v>1</v>
      </c>
      <c r="J793" s="175" t="s">
        <v>18</v>
      </c>
      <c r="K793" s="175" t="s">
        <v>85</v>
      </c>
      <c r="L793" s="172" t="s">
        <v>86</v>
      </c>
      <c r="M793" s="172" t="s">
        <v>76</v>
      </c>
    </row>
    <row r="794" spans="1:13" x14ac:dyDescent="0.2">
      <c r="A794" s="172" t="s">
        <v>83</v>
      </c>
      <c r="B794" s="172" t="s">
        <v>84</v>
      </c>
      <c r="C794" s="172" t="s">
        <v>21</v>
      </c>
      <c r="D794" s="172" t="s">
        <v>15</v>
      </c>
      <c r="E794" s="173">
        <v>43097</v>
      </c>
      <c r="F794" s="174">
        <v>4.5199999999999996</v>
      </c>
      <c r="G794" s="175" t="s">
        <v>16</v>
      </c>
      <c r="H794" s="172" t="s">
        <v>17</v>
      </c>
      <c r="I794" s="175">
        <v>1</v>
      </c>
      <c r="J794" s="175" t="s">
        <v>18</v>
      </c>
      <c r="K794" s="175" t="s">
        <v>85</v>
      </c>
      <c r="L794" s="172" t="s">
        <v>86</v>
      </c>
      <c r="M794" s="172" t="s">
        <v>17</v>
      </c>
    </row>
    <row r="795" spans="1:13" x14ac:dyDescent="0.2">
      <c r="A795" s="172" t="s">
        <v>83</v>
      </c>
      <c r="B795" s="172" t="s">
        <v>84</v>
      </c>
      <c r="C795" s="172" t="s">
        <v>21</v>
      </c>
      <c r="D795" s="172" t="s">
        <v>15</v>
      </c>
      <c r="E795" s="173">
        <v>43097</v>
      </c>
      <c r="F795" s="174">
        <v>9.9519552000000004</v>
      </c>
      <c r="G795" s="175" t="s">
        <v>19</v>
      </c>
      <c r="H795" s="172" t="s">
        <v>17</v>
      </c>
      <c r="I795" s="175">
        <v>1</v>
      </c>
      <c r="J795" s="175" t="s">
        <v>18</v>
      </c>
      <c r="K795" s="175" t="s">
        <v>85</v>
      </c>
      <c r="L795" s="172" t="s">
        <v>86</v>
      </c>
      <c r="M795" s="172" t="s">
        <v>17</v>
      </c>
    </row>
    <row r="796" spans="1:13" x14ac:dyDescent="0.2">
      <c r="A796" s="172" t="s">
        <v>83</v>
      </c>
      <c r="B796" s="172" t="s">
        <v>84</v>
      </c>
      <c r="C796" s="172" t="s">
        <v>21</v>
      </c>
      <c r="D796" s="172" t="s">
        <v>15</v>
      </c>
      <c r="E796" s="173">
        <v>43097</v>
      </c>
      <c r="F796" s="174">
        <v>3.55</v>
      </c>
      <c r="G796" s="175" t="s">
        <v>16</v>
      </c>
      <c r="H796" s="172" t="s">
        <v>20</v>
      </c>
      <c r="I796" s="175">
        <v>1</v>
      </c>
      <c r="J796" s="175" t="s">
        <v>18</v>
      </c>
      <c r="K796" s="175" t="s">
        <v>85</v>
      </c>
      <c r="L796" s="172" t="s">
        <v>86</v>
      </c>
      <c r="M796" s="172" t="s">
        <v>76</v>
      </c>
    </row>
    <row r="797" spans="1:13" x14ac:dyDescent="0.2">
      <c r="A797" s="172" t="s">
        <v>83</v>
      </c>
      <c r="B797" s="172" t="s">
        <v>84</v>
      </c>
      <c r="C797" s="172" t="s">
        <v>21</v>
      </c>
      <c r="D797" s="172" t="s">
        <v>15</v>
      </c>
      <c r="E797" s="173">
        <v>43097</v>
      </c>
      <c r="F797" s="174">
        <v>7.8162479999999999</v>
      </c>
      <c r="G797" s="175" t="s">
        <v>19</v>
      </c>
      <c r="H797" s="172" t="s">
        <v>20</v>
      </c>
      <c r="I797" s="175">
        <v>1</v>
      </c>
      <c r="J797" s="175" t="s">
        <v>18</v>
      </c>
      <c r="K797" s="175" t="s">
        <v>85</v>
      </c>
      <c r="L797" s="172" t="s">
        <v>86</v>
      </c>
      <c r="M797" s="172" t="s">
        <v>76</v>
      </c>
    </row>
    <row r="798" spans="1:13" x14ac:dyDescent="0.2">
      <c r="A798" s="172" t="s">
        <v>83</v>
      </c>
      <c r="B798" s="172" t="s">
        <v>84</v>
      </c>
      <c r="C798" s="172" t="s">
        <v>21</v>
      </c>
      <c r="D798" s="172" t="s">
        <v>15</v>
      </c>
      <c r="E798" s="173">
        <v>43089</v>
      </c>
      <c r="F798" s="174">
        <v>5.1100000000000003</v>
      </c>
      <c r="G798" s="175" t="s">
        <v>16</v>
      </c>
      <c r="H798" s="172" t="s">
        <v>17</v>
      </c>
      <c r="I798" s="175">
        <v>1</v>
      </c>
      <c r="J798" s="175" t="s">
        <v>18</v>
      </c>
      <c r="K798" s="175" t="s">
        <v>85</v>
      </c>
      <c r="L798" s="172" t="s">
        <v>86</v>
      </c>
      <c r="M798" s="172" t="s">
        <v>17</v>
      </c>
    </row>
    <row r="799" spans="1:13" x14ac:dyDescent="0.2">
      <c r="A799" s="172" t="s">
        <v>83</v>
      </c>
      <c r="B799" s="172" t="s">
        <v>84</v>
      </c>
      <c r="C799" s="172" t="s">
        <v>21</v>
      </c>
      <c r="D799" s="172" t="s">
        <v>15</v>
      </c>
      <c r="E799" s="173">
        <v>43089</v>
      </c>
      <c r="F799" s="174">
        <v>12.998307</v>
      </c>
      <c r="G799" s="175" t="s">
        <v>19</v>
      </c>
      <c r="H799" s="172" t="s">
        <v>17</v>
      </c>
      <c r="I799" s="175">
        <v>1</v>
      </c>
      <c r="J799" s="175" t="s">
        <v>18</v>
      </c>
      <c r="K799" s="175" t="s">
        <v>85</v>
      </c>
      <c r="L799" s="172" t="s">
        <v>86</v>
      </c>
      <c r="M799" s="172" t="s">
        <v>17</v>
      </c>
    </row>
    <row r="800" spans="1:13" x14ac:dyDescent="0.2">
      <c r="A800" s="172" t="s">
        <v>83</v>
      </c>
      <c r="B800" s="172" t="s">
        <v>84</v>
      </c>
      <c r="C800" s="172" t="s">
        <v>21</v>
      </c>
      <c r="D800" s="172" t="s">
        <v>15</v>
      </c>
      <c r="E800" s="173">
        <v>43089</v>
      </c>
      <c r="F800" s="174">
        <v>3.53</v>
      </c>
      <c r="G800" s="175" t="s">
        <v>16</v>
      </c>
      <c r="H800" s="172" t="s">
        <v>20</v>
      </c>
      <c r="I800" s="175">
        <v>1</v>
      </c>
      <c r="J800" s="175" t="s">
        <v>18</v>
      </c>
      <c r="K800" s="175" t="s">
        <v>85</v>
      </c>
      <c r="L800" s="172" t="s">
        <v>86</v>
      </c>
      <c r="M800" s="172" t="s">
        <v>76</v>
      </c>
    </row>
    <row r="801" spans="1:13" x14ac:dyDescent="0.2">
      <c r="A801" s="172" t="s">
        <v>83</v>
      </c>
      <c r="B801" s="172" t="s">
        <v>84</v>
      </c>
      <c r="C801" s="172" t="s">
        <v>21</v>
      </c>
      <c r="D801" s="172" t="s">
        <v>15</v>
      </c>
      <c r="E801" s="173">
        <v>43089</v>
      </c>
      <c r="F801" s="174">
        <v>8.9792609999999993</v>
      </c>
      <c r="G801" s="175" t="s">
        <v>19</v>
      </c>
      <c r="H801" s="172" t="s">
        <v>20</v>
      </c>
      <c r="I801" s="175">
        <v>1</v>
      </c>
      <c r="J801" s="175" t="s">
        <v>18</v>
      </c>
      <c r="K801" s="175" t="s">
        <v>85</v>
      </c>
      <c r="L801" s="172" t="s">
        <v>86</v>
      </c>
      <c r="M801" s="172" t="s">
        <v>76</v>
      </c>
    </row>
    <row r="802" spans="1:13" x14ac:dyDescent="0.2">
      <c r="A802" s="172" t="s">
        <v>83</v>
      </c>
      <c r="B802" s="172" t="s">
        <v>84</v>
      </c>
      <c r="C802" s="172" t="s">
        <v>21</v>
      </c>
      <c r="D802" s="172" t="s">
        <v>15</v>
      </c>
      <c r="E802" s="173">
        <v>43082</v>
      </c>
      <c r="F802" s="174">
        <v>4.32</v>
      </c>
      <c r="G802" s="175" t="s">
        <v>16</v>
      </c>
      <c r="H802" s="172" t="s">
        <v>17</v>
      </c>
      <c r="I802" s="175">
        <v>1</v>
      </c>
      <c r="J802" s="175" t="s">
        <v>18</v>
      </c>
      <c r="K802" s="175" t="s">
        <v>85</v>
      </c>
      <c r="L802" s="172" t="s">
        <v>86</v>
      </c>
      <c r="M802" s="172" t="s">
        <v>17</v>
      </c>
    </row>
    <row r="803" spans="1:13" x14ac:dyDescent="0.2">
      <c r="A803" s="172" t="s">
        <v>83</v>
      </c>
      <c r="B803" s="172" t="s">
        <v>84</v>
      </c>
      <c r="C803" s="172" t="s">
        <v>21</v>
      </c>
      <c r="D803" s="172" t="s">
        <v>15</v>
      </c>
      <c r="E803" s="173">
        <v>43082</v>
      </c>
      <c r="F803" s="174">
        <v>10.9167264</v>
      </c>
      <c r="G803" s="175" t="s">
        <v>19</v>
      </c>
      <c r="H803" s="172" t="s">
        <v>17</v>
      </c>
      <c r="I803" s="175">
        <v>1</v>
      </c>
      <c r="J803" s="175" t="s">
        <v>18</v>
      </c>
      <c r="K803" s="175" t="s">
        <v>85</v>
      </c>
      <c r="L803" s="172" t="s">
        <v>86</v>
      </c>
      <c r="M803" s="172" t="s">
        <v>17</v>
      </c>
    </row>
    <row r="804" spans="1:13" x14ac:dyDescent="0.2">
      <c r="A804" s="172" t="s">
        <v>83</v>
      </c>
      <c r="B804" s="172" t="s">
        <v>84</v>
      </c>
      <c r="C804" s="172" t="s">
        <v>21</v>
      </c>
      <c r="D804" s="172" t="s">
        <v>15</v>
      </c>
      <c r="E804" s="173">
        <v>43082</v>
      </c>
      <c r="F804" s="174">
        <v>3.54</v>
      </c>
      <c r="G804" s="175" t="s">
        <v>16</v>
      </c>
      <c r="H804" s="172" t="s">
        <v>20</v>
      </c>
      <c r="I804" s="175">
        <v>1</v>
      </c>
      <c r="J804" s="175" t="s">
        <v>18</v>
      </c>
      <c r="K804" s="175" t="s">
        <v>85</v>
      </c>
      <c r="L804" s="172" t="s">
        <v>86</v>
      </c>
      <c r="M804" s="172" t="s">
        <v>76</v>
      </c>
    </row>
    <row r="805" spans="1:13" x14ac:dyDescent="0.2">
      <c r="A805" s="172" t="s">
        <v>83</v>
      </c>
      <c r="B805" s="172" t="s">
        <v>84</v>
      </c>
      <c r="C805" s="172" t="s">
        <v>21</v>
      </c>
      <c r="D805" s="172" t="s">
        <v>15</v>
      </c>
      <c r="E805" s="173">
        <v>43082</v>
      </c>
      <c r="F805" s="174">
        <v>8.9456507999999992</v>
      </c>
      <c r="G805" s="175" t="s">
        <v>19</v>
      </c>
      <c r="H805" s="172" t="s">
        <v>20</v>
      </c>
      <c r="I805" s="175">
        <v>1</v>
      </c>
      <c r="J805" s="175" t="s">
        <v>18</v>
      </c>
      <c r="K805" s="175" t="s">
        <v>85</v>
      </c>
      <c r="L805" s="172" t="s">
        <v>86</v>
      </c>
      <c r="M805" s="172" t="s">
        <v>76</v>
      </c>
    </row>
    <row r="806" spans="1:13" x14ac:dyDescent="0.2">
      <c r="A806" s="172" t="s">
        <v>83</v>
      </c>
      <c r="B806" s="172" t="s">
        <v>84</v>
      </c>
      <c r="C806" s="172" t="s">
        <v>21</v>
      </c>
      <c r="D806" s="172" t="s">
        <v>15</v>
      </c>
      <c r="E806" s="173">
        <v>43075</v>
      </c>
      <c r="F806" s="174">
        <v>4.93</v>
      </c>
      <c r="G806" s="175" t="s">
        <v>16</v>
      </c>
      <c r="H806" s="172" t="s">
        <v>17</v>
      </c>
      <c r="I806" s="175">
        <v>1</v>
      </c>
      <c r="J806" s="175" t="s">
        <v>18</v>
      </c>
      <c r="K806" s="175" t="s">
        <v>85</v>
      </c>
      <c r="L806" s="172" t="s">
        <v>86</v>
      </c>
      <c r="M806" s="172" t="s">
        <v>17</v>
      </c>
    </row>
    <row r="807" spans="1:13" x14ac:dyDescent="0.2">
      <c r="A807" s="172" t="s">
        <v>83</v>
      </c>
      <c r="B807" s="172" t="s">
        <v>84</v>
      </c>
      <c r="C807" s="172" t="s">
        <v>21</v>
      </c>
      <c r="D807" s="172" t="s">
        <v>15</v>
      </c>
      <c r="E807" s="173">
        <v>43075</v>
      </c>
      <c r="F807" s="174">
        <v>12.581557200000001</v>
      </c>
      <c r="G807" s="175" t="s">
        <v>19</v>
      </c>
      <c r="H807" s="172" t="s">
        <v>17</v>
      </c>
      <c r="I807" s="175">
        <v>1</v>
      </c>
      <c r="J807" s="175" t="s">
        <v>18</v>
      </c>
      <c r="K807" s="175" t="s">
        <v>85</v>
      </c>
      <c r="L807" s="172" t="s">
        <v>86</v>
      </c>
      <c r="M807" s="172" t="s">
        <v>17</v>
      </c>
    </row>
    <row r="808" spans="1:13" x14ac:dyDescent="0.2">
      <c r="A808" s="172" t="s">
        <v>83</v>
      </c>
      <c r="B808" s="172" t="s">
        <v>84</v>
      </c>
      <c r="C808" s="172" t="s">
        <v>21</v>
      </c>
      <c r="D808" s="172" t="s">
        <v>15</v>
      </c>
      <c r="E808" s="173">
        <v>43075</v>
      </c>
      <c r="F808" s="174">
        <v>3.47</v>
      </c>
      <c r="G808" s="175" t="s">
        <v>16</v>
      </c>
      <c r="H808" s="172" t="s">
        <v>20</v>
      </c>
      <c r="I808" s="175">
        <v>1</v>
      </c>
      <c r="J808" s="175" t="s">
        <v>18</v>
      </c>
      <c r="K808" s="175" t="s">
        <v>85</v>
      </c>
      <c r="L808" s="172" t="s">
        <v>86</v>
      </c>
      <c r="M808" s="172" t="s">
        <v>76</v>
      </c>
    </row>
    <row r="809" spans="1:13" x14ac:dyDescent="0.2">
      <c r="A809" s="172" t="s">
        <v>83</v>
      </c>
      <c r="B809" s="172" t="s">
        <v>84</v>
      </c>
      <c r="C809" s="172" t="s">
        <v>21</v>
      </c>
      <c r="D809" s="172" t="s">
        <v>15</v>
      </c>
      <c r="E809" s="173">
        <v>43075</v>
      </c>
      <c r="F809" s="174">
        <v>8.8555788</v>
      </c>
      <c r="G809" s="175" t="s">
        <v>19</v>
      </c>
      <c r="H809" s="172" t="s">
        <v>20</v>
      </c>
      <c r="I809" s="175">
        <v>1</v>
      </c>
      <c r="J809" s="175" t="s">
        <v>18</v>
      </c>
      <c r="K809" s="175" t="s">
        <v>85</v>
      </c>
      <c r="L809" s="172" t="s">
        <v>86</v>
      </c>
      <c r="M809" s="172" t="s">
        <v>76</v>
      </c>
    </row>
    <row r="810" spans="1:13" x14ac:dyDescent="0.2">
      <c r="A810" s="172" t="s">
        <v>83</v>
      </c>
      <c r="B810" s="172" t="s">
        <v>84</v>
      </c>
      <c r="C810" s="172" t="s">
        <v>21</v>
      </c>
      <c r="D810" s="172" t="s">
        <v>15</v>
      </c>
      <c r="E810" s="173">
        <v>43068</v>
      </c>
      <c r="F810" s="174">
        <v>4.63</v>
      </c>
      <c r="G810" s="175" t="s">
        <v>16</v>
      </c>
      <c r="H810" s="172" t="s">
        <v>17</v>
      </c>
      <c r="I810" s="175">
        <v>1</v>
      </c>
      <c r="J810" s="175" t="s">
        <v>18</v>
      </c>
      <c r="K810" s="175" t="s">
        <v>85</v>
      </c>
      <c r="L810" s="172" t="s">
        <v>86</v>
      </c>
      <c r="M810" s="172" t="s">
        <v>17</v>
      </c>
    </row>
    <row r="811" spans="1:13" x14ac:dyDescent="0.2">
      <c r="A811" s="172" t="s">
        <v>83</v>
      </c>
      <c r="B811" s="172" t="s">
        <v>84</v>
      </c>
      <c r="C811" s="172" t="s">
        <v>21</v>
      </c>
      <c r="D811" s="172" t="s">
        <v>15</v>
      </c>
      <c r="E811" s="173">
        <v>43068</v>
      </c>
      <c r="F811" s="174">
        <v>10.3872198</v>
      </c>
      <c r="G811" s="175" t="s">
        <v>19</v>
      </c>
      <c r="H811" s="172" t="s">
        <v>17</v>
      </c>
      <c r="I811" s="175">
        <v>1</v>
      </c>
      <c r="J811" s="175" t="s">
        <v>18</v>
      </c>
      <c r="K811" s="175" t="s">
        <v>85</v>
      </c>
      <c r="L811" s="172" t="s">
        <v>86</v>
      </c>
      <c r="M811" s="172" t="s">
        <v>17</v>
      </c>
    </row>
    <row r="812" spans="1:13" x14ac:dyDescent="0.2">
      <c r="A812" s="172" t="s">
        <v>83</v>
      </c>
      <c r="B812" s="172" t="s">
        <v>84</v>
      </c>
      <c r="C812" s="172" t="s">
        <v>21</v>
      </c>
      <c r="D812" s="172" t="s">
        <v>15</v>
      </c>
      <c r="E812" s="173">
        <v>43068</v>
      </c>
      <c r="F812" s="174">
        <v>3.11</v>
      </c>
      <c r="G812" s="175" t="s">
        <v>16</v>
      </c>
      <c r="H812" s="172" t="s">
        <v>20</v>
      </c>
      <c r="I812" s="175">
        <v>1</v>
      </c>
      <c r="J812" s="175" t="s">
        <v>18</v>
      </c>
      <c r="K812" s="175" t="s">
        <v>85</v>
      </c>
      <c r="L812" s="172" t="s">
        <v>86</v>
      </c>
      <c r="M812" s="172" t="s">
        <v>76</v>
      </c>
    </row>
    <row r="813" spans="1:13" x14ac:dyDescent="0.2">
      <c r="A813" s="172" t="s">
        <v>83</v>
      </c>
      <c r="B813" s="172" t="s">
        <v>84</v>
      </c>
      <c r="C813" s="172" t="s">
        <v>21</v>
      </c>
      <c r="D813" s="172" t="s">
        <v>15</v>
      </c>
      <c r="E813" s="173">
        <v>43068</v>
      </c>
      <c r="F813" s="174">
        <v>6.9771606000000004</v>
      </c>
      <c r="G813" s="175" t="s">
        <v>19</v>
      </c>
      <c r="H813" s="172" t="s">
        <v>20</v>
      </c>
      <c r="I813" s="175">
        <v>1</v>
      </c>
      <c r="J813" s="175" t="s">
        <v>18</v>
      </c>
      <c r="K813" s="175" t="s">
        <v>85</v>
      </c>
      <c r="L813" s="172" t="s">
        <v>86</v>
      </c>
      <c r="M813" s="172" t="s">
        <v>76</v>
      </c>
    </row>
    <row r="814" spans="1:13" x14ac:dyDescent="0.2">
      <c r="A814" s="172" t="s">
        <v>83</v>
      </c>
      <c r="B814" s="172" t="s">
        <v>84</v>
      </c>
      <c r="C814" s="172" t="s">
        <v>21</v>
      </c>
      <c r="D814" s="172" t="s">
        <v>15</v>
      </c>
      <c r="E814" s="173">
        <v>43061</v>
      </c>
      <c r="F814" s="174">
        <v>4.99</v>
      </c>
      <c r="G814" s="175" t="s">
        <v>16</v>
      </c>
      <c r="H814" s="172" t="s">
        <v>17</v>
      </c>
      <c r="I814" s="175">
        <v>1</v>
      </c>
      <c r="J814" s="175" t="s">
        <v>18</v>
      </c>
      <c r="K814" s="175" t="s">
        <v>85</v>
      </c>
      <c r="L814" s="172" t="s">
        <v>86</v>
      </c>
      <c r="M814" s="172" t="s">
        <v>17</v>
      </c>
    </row>
    <row r="815" spans="1:13" x14ac:dyDescent="0.2">
      <c r="A815" s="172" t="s">
        <v>83</v>
      </c>
      <c r="B815" s="172" t="s">
        <v>84</v>
      </c>
      <c r="C815" s="172" t="s">
        <v>21</v>
      </c>
      <c r="D815" s="172" t="s">
        <v>15</v>
      </c>
      <c r="E815" s="173">
        <v>43061</v>
      </c>
      <c r="F815" s="174">
        <v>11.777497800000001</v>
      </c>
      <c r="G815" s="175" t="s">
        <v>19</v>
      </c>
      <c r="H815" s="172" t="s">
        <v>17</v>
      </c>
      <c r="I815" s="175">
        <v>1</v>
      </c>
      <c r="J815" s="175" t="s">
        <v>18</v>
      </c>
      <c r="K815" s="175" t="s">
        <v>85</v>
      </c>
      <c r="L815" s="172" t="s">
        <v>86</v>
      </c>
      <c r="M815" s="172" t="s">
        <v>17</v>
      </c>
    </row>
    <row r="816" spans="1:13" x14ac:dyDescent="0.2">
      <c r="A816" s="172" t="s">
        <v>83</v>
      </c>
      <c r="B816" s="172" t="s">
        <v>84</v>
      </c>
      <c r="C816" s="172" t="s">
        <v>21</v>
      </c>
      <c r="D816" s="172" t="s">
        <v>15</v>
      </c>
      <c r="E816" s="173">
        <v>43061</v>
      </c>
      <c r="F816" s="174">
        <v>3.16</v>
      </c>
      <c r="G816" s="175" t="s">
        <v>16</v>
      </c>
      <c r="H816" s="172" t="s">
        <v>20</v>
      </c>
      <c r="I816" s="175">
        <v>1</v>
      </c>
      <c r="J816" s="175" t="s">
        <v>18</v>
      </c>
      <c r="K816" s="175" t="s">
        <v>85</v>
      </c>
      <c r="L816" s="172" t="s">
        <v>86</v>
      </c>
      <c r="M816" s="172" t="s">
        <v>76</v>
      </c>
    </row>
    <row r="817" spans="1:13" x14ac:dyDescent="0.2">
      <c r="A817" s="172" t="s">
        <v>83</v>
      </c>
      <c r="B817" s="172" t="s">
        <v>84</v>
      </c>
      <c r="C817" s="172" t="s">
        <v>21</v>
      </c>
      <c r="D817" s="172" t="s">
        <v>15</v>
      </c>
      <c r="E817" s="173">
        <v>43061</v>
      </c>
      <c r="F817" s="174">
        <v>7.4582952000000002</v>
      </c>
      <c r="G817" s="175" t="s">
        <v>19</v>
      </c>
      <c r="H817" s="172" t="s">
        <v>20</v>
      </c>
      <c r="I817" s="175">
        <v>1</v>
      </c>
      <c r="J817" s="175" t="s">
        <v>18</v>
      </c>
      <c r="K817" s="175" t="s">
        <v>85</v>
      </c>
      <c r="L817" s="172" t="s">
        <v>86</v>
      </c>
      <c r="M817" s="172" t="s">
        <v>76</v>
      </c>
    </row>
    <row r="818" spans="1:13" x14ac:dyDescent="0.2">
      <c r="A818" s="172" t="s">
        <v>83</v>
      </c>
      <c r="B818" s="172" t="s">
        <v>84</v>
      </c>
      <c r="C818" s="172" t="s">
        <v>21</v>
      </c>
      <c r="D818" s="172" t="s">
        <v>15</v>
      </c>
      <c r="E818" s="173">
        <v>43054</v>
      </c>
      <c r="F818" s="174">
        <v>4.8</v>
      </c>
      <c r="G818" s="175" t="s">
        <v>16</v>
      </c>
      <c r="H818" s="172" t="s">
        <v>17</v>
      </c>
      <c r="I818" s="175">
        <v>1</v>
      </c>
      <c r="J818" s="175" t="s">
        <v>18</v>
      </c>
      <c r="K818" s="175" t="s">
        <v>85</v>
      </c>
      <c r="L818" s="172" t="s">
        <v>86</v>
      </c>
      <c r="M818" s="172" t="s">
        <v>17</v>
      </c>
    </row>
    <row r="819" spans="1:13" x14ac:dyDescent="0.2">
      <c r="A819" s="172" t="s">
        <v>83</v>
      </c>
      <c r="B819" s="172" t="s">
        <v>84</v>
      </c>
      <c r="C819" s="172" t="s">
        <v>21</v>
      </c>
      <c r="D819" s="172" t="s">
        <v>15</v>
      </c>
      <c r="E819" s="173">
        <v>43054</v>
      </c>
      <c r="F819" s="174">
        <v>14.011200000000001</v>
      </c>
      <c r="G819" s="175" t="s">
        <v>19</v>
      </c>
      <c r="H819" s="172" t="s">
        <v>17</v>
      </c>
      <c r="I819" s="175">
        <v>1</v>
      </c>
      <c r="J819" s="175" t="s">
        <v>18</v>
      </c>
      <c r="K819" s="175" t="s">
        <v>85</v>
      </c>
      <c r="L819" s="172" t="s">
        <v>86</v>
      </c>
      <c r="M819" s="172" t="s">
        <v>17</v>
      </c>
    </row>
    <row r="820" spans="1:13" x14ac:dyDescent="0.2">
      <c r="A820" s="172" t="s">
        <v>83</v>
      </c>
      <c r="B820" s="172" t="s">
        <v>84</v>
      </c>
      <c r="C820" s="172" t="s">
        <v>21</v>
      </c>
      <c r="D820" s="172" t="s">
        <v>15</v>
      </c>
      <c r="E820" s="173">
        <v>43054</v>
      </c>
      <c r="F820" s="174">
        <v>3.21</v>
      </c>
      <c r="G820" s="175" t="s">
        <v>16</v>
      </c>
      <c r="H820" s="172" t="s">
        <v>20</v>
      </c>
      <c r="I820" s="175">
        <v>1</v>
      </c>
      <c r="J820" s="175" t="s">
        <v>18</v>
      </c>
      <c r="K820" s="175" t="s">
        <v>85</v>
      </c>
      <c r="L820" s="172" t="s">
        <v>86</v>
      </c>
      <c r="M820" s="172" t="s">
        <v>76</v>
      </c>
    </row>
    <row r="821" spans="1:13" x14ac:dyDescent="0.2">
      <c r="A821" s="172" t="s">
        <v>83</v>
      </c>
      <c r="B821" s="172" t="s">
        <v>84</v>
      </c>
      <c r="C821" s="172" t="s">
        <v>21</v>
      </c>
      <c r="D821" s="172" t="s">
        <v>15</v>
      </c>
      <c r="E821" s="173">
        <v>43054</v>
      </c>
      <c r="F821" s="174">
        <v>9.3699899999999996</v>
      </c>
      <c r="G821" s="175" t="s">
        <v>19</v>
      </c>
      <c r="H821" s="172" t="s">
        <v>20</v>
      </c>
      <c r="I821" s="175">
        <v>1</v>
      </c>
      <c r="J821" s="175" t="s">
        <v>18</v>
      </c>
      <c r="K821" s="175" t="s">
        <v>85</v>
      </c>
      <c r="L821" s="172" t="s">
        <v>86</v>
      </c>
      <c r="M821" s="172" t="s">
        <v>76</v>
      </c>
    </row>
    <row r="822" spans="1:13" x14ac:dyDescent="0.2">
      <c r="A822" s="172" t="s">
        <v>83</v>
      </c>
      <c r="B822" s="172" t="s">
        <v>84</v>
      </c>
      <c r="C822" s="172" t="s">
        <v>21</v>
      </c>
      <c r="D822" s="172" t="s">
        <v>15</v>
      </c>
      <c r="E822" s="173">
        <v>43047</v>
      </c>
      <c r="F822" s="174">
        <v>4.5999999999999996</v>
      </c>
      <c r="G822" s="175" t="s">
        <v>16</v>
      </c>
      <c r="H822" s="172" t="s">
        <v>17</v>
      </c>
      <c r="I822" s="175">
        <v>1</v>
      </c>
      <c r="J822" s="175" t="s">
        <v>18</v>
      </c>
      <c r="K822" s="175" t="s">
        <v>85</v>
      </c>
      <c r="L822" s="172" t="s">
        <v>86</v>
      </c>
      <c r="M822" s="172" t="s">
        <v>17</v>
      </c>
    </row>
    <row r="823" spans="1:13" x14ac:dyDescent="0.2">
      <c r="A823" s="172" t="s">
        <v>83</v>
      </c>
      <c r="B823" s="172" t="s">
        <v>84</v>
      </c>
      <c r="C823" s="172" t="s">
        <v>21</v>
      </c>
      <c r="D823" s="172" t="s">
        <v>15</v>
      </c>
      <c r="E823" s="173">
        <v>43047</v>
      </c>
      <c r="F823" s="174">
        <v>12.928668</v>
      </c>
      <c r="G823" s="175" t="s">
        <v>19</v>
      </c>
      <c r="H823" s="172" t="s">
        <v>17</v>
      </c>
      <c r="I823" s="175">
        <v>1</v>
      </c>
      <c r="J823" s="175" t="s">
        <v>18</v>
      </c>
      <c r="K823" s="175" t="s">
        <v>85</v>
      </c>
      <c r="L823" s="172" t="s">
        <v>86</v>
      </c>
      <c r="M823" s="172" t="s">
        <v>17</v>
      </c>
    </row>
    <row r="824" spans="1:13" x14ac:dyDescent="0.2">
      <c r="A824" s="172" t="s">
        <v>83</v>
      </c>
      <c r="B824" s="172" t="s">
        <v>84</v>
      </c>
      <c r="C824" s="172" t="s">
        <v>21</v>
      </c>
      <c r="D824" s="172" t="s">
        <v>15</v>
      </c>
      <c r="E824" s="173">
        <v>43047</v>
      </c>
      <c r="F824" s="174">
        <v>3.19</v>
      </c>
      <c r="G824" s="175" t="s">
        <v>16</v>
      </c>
      <c r="H824" s="172" t="s">
        <v>20</v>
      </c>
      <c r="I824" s="175">
        <v>1</v>
      </c>
      <c r="J824" s="175" t="s">
        <v>18</v>
      </c>
      <c r="K824" s="175" t="s">
        <v>85</v>
      </c>
      <c r="L824" s="172" t="s">
        <v>86</v>
      </c>
      <c r="M824" s="172" t="s">
        <v>76</v>
      </c>
    </row>
    <row r="825" spans="1:13" x14ac:dyDescent="0.2">
      <c r="A825" s="172" t="s">
        <v>83</v>
      </c>
      <c r="B825" s="172" t="s">
        <v>84</v>
      </c>
      <c r="C825" s="172" t="s">
        <v>21</v>
      </c>
      <c r="D825" s="172" t="s">
        <v>15</v>
      </c>
      <c r="E825" s="173">
        <v>43047</v>
      </c>
      <c r="F825" s="174">
        <v>8.9657502000000004</v>
      </c>
      <c r="G825" s="175" t="s">
        <v>19</v>
      </c>
      <c r="H825" s="172" t="s">
        <v>20</v>
      </c>
      <c r="I825" s="175">
        <v>1</v>
      </c>
      <c r="J825" s="175" t="s">
        <v>18</v>
      </c>
      <c r="K825" s="175" t="s">
        <v>85</v>
      </c>
      <c r="L825" s="172" t="s">
        <v>86</v>
      </c>
      <c r="M825" s="172" t="s">
        <v>76</v>
      </c>
    </row>
    <row r="826" spans="1:13" x14ac:dyDescent="0.2">
      <c r="A826" s="172" t="s">
        <v>83</v>
      </c>
      <c r="B826" s="172" t="s">
        <v>84</v>
      </c>
      <c r="C826" s="172" t="s">
        <v>21</v>
      </c>
      <c r="D826" s="172" t="s">
        <v>15</v>
      </c>
      <c r="E826" s="173">
        <v>43042</v>
      </c>
      <c r="F826" s="174">
        <v>4.82</v>
      </c>
      <c r="G826" s="175" t="s">
        <v>16</v>
      </c>
      <c r="H826" s="172" t="s">
        <v>17</v>
      </c>
      <c r="I826" s="175">
        <v>1</v>
      </c>
      <c r="J826" s="175" t="s">
        <v>18</v>
      </c>
      <c r="K826" s="175" t="s">
        <v>85</v>
      </c>
      <c r="L826" s="172" t="s">
        <v>86</v>
      </c>
      <c r="M826" s="172" t="s">
        <v>17</v>
      </c>
    </row>
    <row r="827" spans="1:13" x14ac:dyDescent="0.2">
      <c r="A827" s="172" t="s">
        <v>83</v>
      </c>
      <c r="B827" s="172" t="s">
        <v>84</v>
      </c>
      <c r="C827" s="172" t="s">
        <v>21</v>
      </c>
      <c r="D827" s="172" t="s">
        <v>15</v>
      </c>
      <c r="E827" s="173">
        <v>43042</v>
      </c>
      <c r="F827" s="174">
        <v>12.984212400000001</v>
      </c>
      <c r="G827" s="175" t="s">
        <v>19</v>
      </c>
      <c r="H827" s="172" t="s">
        <v>17</v>
      </c>
      <c r="I827" s="175">
        <v>1</v>
      </c>
      <c r="J827" s="175" t="s">
        <v>18</v>
      </c>
      <c r="K827" s="175" t="s">
        <v>85</v>
      </c>
      <c r="L827" s="172" t="s">
        <v>86</v>
      </c>
      <c r="M827" s="172" t="s">
        <v>17</v>
      </c>
    </row>
    <row r="828" spans="1:13" x14ac:dyDescent="0.2">
      <c r="A828" s="172" t="s">
        <v>83</v>
      </c>
      <c r="B828" s="172" t="s">
        <v>84</v>
      </c>
      <c r="C828" s="172" t="s">
        <v>21</v>
      </c>
      <c r="D828" s="172" t="s">
        <v>15</v>
      </c>
      <c r="E828" s="173">
        <v>43042</v>
      </c>
      <c r="F828" s="174">
        <v>2.98</v>
      </c>
      <c r="G828" s="175" t="s">
        <v>16</v>
      </c>
      <c r="H828" s="172" t="s">
        <v>20</v>
      </c>
      <c r="I828" s="175">
        <v>1</v>
      </c>
      <c r="J828" s="175" t="s">
        <v>18</v>
      </c>
      <c r="K828" s="175" t="s">
        <v>85</v>
      </c>
      <c r="L828" s="172" t="s">
        <v>86</v>
      </c>
      <c r="M828" s="172" t="s">
        <v>76</v>
      </c>
    </row>
    <row r="829" spans="1:13" x14ac:dyDescent="0.2">
      <c r="A829" s="172" t="s">
        <v>83</v>
      </c>
      <c r="B829" s="172" t="s">
        <v>84</v>
      </c>
      <c r="C829" s="172" t="s">
        <v>21</v>
      </c>
      <c r="D829" s="172" t="s">
        <v>15</v>
      </c>
      <c r="E829" s="173">
        <v>43042</v>
      </c>
      <c r="F829" s="174">
        <v>8.0275835999999998</v>
      </c>
      <c r="G829" s="175" t="s">
        <v>19</v>
      </c>
      <c r="H829" s="172" t="s">
        <v>20</v>
      </c>
      <c r="I829" s="175">
        <v>1</v>
      </c>
      <c r="J829" s="175" t="s">
        <v>18</v>
      </c>
      <c r="K829" s="175" t="s">
        <v>85</v>
      </c>
      <c r="L829" s="172" t="s">
        <v>86</v>
      </c>
      <c r="M829" s="172" t="s">
        <v>76</v>
      </c>
    </row>
    <row r="830" spans="1:13" x14ac:dyDescent="0.2">
      <c r="A830" s="172" t="s">
        <v>83</v>
      </c>
      <c r="B830" s="172" t="s">
        <v>84</v>
      </c>
      <c r="C830" s="172" t="s">
        <v>21</v>
      </c>
      <c r="D830" s="172" t="s">
        <v>15</v>
      </c>
      <c r="E830" s="173">
        <v>43031</v>
      </c>
      <c r="F830" s="174">
        <v>4.54</v>
      </c>
      <c r="G830" s="175" t="s">
        <v>16</v>
      </c>
      <c r="H830" s="172" t="s">
        <v>17</v>
      </c>
      <c r="I830" s="175">
        <v>1</v>
      </c>
      <c r="J830" s="175" t="s">
        <v>18</v>
      </c>
      <c r="K830" s="175" t="s">
        <v>85</v>
      </c>
      <c r="L830" s="172" t="s">
        <v>86</v>
      </c>
      <c r="M830" s="172" t="s">
        <v>17</v>
      </c>
    </row>
    <row r="831" spans="1:13" x14ac:dyDescent="0.2">
      <c r="A831" s="172" t="s">
        <v>83</v>
      </c>
      <c r="B831" s="172" t="s">
        <v>84</v>
      </c>
      <c r="C831" s="172" t="s">
        <v>21</v>
      </c>
      <c r="D831" s="172" t="s">
        <v>15</v>
      </c>
      <c r="E831" s="173">
        <v>43031</v>
      </c>
      <c r="F831" s="174">
        <v>14.956122000000001</v>
      </c>
      <c r="G831" s="175" t="s">
        <v>19</v>
      </c>
      <c r="H831" s="172" t="s">
        <v>17</v>
      </c>
      <c r="I831" s="175">
        <v>1</v>
      </c>
      <c r="J831" s="175" t="s">
        <v>18</v>
      </c>
      <c r="K831" s="175" t="s">
        <v>85</v>
      </c>
      <c r="L831" s="172" t="s">
        <v>86</v>
      </c>
      <c r="M831" s="172" t="s">
        <v>17</v>
      </c>
    </row>
    <row r="832" spans="1:13" x14ac:dyDescent="0.2">
      <c r="A832" s="172" t="s">
        <v>83</v>
      </c>
      <c r="B832" s="172" t="s">
        <v>84</v>
      </c>
      <c r="C832" s="172" t="s">
        <v>21</v>
      </c>
      <c r="D832" s="172" t="s">
        <v>15</v>
      </c>
      <c r="E832" s="173">
        <v>43031</v>
      </c>
      <c r="F832" s="174">
        <v>2.5099999999999998</v>
      </c>
      <c r="G832" s="175" t="s">
        <v>16</v>
      </c>
      <c r="H832" s="172" t="s">
        <v>20</v>
      </c>
      <c r="I832" s="175">
        <v>1</v>
      </c>
      <c r="J832" s="175" t="s">
        <v>18</v>
      </c>
      <c r="K832" s="175" t="s">
        <v>85</v>
      </c>
      <c r="L832" s="172" t="s">
        <v>86</v>
      </c>
      <c r="M832" s="172" t="s">
        <v>76</v>
      </c>
    </row>
    <row r="833" spans="1:13" x14ac:dyDescent="0.2">
      <c r="A833" s="172" t="s">
        <v>83</v>
      </c>
      <c r="B833" s="172" t="s">
        <v>84</v>
      </c>
      <c r="C833" s="172" t="s">
        <v>21</v>
      </c>
      <c r="D833" s="172" t="s">
        <v>15</v>
      </c>
      <c r="E833" s="173">
        <v>43031</v>
      </c>
      <c r="F833" s="174">
        <v>8.2686930000000007</v>
      </c>
      <c r="G833" s="175" t="s">
        <v>19</v>
      </c>
      <c r="H833" s="172" t="s">
        <v>20</v>
      </c>
      <c r="I833" s="175">
        <v>1</v>
      </c>
      <c r="J833" s="175" t="s">
        <v>18</v>
      </c>
      <c r="K833" s="175" t="s">
        <v>85</v>
      </c>
      <c r="L833" s="172" t="s">
        <v>86</v>
      </c>
      <c r="M833" s="172" t="s">
        <v>76</v>
      </c>
    </row>
    <row r="834" spans="1:13" x14ac:dyDescent="0.2">
      <c r="A834" s="172" t="s">
        <v>83</v>
      </c>
      <c r="B834" s="172" t="s">
        <v>84</v>
      </c>
      <c r="C834" s="172" t="s">
        <v>21</v>
      </c>
      <c r="D834" s="172" t="s">
        <v>15</v>
      </c>
      <c r="E834" s="173">
        <v>43026</v>
      </c>
      <c r="F834" s="174">
        <v>4.82</v>
      </c>
      <c r="G834" s="175" t="s">
        <v>16</v>
      </c>
      <c r="H834" s="172" t="s">
        <v>17</v>
      </c>
      <c r="I834" s="175">
        <v>1</v>
      </c>
      <c r="J834" s="175" t="s">
        <v>18</v>
      </c>
      <c r="K834" s="175" t="s">
        <v>85</v>
      </c>
      <c r="L834" s="172" t="s">
        <v>86</v>
      </c>
      <c r="M834" s="172" t="s">
        <v>17</v>
      </c>
    </row>
    <row r="835" spans="1:13" x14ac:dyDescent="0.2">
      <c r="A835" s="172" t="s">
        <v>83</v>
      </c>
      <c r="B835" s="172" t="s">
        <v>84</v>
      </c>
      <c r="C835" s="172" t="s">
        <v>21</v>
      </c>
      <c r="D835" s="172" t="s">
        <v>15</v>
      </c>
      <c r="E835" s="173">
        <v>43026</v>
      </c>
      <c r="F835" s="174">
        <v>18.5718456</v>
      </c>
      <c r="G835" s="175" t="s">
        <v>19</v>
      </c>
      <c r="H835" s="172" t="s">
        <v>17</v>
      </c>
      <c r="I835" s="175">
        <v>1</v>
      </c>
      <c r="J835" s="175" t="s">
        <v>18</v>
      </c>
      <c r="K835" s="175" t="s">
        <v>85</v>
      </c>
      <c r="L835" s="172" t="s">
        <v>86</v>
      </c>
      <c r="M835" s="172" t="s">
        <v>17</v>
      </c>
    </row>
    <row r="836" spans="1:13" x14ac:dyDescent="0.2">
      <c r="A836" s="172" t="s">
        <v>83</v>
      </c>
      <c r="B836" s="172" t="s">
        <v>84</v>
      </c>
      <c r="C836" s="172" t="s">
        <v>21</v>
      </c>
      <c r="D836" s="172" t="s">
        <v>15</v>
      </c>
      <c r="E836" s="173">
        <v>43026</v>
      </c>
      <c r="F836" s="174">
        <v>2.44</v>
      </c>
      <c r="G836" s="175" t="s">
        <v>16</v>
      </c>
      <c r="H836" s="172" t="s">
        <v>20</v>
      </c>
      <c r="I836" s="175">
        <v>1</v>
      </c>
      <c r="J836" s="175" t="s">
        <v>18</v>
      </c>
      <c r="K836" s="175" t="s">
        <v>85</v>
      </c>
      <c r="L836" s="172" t="s">
        <v>86</v>
      </c>
      <c r="M836" s="172" t="s">
        <v>76</v>
      </c>
    </row>
    <row r="837" spans="1:13" x14ac:dyDescent="0.2">
      <c r="A837" s="172" t="s">
        <v>83</v>
      </c>
      <c r="B837" s="172" t="s">
        <v>84</v>
      </c>
      <c r="C837" s="172" t="s">
        <v>21</v>
      </c>
      <c r="D837" s="172" t="s">
        <v>15</v>
      </c>
      <c r="E837" s="173">
        <v>43026</v>
      </c>
      <c r="F837" s="174">
        <v>9.4015152000000004</v>
      </c>
      <c r="G837" s="175" t="s">
        <v>19</v>
      </c>
      <c r="H837" s="172" t="s">
        <v>20</v>
      </c>
      <c r="I837" s="175">
        <v>1</v>
      </c>
      <c r="J837" s="175" t="s">
        <v>18</v>
      </c>
      <c r="K837" s="175" t="s">
        <v>85</v>
      </c>
      <c r="L837" s="172" t="s">
        <v>86</v>
      </c>
      <c r="M837" s="172" t="s">
        <v>76</v>
      </c>
    </row>
    <row r="838" spans="1:13" x14ac:dyDescent="0.2">
      <c r="A838" s="172" t="s">
        <v>83</v>
      </c>
      <c r="B838" s="172" t="s">
        <v>84</v>
      </c>
      <c r="C838" s="172" t="s">
        <v>21</v>
      </c>
      <c r="D838" s="172" t="s">
        <v>15</v>
      </c>
      <c r="E838" s="173">
        <v>43019</v>
      </c>
      <c r="F838" s="174">
        <v>3.9</v>
      </c>
      <c r="G838" s="175" t="s">
        <v>16</v>
      </c>
      <c r="H838" s="172" t="s">
        <v>17</v>
      </c>
      <c r="I838" s="175">
        <v>1</v>
      </c>
      <c r="J838" s="175" t="s">
        <v>18</v>
      </c>
      <c r="K838" s="175" t="s">
        <v>85</v>
      </c>
      <c r="L838" s="172" t="s">
        <v>86</v>
      </c>
      <c r="M838" s="172" t="s">
        <v>17</v>
      </c>
    </row>
    <row r="839" spans="1:13" x14ac:dyDescent="0.2">
      <c r="A839" s="172" t="s">
        <v>83</v>
      </c>
      <c r="B839" s="172" t="s">
        <v>84</v>
      </c>
      <c r="C839" s="172" t="s">
        <v>21</v>
      </c>
      <c r="D839" s="172" t="s">
        <v>15</v>
      </c>
      <c r="E839" s="173">
        <v>43019</v>
      </c>
      <c r="F839" s="174">
        <v>17.368884000000001</v>
      </c>
      <c r="G839" s="175" t="s">
        <v>19</v>
      </c>
      <c r="H839" s="172" t="s">
        <v>17</v>
      </c>
      <c r="I839" s="175">
        <v>1</v>
      </c>
      <c r="J839" s="175" t="s">
        <v>18</v>
      </c>
      <c r="K839" s="175" t="s">
        <v>85</v>
      </c>
      <c r="L839" s="172" t="s">
        <v>86</v>
      </c>
      <c r="M839" s="172" t="s">
        <v>17</v>
      </c>
    </row>
    <row r="840" spans="1:13" x14ac:dyDescent="0.2">
      <c r="A840" s="172" t="s">
        <v>83</v>
      </c>
      <c r="B840" s="172" t="s">
        <v>84</v>
      </c>
      <c r="C840" s="172" t="s">
        <v>21</v>
      </c>
      <c r="D840" s="172" t="s">
        <v>15</v>
      </c>
      <c r="E840" s="173">
        <v>43019</v>
      </c>
      <c r="F840" s="174">
        <v>1.88</v>
      </c>
      <c r="G840" s="175" t="s">
        <v>16</v>
      </c>
      <c r="H840" s="172" t="s">
        <v>20</v>
      </c>
      <c r="I840" s="175">
        <v>1</v>
      </c>
      <c r="J840" s="175" t="s">
        <v>18</v>
      </c>
      <c r="K840" s="175" t="s">
        <v>85</v>
      </c>
      <c r="L840" s="172" t="s">
        <v>86</v>
      </c>
      <c r="M840" s="172" t="s">
        <v>76</v>
      </c>
    </row>
    <row r="841" spans="1:13" x14ac:dyDescent="0.2">
      <c r="A841" s="172" t="s">
        <v>83</v>
      </c>
      <c r="B841" s="172" t="s">
        <v>84</v>
      </c>
      <c r="C841" s="172" t="s">
        <v>21</v>
      </c>
      <c r="D841" s="172" t="s">
        <v>15</v>
      </c>
      <c r="E841" s="173">
        <v>43019</v>
      </c>
      <c r="F841" s="174">
        <v>8.3726927999999994</v>
      </c>
      <c r="G841" s="175" t="s">
        <v>19</v>
      </c>
      <c r="H841" s="172" t="s">
        <v>20</v>
      </c>
      <c r="I841" s="175">
        <v>1</v>
      </c>
      <c r="J841" s="175" t="s">
        <v>18</v>
      </c>
      <c r="K841" s="175" t="s">
        <v>85</v>
      </c>
      <c r="L841" s="172" t="s">
        <v>86</v>
      </c>
      <c r="M841" s="172" t="s">
        <v>76</v>
      </c>
    </row>
    <row r="842" spans="1:13" x14ac:dyDescent="0.2">
      <c r="A842" s="172" t="s">
        <v>83</v>
      </c>
      <c r="B842" s="172" t="s">
        <v>84</v>
      </c>
      <c r="C842" s="172" t="s">
        <v>21</v>
      </c>
      <c r="D842" s="172" t="s">
        <v>15</v>
      </c>
      <c r="E842" s="173">
        <v>43012</v>
      </c>
      <c r="F842" s="174">
        <v>5.93</v>
      </c>
      <c r="G842" s="175" t="s">
        <v>16</v>
      </c>
      <c r="H842" s="172" t="s">
        <v>17</v>
      </c>
      <c r="I842" s="175">
        <v>1</v>
      </c>
      <c r="J842" s="175" t="s">
        <v>18</v>
      </c>
      <c r="K842" s="175" t="s">
        <v>85</v>
      </c>
      <c r="L842" s="172" t="s">
        <v>86</v>
      </c>
      <c r="M842" s="172" t="s">
        <v>17</v>
      </c>
    </row>
    <row r="843" spans="1:13" x14ac:dyDescent="0.2">
      <c r="A843" s="172" t="s">
        <v>83</v>
      </c>
      <c r="B843" s="172" t="s">
        <v>84</v>
      </c>
      <c r="C843" s="172" t="s">
        <v>21</v>
      </c>
      <c r="D843" s="172" t="s">
        <v>15</v>
      </c>
      <c r="E843" s="173">
        <v>43012</v>
      </c>
      <c r="F843" s="174">
        <v>16.370002199999998</v>
      </c>
      <c r="G843" s="175" t="s">
        <v>19</v>
      </c>
      <c r="H843" s="172" t="s">
        <v>17</v>
      </c>
      <c r="I843" s="175">
        <v>1</v>
      </c>
      <c r="J843" s="175" t="s">
        <v>18</v>
      </c>
      <c r="K843" s="175" t="s">
        <v>85</v>
      </c>
      <c r="L843" s="172" t="s">
        <v>86</v>
      </c>
      <c r="M843" s="172" t="s">
        <v>17</v>
      </c>
    </row>
    <row r="844" spans="1:13" x14ac:dyDescent="0.2">
      <c r="A844" s="172" t="s">
        <v>83</v>
      </c>
      <c r="B844" s="172" t="s">
        <v>84</v>
      </c>
      <c r="C844" s="172" t="s">
        <v>21</v>
      </c>
      <c r="D844" s="172" t="s">
        <v>15</v>
      </c>
      <c r="E844" s="173">
        <v>43012</v>
      </c>
      <c r="F844" s="174">
        <v>4.1900000000000004</v>
      </c>
      <c r="G844" s="175" t="s">
        <v>16</v>
      </c>
      <c r="H844" s="172" t="s">
        <v>20</v>
      </c>
      <c r="I844" s="175">
        <v>1</v>
      </c>
      <c r="J844" s="175" t="s">
        <v>18</v>
      </c>
      <c r="K844" s="175" t="s">
        <v>85</v>
      </c>
      <c r="L844" s="172" t="s">
        <v>86</v>
      </c>
      <c r="M844" s="172" t="s">
        <v>76</v>
      </c>
    </row>
    <row r="845" spans="1:13" x14ac:dyDescent="0.2">
      <c r="A845" s="172" t="s">
        <v>83</v>
      </c>
      <c r="B845" s="172" t="s">
        <v>84</v>
      </c>
      <c r="C845" s="172" t="s">
        <v>21</v>
      </c>
      <c r="D845" s="172" t="s">
        <v>15</v>
      </c>
      <c r="E845" s="173">
        <v>43012</v>
      </c>
      <c r="F845" s="174">
        <v>11.566662600000001</v>
      </c>
      <c r="G845" s="175" t="s">
        <v>19</v>
      </c>
      <c r="H845" s="172" t="s">
        <v>20</v>
      </c>
      <c r="I845" s="175">
        <v>1</v>
      </c>
      <c r="J845" s="175" t="s">
        <v>18</v>
      </c>
      <c r="K845" s="175" t="s">
        <v>85</v>
      </c>
      <c r="L845" s="172" t="s">
        <v>86</v>
      </c>
      <c r="M845" s="172" t="s">
        <v>76</v>
      </c>
    </row>
    <row r="846" spans="1:13" x14ac:dyDescent="0.2">
      <c r="A846" s="172" t="s">
        <v>83</v>
      </c>
      <c r="B846" s="172" t="s">
        <v>84</v>
      </c>
      <c r="C846" s="172" t="s">
        <v>21</v>
      </c>
      <c r="D846" s="172" t="s">
        <v>15</v>
      </c>
      <c r="E846" s="173">
        <v>43003</v>
      </c>
      <c r="F846" s="174">
        <v>5.17</v>
      </c>
      <c r="G846" s="175" t="s">
        <v>16</v>
      </c>
      <c r="H846" s="172" t="s">
        <v>17</v>
      </c>
      <c r="I846" s="175">
        <v>1</v>
      </c>
      <c r="J846" s="175" t="s">
        <v>18</v>
      </c>
      <c r="K846" s="175" t="s">
        <v>85</v>
      </c>
      <c r="L846" s="172" t="s">
        <v>86</v>
      </c>
      <c r="M846" s="172" t="s">
        <v>17</v>
      </c>
    </row>
    <row r="847" spans="1:13" x14ac:dyDescent="0.2">
      <c r="A847" s="172" t="s">
        <v>83</v>
      </c>
      <c r="B847" s="172" t="s">
        <v>84</v>
      </c>
      <c r="C847" s="172" t="s">
        <v>21</v>
      </c>
      <c r="D847" s="172" t="s">
        <v>15</v>
      </c>
      <c r="E847" s="173">
        <v>43003</v>
      </c>
      <c r="F847" s="174">
        <v>10.348272</v>
      </c>
      <c r="G847" s="175" t="s">
        <v>19</v>
      </c>
      <c r="H847" s="172" t="s">
        <v>17</v>
      </c>
      <c r="I847" s="175">
        <v>1</v>
      </c>
      <c r="J847" s="175" t="s">
        <v>18</v>
      </c>
      <c r="K847" s="175" t="s">
        <v>85</v>
      </c>
      <c r="L847" s="172" t="s">
        <v>86</v>
      </c>
      <c r="M847" s="172" t="s">
        <v>17</v>
      </c>
    </row>
    <row r="848" spans="1:13" x14ac:dyDescent="0.2">
      <c r="A848" s="172" t="s">
        <v>83</v>
      </c>
      <c r="B848" s="172" t="s">
        <v>84</v>
      </c>
      <c r="C848" s="172" t="s">
        <v>21</v>
      </c>
      <c r="D848" s="172" t="s">
        <v>15</v>
      </c>
      <c r="E848" s="173">
        <v>43003</v>
      </c>
      <c r="F848" s="174">
        <v>4.1500000000000004</v>
      </c>
      <c r="G848" s="175" t="s">
        <v>16</v>
      </c>
      <c r="H848" s="172" t="s">
        <v>20</v>
      </c>
      <c r="I848" s="175">
        <v>1</v>
      </c>
      <c r="J848" s="175" t="s">
        <v>18</v>
      </c>
      <c r="K848" s="175" t="s">
        <v>85</v>
      </c>
      <c r="L848" s="172" t="s">
        <v>86</v>
      </c>
      <c r="M848" s="172" t="s">
        <v>76</v>
      </c>
    </row>
    <row r="849" spans="1:13" x14ac:dyDescent="0.2">
      <c r="A849" s="172" t="s">
        <v>83</v>
      </c>
      <c r="B849" s="172" t="s">
        <v>84</v>
      </c>
      <c r="C849" s="172" t="s">
        <v>21</v>
      </c>
      <c r="D849" s="172" t="s">
        <v>15</v>
      </c>
      <c r="E849" s="173">
        <v>43003</v>
      </c>
      <c r="F849" s="174">
        <v>8.3066399999999998</v>
      </c>
      <c r="G849" s="175" t="s">
        <v>19</v>
      </c>
      <c r="H849" s="172" t="s">
        <v>20</v>
      </c>
      <c r="I849" s="175">
        <v>1</v>
      </c>
      <c r="J849" s="175" t="s">
        <v>18</v>
      </c>
      <c r="K849" s="175" t="s">
        <v>85</v>
      </c>
      <c r="L849" s="172" t="s">
        <v>86</v>
      </c>
      <c r="M849" s="172" t="s">
        <v>76</v>
      </c>
    </row>
    <row r="850" spans="1:13" x14ac:dyDescent="0.2">
      <c r="A850" s="172" t="s">
        <v>83</v>
      </c>
      <c r="B850" s="172" t="s">
        <v>84</v>
      </c>
      <c r="C850" s="172" t="s">
        <v>21</v>
      </c>
      <c r="D850" s="172" t="s">
        <v>15</v>
      </c>
      <c r="E850" s="173">
        <v>42998</v>
      </c>
      <c r="F850" s="174">
        <v>4.5199999999999996</v>
      </c>
      <c r="G850" s="175" t="s">
        <v>16</v>
      </c>
      <c r="H850" s="172" t="s">
        <v>17</v>
      </c>
      <c r="I850" s="175">
        <v>1</v>
      </c>
      <c r="J850" s="175" t="s">
        <v>18</v>
      </c>
      <c r="K850" s="175" t="s">
        <v>85</v>
      </c>
      <c r="L850" s="172" t="s">
        <v>86</v>
      </c>
      <c r="M850" s="172" t="s">
        <v>17</v>
      </c>
    </row>
    <row r="851" spans="1:13" x14ac:dyDescent="0.2">
      <c r="A851" s="172" t="s">
        <v>83</v>
      </c>
      <c r="B851" s="172" t="s">
        <v>84</v>
      </c>
      <c r="C851" s="172" t="s">
        <v>21</v>
      </c>
      <c r="D851" s="172" t="s">
        <v>15</v>
      </c>
      <c r="E851" s="173">
        <v>42998</v>
      </c>
      <c r="F851" s="174">
        <v>12.289156800000001</v>
      </c>
      <c r="G851" s="175" t="s">
        <v>19</v>
      </c>
      <c r="H851" s="172" t="s">
        <v>17</v>
      </c>
      <c r="I851" s="175">
        <v>1</v>
      </c>
      <c r="J851" s="175" t="s">
        <v>18</v>
      </c>
      <c r="K851" s="175" t="s">
        <v>85</v>
      </c>
      <c r="L851" s="172" t="s">
        <v>86</v>
      </c>
      <c r="M851" s="172" t="s">
        <v>17</v>
      </c>
    </row>
    <row r="852" spans="1:13" x14ac:dyDescent="0.2">
      <c r="A852" s="172" t="s">
        <v>83</v>
      </c>
      <c r="B852" s="172" t="s">
        <v>84</v>
      </c>
      <c r="C852" s="172" t="s">
        <v>21</v>
      </c>
      <c r="D852" s="172" t="s">
        <v>15</v>
      </c>
      <c r="E852" s="173">
        <v>42998</v>
      </c>
      <c r="F852" s="174">
        <v>4.05</v>
      </c>
      <c r="G852" s="175" t="s">
        <v>16</v>
      </c>
      <c r="H852" s="172" t="s">
        <v>20</v>
      </c>
      <c r="I852" s="175">
        <v>1</v>
      </c>
      <c r="J852" s="175" t="s">
        <v>18</v>
      </c>
      <c r="K852" s="175" t="s">
        <v>85</v>
      </c>
      <c r="L852" s="172" t="s">
        <v>86</v>
      </c>
      <c r="M852" s="172" t="s">
        <v>76</v>
      </c>
    </row>
    <row r="853" spans="1:13" x14ac:dyDescent="0.2">
      <c r="A853" s="172" t="s">
        <v>83</v>
      </c>
      <c r="B853" s="172" t="s">
        <v>84</v>
      </c>
      <c r="C853" s="172" t="s">
        <v>21</v>
      </c>
      <c r="D853" s="172" t="s">
        <v>15</v>
      </c>
      <c r="E853" s="173">
        <v>42998</v>
      </c>
      <c r="F853" s="174">
        <v>11.011302000000001</v>
      </c>
      <c r="G853" s="175" t="s">
        <v>19</v>
      </c>
      <c r="H853" s="172" t="s">
        <v>20</v>
      </c>
      <c r="I853" s="175">
        <v>1</v>
      </c>
      <c r="J853" s="175" t="s">
        <v>18</v>
      </c>
      <c r="K853" s="175" t="s">
        <v>85</v>
      </c>
      <c r="L853" s="172" t="s">
        <v>86</v>
      </c>
      <c r="M853" s="172" t="s">
        <v>76</v>
      </c>
    </row>
    <row r="854" spans="1:13" x14ac:dyDescent="0.2">
      <c r="A854" s="172" t="s">
        <v>83</v>
      </c>
      <c r="B854" s="172" t="s">
        <v>84</v>
      </c>
      <c r="C854" s="172" t="s">
        <v>21</v>
      </c>
      <c r="D854" s="172" t="s">
        <v>15</v>
      </c>
      <c r="E854" s="173">
        <v>42991</v>
      </c>
      <c r="F854" s="174">
        <v>4.34</v>
      </c>
      <c r="G854" s="175" t="s">
        <v>16</v>
      </c>
      <c r="H854" s="172" t="s">
        <v>17</v>
      </c>
      <c r="I854" s="175">
        <v>1</v>
      </c>
      <c r="J854" s="175" t="s">
        <v>18</v>
      </c>
      <c r="K854" s="175" t="s">
        <v>85</v>
      </c>
      <c r="L854" s="172" t="s">
        <v>86</v>
      </c>
      <c r="M854" s="172" t="s">
        <v>17</v>
      </c>
    </row>
    <row r="855" spans="1:13" x14ac:dyDescent="0.2">
      <c r="A855" s="172" t="s">
        <v>83</v>
      </c>
      <c r="B855" s="172" t="s">
        <v>84</v>
      </c>
      <c r="C855" s="172" t="s">
        <v>21</v>
      </c>
      <c r="D855" s="172" t="s">
        <v>15</v>
      </c>
      <c r="E855" s="173">
        <v>42991</v>
      </c>
      <c r="F855" s="174">
        <v>11.872156800000001</v>
      </c>
      <c r="G855" s="175" t="s">
        <v>19</v>
      </c>
      <c r="H855" s="172" t="s">
        <v>17</v>
      </c>
      <c r="I855" s="175">
        <v>1</v>
      </c>
      <c r="J855" s="175" t="s">
        <v>18</v>
      </c>
      <c r="K855" s="175" t="s">
        <v>85</v>
      </c>
      <c r="L855" s="172" t="s">
        <v>86</v>
      </c>
      <c r="M855" s="172" t="s">
        <v>17</v>
      </c>
    </row>
    <row r="856" spans="1:13" x14ac:dyDescent="0.2">
      <c r="A856" s="172" t="s">
        <v>83</v>
      </c>
      <c r="B856" s="172" t="s">
        <v>84</v>
      </c>
      <c r="C856" s="172" t="s">
        <v>21</v>
      </c>
      <c r="D856" s="172" t="s">
        <v>15</v>
      </c>
      <c r="E856" s="173">
        <v>42991</v>
      </c>
      <c r="F856" s="174">
        <v>4.43</v>
      </c>
      <c r="G856" s="175" t="s">
        <v>16</v>
      </c>
      <c r="H856" s="172" t="s">
        <v>20</v>
      </c>
      <c r="I856" s="175">
        <v>1</v>
      </c>
      <c r="J856" s="175" t="s">
        <v>18</v>
      </c>
      <c r="K856" s="175" t="s">
        <v>85</v>
      </c>
      <c r="L856" s="172" t="s">
        <v>86</v>
      </c>
      <c r="M856" s="172" t="s">
        <v>76</v>
      </c>
    </row>
    <row r="857" spans="1:13" x14ac:dyDescent="0.2">
      <c r="A857" s="172" t="s">
        <v>83</v>
      </c>
      <c r="B857" s="172" t="s">
        <v>84</v>
      </c>
      <c r="C857" s="172" t="s">
        <v>21</v>
      </c>
      <c r="D857" s="172" t="s">
        <v>15</v>
      </c>
      <c r="E857" s="173">
        <v>42991</v>
      </c>
      <c r="F857" s="174">
        <v>12.118353600000001</v>
      </c>
      <c r="G857" s="175" t="s">
        <v>19</v>
      </c>
      <c r="H857" s="172" t="s">
        <v>20</v>
      </c>
      <c r="I857" s="175">
        <v>1</v>
      </c>
      <c r="J857" s="175" t="s">
        <v>18</v>
      </c>
      <c r="K857" s="175" t="s">
        <v>85</v>
      </c>
      <c r="L857" s="172" t="s">
        <v>86</v>
      </c>
      <c r="M857" s="172" t="s">
        <v>76</v>
      </c>
    </row>
    <row r="858" spans="1:13" x14ac:dyDescent="0.2">
      <c r="A858" s="172" t="s">
        <v>83</v>
      </c>
      <c r="B858" s="172" t="s">
        <v>84</v>
      </c>
      <c r="C858" s="172" t="s">
        <v>21</v>
      </c>
      <c r="D858" s="172" t="s">
        <v>15</v>
      </c>
      <c r="E858" s="173">
        <v>42984</v>
      </c>
      <c r="F858" s="174">
        <v>4.72</v>
      </c>
      <c r="G858" s="175" t="s">
        <v>16</v>
      </c>
      <c r="H858" s="172" t="s">
        <v>17</v>
      </c>
      <c r="I858" s="175">
        <v>1</v>
      </c>
      <c r="J858" s="175" t="s">
        <v>18</v>
      </c>
      <c r="K858" s="175" t="s">
        <v>85</v>
      </c>
      <c r="L858" s="172" t="s">
        <v>86</v>
      </c>
      <c r="M858" s="172" t="s">
        <v>17</v>
      </c>
    </row>
    <row r="859" spans="1:13" x14ac:dyDescent="0.2">
      <c r="A859" s="172" t="s">
        <v>83</v>
      </c>
      <c r="B859" s="172" t="s">
        <v>84</v>
      </c>
      <c r="C859" s="172" t="s">
        <v>21</v>
      </c>
      <c r="D859" s="172" t="s">
        <v>15</v>
      </c>
      <c r="E859" s="173">
        <v>42984</v>
      </c>
      <c r="F859" s="174">
        <v>13.147843200000001</v>
      </c>
      <c r="G859" s="175" t="s">
        <v>19</v>
      </c>
      <c r="H859" s="172" t="s">
        <v>17</v>
      </c>
      <c r="I859" s="175">
        <v>1</v>
      </c>
      <c r="J859" s="175" t="s">
        <v>18</v>
      </c>
      <c r="K859" s="175" t="s">
        <v>85</v>
      </c>
      <c r="L859" s="172" t="s">
        <v>86</v>
      </c>
      <c r="M859" s="172" t="s">
        <v>17</v>
      </c>
    </row>
    <row r="860" spans="1:13" x14ac:dyDescent="0.2">
      <c r="A860" s="172" t="s">
        <v>83</v>
      </c>
      <c r="B860" s="172" t="s">
        <v>84</v>
      </c>
      <c r="C860" s="172" t="s">
        <v>21</v>
      </c>
      <c r="D860" s="172" t="s">
        <v>15</v>
      </c>
      <c r="E860" s="173">
        <v>42984</v>
      </c>
      <c r="F860" s="174">
        <v>4.4800000000000004</v>
      </c>
      <c r="G860" s="175" t="s">
        <v>16</v>
      </c>
      <c r="H860" s="172" t="s">
        <v>20</v>
      </c>
      <c r="I860" s="175">
        <v>1</v>
      </c>
      <c r="J860" s="175" t="s">
        <v>18</v>
      </c>
      <c r="K860" s="175" t="s">
        <v>85</v>
      </c>
      <c r="L860" s="172" t="s">
        <v>86</v>
      </c>
      <c r="M860" s="172" t="s">
        <v>76</v>
      </c>
    </row>
    <row r="861" spans="1:13" x14ac:dyDescent="0.2">
      <c r="A861" s="172" t="s">
        <v>83</v>
      </c>
      <c r="B861" s="172" t="s">
        <v>84</v>
      </c>
      <c r="C861" s="172" t="s">
        <v>21</v>
      </c>
      <c r="D861" s="172" t="s">
        <v>15</v>
      </c>
      <c r="E861" s="173">
        <v>42984</v>
      </c>
      <c r="F861" s="174">
        <v>12.4793088</v>
      </c>
      <c r="G861" s="175" t="s">
        <v>19</v>
      </c>
      <c r="H861" s="172" t="s">
        <v>20</v>
      </c>
      <c r="I861" s="175">
        <v>1</v>
      </c>
      <c r="J861" s="175" t="s">
        <v>18</v>
      </c>
      <c r="K861" s="175" t="s">
        <v>85</v>
      </c>
      <c r="L861" s="172" t="s">
        <v>86</v>
      </c>
      <c r="M861" s="172" t="s">
        <v>76</v>
      </c>
    </row>
    <row r="862" spans="1:13" x14ac:dyDescent="0.2">
      <c r="A862" s="172" t="s">
        <v>83</v>
      </c>
      <c r="B862" s="172" t="s">
        <v>84</v>
      </c>
      <c r="C862" s="172" t="s">
        <v>21</v>
      </c>
      <c r="D862" s="172" t="s">
        <v>15</v>
      </c>
      <c r="E862" s="173">
        <v>42970</v>
      </c>
      <c r="F862" s="174">
        <v>3.62</v>
      </c>
      <c r="G862" s="175" t="s">
        <v>16</v>
      </c>
      <c r="H862" s="172" t="s">
        <v>17</v>
      </c>
      <c r="I862" s="175">
        <v>1</v>
      </c>
      <c r="J862" s="175" t="s">
        <v>18</v>
      </c>
      <c r="K862" s="175" t="s">
        <v>85</v>
      </c>
      <c r="L862" s="172" t="s">
        <v>86</v>
      </c>
      <c r="M862" s="172" t="s">
        <v>17</v>
      </c>
    </row>
    <row r="863" spans="1:13" x14ac:dyDescent="0.2">
      <c r="A863" s="172" t="s">
        <v>83</v>
      </c>
      <c r="B863" s="172" t="s">
        <v>84</v>
      </c>
      <c r="C863" s="172" t="s">
        <v>21</v>
      </c>
      <c r="D863" s="172" t="s">
        <v>15</v>
      </c>
      <c r="E863" s="173">
        <v>42970</v>
      </c>
      <c r="F863" s="174">
        <v>11.8046028</v>
      </c>
      <c r="G863" s="175" t="s">
        <v>19</v>
      </c>
      <c r="H863" s="172" t="s">
        <v>17</v>
      </c>
      <c r="I863" s="175">
        <v>1</v>
      </c>
      <c r="J863" s="175" t="s">
        <v>18</v>
      </c>
      <c r="K863" s="175" t="s">
        <v>85</v>
      </c>
      <c r="L863" s="172" t="s">
        <v>86</v>
      </c>
      <c r="M863" s="172" t="s">
        <v>17</v>
      </c>
    </row>
    <row r="864" spans="1:13" x14ac:dyDescent="0.2">
      <c r="A864" s="172" t="s">
        <v>83</v>
      </c>
      <c r="B864" s="172" t="s">
        <v>84</v>
      </c>
      <c r="C864" s="172" t="s">
        <v>21</v>
      </c>
      <c r="D864" s="172" t="s">
        <v>15</v>
      </c>
      <c r="E864" s="173">
        <v>42970</v>
      </c>
      <c r="F864" s="174">
        <v>2.82</v>
      </c>
      <c r="G864" s="175" t="s">
        <v>16</v>
      </c>
      <c r="H864" s="172" t="s">
        <v>20</v>
      </c>
      <c r="I864" s="175">
        <v>1</v>
      </c>
      <c r="J864" s="175" t="s">
        <v>18</v>
      </c>
      <c r="K864" s="175" t="s">
        <v>85</v>
      </c>
      <c r="L864" s="172" t="s">
        <v>86</v>
      </c>
      <c r="M864" s="172" t="s">
        <v>76</v>
      </c>
    </row>
    <row r="865" spans="1:13" x14ac:dyDescent="0.2">
      <c r="A865" s="172" t="s">
        <v>83</v>
      </c>
      <c r="B865" s="172" t="s">
        <v>84</v>
      </c>
      <c r="C865" s="172" t="s">
        <v>21</v>
      </c>
      <c r="D865" s="172" t="s">
        <v>15</v>
      </c>
      <c r="E865" s="173">
        <v>42970</v>
      </c>
      <c r="F865" s="174">
        <v>9.1958508000000005</v>
      </c>
      <c r="G865" s="175" t="s">
        <v>19</v>
      </c>
      <c r="H865" s="172" t="s">
        <v>20</v>
      </c>
      <c r="I865" s="175">
        <v>1</v>
      </c>
      <c r="J865" s="175" t="s">
        <v>18</v>
      </c>
      <c r="K865" s="175" t="s">
        <v>85</v>
      </c>
      <c r="L865" s="172" t="s">
        <v>86</v>
      </c>
      <c r="M865" s="172" t="s">
        <v>76</v>
      </c>
    </row>
    <row r="866" spans="1:13" x14ac:dyDescent="0.2">
      <c r="A866" s="172" t="s">
        <v>83</v>
      </c>
      <c r="B866" s="172" t="s">
        <v>84</v>
      </c>
      <c r="C866" s="172" t="s">
        <v>21</v>
      </c>
      <c r="D866" s="172" t="s">
        <v>15</v>
      </c>
      <c r="E866" s="173">
        <v>42963</v>
      </c>
      <c r="F866" s="174">
        <v>4.03</v>
      </c>
      <c r="G866" s="175" t="s">
        <v>16</v>
      </c>
      <c r="H866" s="172" t="s">
        <v>17</v>
      </c>
      <c r="I866" s="175">
        <v>1</v>
      </c>
      <c r="J866" s="175" t="s">
        <v>18</v>
      </c>
      <c r="K866" s="175" t="s">
        <v>85</v>
      </c>
      <c r="L866" s="172" t="s">
        <v>86</v>
      </c>
      <c r="M866" s="172" t="s">
        <v>17</v>
      </c>
    </row>
    <row r="867" spans="1:13" x14ac:dyDescent="0.2">
      <c r="A867" s="172" t="s">
        <v>83</v>
      </c>
      <c r="B867" s="172" t="s">
        <v>84</v>
      </c>
      <c r="C867" s="172" t="s">
        <v>21</v>
      </c>
      <c r="D867" s="172" t="s">
        <v>15</v>
      </c>
      <c r="E867" s="173">
        <v>42963</v>
      </c>
      <c r="F867" s="174">
        <v>11.629129199999999</v>
      </c>
      <c r="G867" s="175" t="s">
        <v>19</v>
      </c>
      <c r="H867" s="172" t="s">
        <v>17</v>
      </c>
      <c r="I867" s="175">
        <v>1</v>
      </c>
      <c r="J867" s="175" t="s">
        <v>18</v>
      </c>
      <c r="K867" s="175" t="s">
        <v>85</v>
      </c>
      <c r="L867" s="172" t="s">
        <v>86</v>
      </c>
      <c r="M867" s="172" t="s">
        <v>17</v>
      </c>
    </row>
    <row r="868" spans="1:13" x14ac:dyDescent="0.2">
      <c r="A868" s="172" t="s">
        <v>83</v>
      </c>
      <c r="B868" s="172" t="s">
        <v>84</v>
      </c>
      <c r="C868" s="172" t="s">
        <v>21</v>
      </c>
      <c r="D868" s="172" t="s">
        <v>15</v>
      </c>
      <c r="E868" s="173">
        <v>42963</v>
      </c>
      <c r="F868" s="174">
        <v>3.62</v>
      </c>
      <c r="G868" s="175" t="s">
        <v>16</v>
      </c>
      <c r="H868" s="172" t="s">
        <v>20</v>
      </c>
      <c r="I868" s="175">
        <v>1</v>
      </c>
      <c r="J868" s="175" t="s">
        <v>18</v>
      </c>
      <c r="K868" s="175" t="s">
        <v>85</v>
      </c>
      <c r="L868" s="172" t="s">
        <v>86</v>
      </c>
      <c r="M868" s="172" t="s">
        <v>76</v>
      </c>
    </row>
    <row r="869" spans="1:13" x14ac:dyDescent="0.2">
      <c r="A869" s="172" t="s">
        <v>83</v>
      </c>
      <c r="B869" s="172" t="s">
        <v>84</v>
      </c>
      <c r="C869" s="172" t="s">
        <v>21</v>
      </c>
      <c r="D869" s="172" t="s">
        <v>15</v>
      </c>
      <c r="E869" s="173">
        <v>42963</v>
      </c>
      <c r="F869" s="174">
        <v>10.446016800000001</v>
      </c>
      <c r="G869" s="175" t="s">
        <v>19</v>
      </c>
      <c r="H869" s="172" t="s">
        <v>20</v>
      </c>
      <c r="I869" s="175">
        <v>1</v>
      </c>
      <c r="J869" s="175" t="s">
        <v>18</v>
      </c>
      <c r="K869" s="175" t="s">
        <v>85</v>
      </c>
      <c r="L869" s="172" t="s">
        <v>86</v>
      </c>
      <c r="M869" s="172" t="s">
        <v>76</v>
      </c>
    </row>
    <row r="870" spans="1:13" x14ac:dyDescent="0.2">
      <c r="A870" s="172" t="s">
        <v>83</v>
      </c>
      <c r="B870" s="172" t="s">
        <v>84</v>
      </c>
      <c r="C870" s="172" t="s">
        <v>21</v>
      </c>
      <c r="D870" s="172" t="s">
        <v>15</v>
      </c>
      <c r="E870" s="173">
        <v>42956</v>
      </c>
      <c r="F870" s="174">
        <v>4.1900000000000004</v>
      </c>
      <c r="G870" s="175" t="s">
        <v>16</v>
      </c>
      <c r="H870" s="172" t="s">
        <v>17</v>
      </c>
      <c r="I870" s="175">
        <v>1</v>
      </c>
      <c r="J870" s="175" t="s">
        <v>18</v>
      </c>
      <c r="K870" s="175" t="s">
        <v>85</v>
      </c>
      <c r="L870" s="172" t="s">
        <v>86</v>
      </c>
      <c r="M870" s="172" t="s">
        <v>17</v>
      </c>
    </row>
    <row r="871" spans="1:13" x14ac:dyDescent="0.2">
      <c r="A871" s="172" t="s">
        <v>83</v>
      </c>
      <c r="B871" s="172" t="s">
        <v>84</v>
      </c>
      <c r="C871" s="172" t="s">
        <v>21</v>
      </c>
      <c r="D871" s="172" t="s">
        <v>15</v>
      </c>
      <c r="E871" s="173">
        <v>42956</v>
      </c>
      <c r="F871" s="174">
        <v>12.9993912</v>
      </c>
      <c r="G871" s="175" t="s">
        <v>19</v>
      </c>
      <c r="H871" s="172" t="s">
        <v>17</v>
      </c>
      <c r="I871" s="175">
        <v>1</v>
      </c>
      <c r="J871" s="175" t="s">
        <v>18</v>
      </c>
      <c r="K871" s="175" t="s">
        <v>85</v>
      </c>
      <c r="L871" s="172" t="s">
        <v>86</v>
      </c>
      <c r="M871" s="172" t="s">
        <v>17</v>
      </c>
    </row>
    <row r="872" spans="1:13" x14ac:dyDescent="0.2">
      <c r="A872" s="172" t="s">
        <v>83</v>
      </c>
      <c r="B872" s="172" t="s">
        <v>84</v>
      </c>
      <c r="C872" s="172" t="s">
        <v>21</v>
      </c>
      <c r="D872" s="172" t="s">
        <v>15</v>
      </c>
      <c r="E872" s="173">
        <v>42956</v>
      </c>
      <c r="F872" s="174">
        <v>3.61</v>
      </c>
      <c r="G872" s="175" t="s">
        <v>16</v>
      </c>
      <c r="H872" s="172" t="s">
        <v>20</v>
      </c>
      <c r="I872" s="175">
        <v>1</v>
      </c>
      <c r="J872" s="175" t="s">
        <v>18</v>
      </c>
      <c r="K872" s="175" t="s">
        <v>85</v>
      </c>
      <c r="L872" s="172" t="s">
        <v>86</v>
      </c>
      <c r="M872" s="172" t="s">
        <v>76</v>
      </c>
    </row>
    <row r="873" spans="1:13" x14ac:dyDescent="0.2">
      <c r="A873" s="172" t="s">
        <v>83</v>
      </c>
      <c r="B873" s="172" t="s">
        <v>84</v>
      </c>
      <c r="C873" s="172" t="s">
        <v>21</v>
      </c>
      <c r="D873" s="172" t="s">
        <v>15</v>
      </c>
      <c r="E873" s="173">
        <v>42956</v>
      </c>
      <c r="F873" s="174">
        <v>11.1999528</v>
      </c>
      <c r="G873" s="175" t="s">
        <v>19</v>
      </c>
      <c r="H873" s="172" t="s">
        <v>20</v>
      </c>
      <c r="I873" s="175">
        <v>1</v>
      </c>
      <c r="J873" s="175" t="s">
        <v>18</v>
      </c>
      <c r="K873" s="175" t="s">
        <v>85</v>
      </c>
      <c r="L873" s="172" t="s">
        <v>86</v>
      </c>
      <c r="M873" s="172" t="s">
        <v>76</v>
      </c>
    </row>
    <row r="874" spans="1:13" x14ac:dyDescent="0.2">
      <c r="A874" s="172" t="s">
        <v>83</v>
      </c>
      <c r="B874" s="172" t="s">
        <v>84</v>
      </c>
      <c r="C874" s="172" t="s">
        <v>21</v>
      </c>
      <c r="D874" s="172" t="s">
        <v>15</v>
      </c>
      <c r="E874" s="173">
        <v>42949</v>
      </c>
      <c r="F874" s="174">
        <v>4.4400000000000004</v>
      </c>
      <c r="G874" s="175" t="s">
        <v>16</v>
      </c>
      <c r="H874" s="172" t="s">
        <v>17</v>
      </c>
      <c r="I874" s="175">
        <v>1</v>
      </c>
      <c r="J874" s="175" t="s">
        <v>18</v>
      </c>
      <c r="K874" s="175" t="s">
        <v>85</v>
      </c>
      <c r="L874" s="172" t="s">
        <v>86</v>
      </c>
      <c r="M874" s="172" t="s">
        <v>17</v>
      </c>
    </row>
    <row r="875" spans="1:13" x14ac:dyDescent="0.2">
      <c r="A875" s="172" t="s">
        <v>83</v>
      </c>
      <c r="B875" s="172" t="s">
        <v>84</v>
      </c>
      <c r="C875" s="172" t="s">
        <v>21</v>
      </c>
      <c r="D875" s="172" t="s">
        <v>15</v>
      </c>
      <c r="E875" s="173">
        <v>42949</v>
      </c>
      <c r="F875" s="174">
        <v>12.1827384</v>
      </c>
      <c r="G875" s="175" t="s">
        <v>19</v>
      </c>
      <c r="H875" s="172" t="s">
        <v>17</v>
      </c>
      <c r="I875" s="175">
        <v>1</v>
      </c>
      <c r="J875" s="175" t="s">
        <v>18</v>
      </c>
      <c r="K875" s="175" t="s">
        <v>85</v>
      </c>
      <c r="L875" s="172" t="s">
        <v>86</v>
      </c>
      <c r="M875" s="172" t="s">
        <v>17</v>
      </c>
    </row>
    <row r="876" spans="1:13" x14ac:dyDescent="0.2">
      <c r="A876" s="172" t="s">
        <v>83</v>
      </c>
      <c r="B876" s="172" t="s">
        <v>84</v>
      </c>
      <c r="C876" s="172" t="s">
        <v>21</v>
      </c>
      <c r="D876" s="172" t="s">
        <v>15</v>
      </c>
      <c r="E876" s="173">
        <v>42949</v>
      </c>
      <c r="F876" s="174">
        <v>3.31</v>
      </c>
      <c r="G876" s="175" t="s">
        <v>16</v>
      </c>
      <c r="H876" s="172" t="s">
        <v>20</v>
      </c>
      <c r="I876" s="175">
        <v>1</v>
      </c>
      <c r="J876" s="175" t="s">
        <v>18</v>
      </c>
      <c r="K876" s="175" t="s">
        <v>85</v>
      </c>
      <c r="L876" s="172" t="s">
        <v>86</v>
      </c>
      <c r="M876" s="172" t="s">
        <v>76</v>
      </c>
    </row>
    <row r="877" spans="1:13" x14ac:dyDescent="0.2">
      <c r="A877" s="172" t="s">
        <v>83</v>
      </c>
      <c r="B877" s="172" t="s">
        <v>84</v>
      </c>
      <c r="C877" s="172" t="s">
        <v>21</v>
      </c>
      <c r="D877" s="172" t="s">
        <v>15</v>
      </c>
      <c r="E877" s="173">
        <v>42949</v>
      </c>
      <c r="F877" s="174">
        <v>9.0821766000000004</v>
      </c>
      <c r="G877" s="175" t="s">
        <v>19</v>
      </c>
      <c r="H877" s="172" t="s">
        <v>20</v>
      </c>
      <c r="I877" s="175">
        <v>1</v>
      </c>
      <c r="J877" s="175" t="s">
        <v>18</v>
      </c>
      <c r="K877" s="175" t="s">
        <v>85</v>
      </c>
      <c r="L877" s="172" t="s">
        <v>86</v>
      </c>
      <c r="M877" s="172" t="s">
        <v>76</v>
      </c>
    </row>
    <row r="878" spans="1:13" x14ac:dyDescent="0.2">
      <c r="A878" s="172" t="s">
        <v>83</v>
      </c>
      <c r="B878" s="172" t="s">
        <v>84</v>
      </c>
      <c r="C878" s="172" t="s">
        <v>21</v>
      </c>
      <c r="D878" s="172" t="s">
        <v>15</v>
      </c>
      <c r="E878" s="173">
        <v>42940</v>
      </c>
      <c r="F878" s="174">
        <v>2.64</v>
      </c>
      <c r="G878" s="175" t="s">
        <v>16</v>
      </c>
      <c r="H878" s="172" t="s">
        <v>17</v>
      </c>
      <c r="I878" s="175">
        <v>1</v>
      </c>
      <c r="J878" s="175" t="s">
        <v>18</v>
      </c>
      <c r="K878" s="175" t="s">
        <v>85</v>
      </c>
      <c r="L878" s="172" t="s">
        <v>86</v>
      </c>
      <c r="M878" s="172" t="s">
        <v>17</v>
      </c>
    </row>
    <row r="879" spans="1:13" x14ac:dyDescent="0.2">
      <c r="A879" s="172" t="s">
        <v>83</v>
      </c>
      <c r="B879" s="172" t="s">
        <v>84</v>
      </c>
      <c r="C879" s="172" t="s">
        <v>21</v>
      </c>
      <c r="D879" s="172" t="s">
        <v>15</v>
      </c>
      <c r="E879" s="173">
        <v>42940</v>
      </c>
      <c r="F879" s="174">
        <v>8.5428288000000006</v>
      </c>
      <c r="G879" s="175" t="s">
        <v>19</v>
      </c>
      <c r="H879" s="172" t="s">
        <v>17</v>
      </c>
      <c r="I879" s="175">
        <v>1</v>
      </c>
      <c r="J879" s="175" t="s">
        <v>18</v>
      </c>
      <c r="K879" s="175" t="s">
        <v>85</v>
      </c>
      <c r="L879" s="172" t="s">
        <v>86</v>
      </c>
      <c r="M879" s="172" t="s">
        <v>17</v>
      </c>
    </row>
    <row r="880" spans="1:13" x14ac:dyDescent="0.2">
      <c r="A880" s="172" t="s">
        <v>83</v>
      </c>
      <c r="B880" s="172" t="s">
        <v>84</v>
      </c>
      <c r="C880" s="172" t="s">
        <v>21</v>
      </c>
      <c r="D880" s="172" t="s">
        <v>15</v>
      </c>
      <c r="E880" s="173">
        <v>42940</v>
      </c>
      <c r="F880" s="174">
        <v>2.71</v>
      </c>
      <c r="G880" s="175" t="s">
        <v>16</v>
      </c>
      <c r="H880" s="172" t="s">
        <v>20</v>
      </c>
      <c r="I880" s="175">
        <v>1</v>
      </c>
      <c r="J880" s="175" t="s">
        <v>18</v>
      </c>
      <c r="K880" s="175" t="s">
        <v>85</v>
      </c>
      <c r="L880" s="172" t="s">
        <v>86</v>
      </c>
      <c r="M880" s="172" t="s">
        <v>76</v>
      </c>
    </row>
    <row r="881" spans="1:13" x14ac:dyDescent="0.2">
      <c r="A881" s="172" t="s">
        <v>83</v>
      </c>
      <c r="B881" s="172" t="s">
        <v>84</v>
      </c>
      <c r="C881" s="172" t="s">
        <v>21</v>
      </c>
      <c r="D881" s="172" t="s">
        <v>15</v>
      </c>
      <c r="E881" s="173">
        <v>42940</v>
      </c>
      <c r="F881" s="174">
        <v>8.7693431999999998</v>
      </c>
      <c r="G881" s="175" t="s">
        <v>19</v>
      </c>
      <c r="H881" s="172" t="s">
        <v>20</v>
      </c>
      <c r="I881" s="175">
        <v>1</v>
      </c>
      <c r="J881" s="175" t="s">
        <v>18</v>
      </c>
      <c r="K881" s="175" t="s">
        <v>85</v>
      </c>
      <c r="L881" s="172" t="s">
        <v>86</v>
      </c>
      <c r="M881" s="172" t="s">
        <v>76</v>
      </c>
    </row>
    <row r="882" spans="1:13" x14ac:dyDescent="0.2">
      <c r="A882" s="172" t="s">
        <v>83</v>
      </c>
      <c r="B882" s="172" t="s">
        <v>84</v>
      </c>
      <c r="C882" s="172" t="s">
        <v>21</v>
      </c>
      <c r="D882" s="172" t="s">
        <v>15</v>
      </c>
      <c r="E882" s="173">
        <v>42935</v>
      </c>
      <c r="F882" s="174">
        <v>3.73</v>
      </c>
      <c r="G882" s="175" t="s">
        <v>16</v>
      </c>
      <c r="H882" s="172" t="s">
        <v>17</v>
      </c>
      <c r="I882" s="175">
        <v>1</v>
      </c>
      <c r="J882" s="175" t="s">
        <v>18</v>
      </c>
      <c r="K882" s="175" t="s">
        <v>85</v>
      </c>
      <c r="L882" s="172" t="s">
        <v>86</v>
      </c>
      <c r="M882" s="172" t="s">
        <v>17</v>
      </c>
    </row>
    <row r="883" spans="1:13" x14ac:dyDescent="0.2">
      <c r="A883" s="172" t="s">
        <v>83</v>
      </c>
      <c r="B883" s="172" t="s">
        <v>84</v>
      </c>
      <c r="C883" s="172" t="s">
        <v>21</v>
      </c>
      <c r="D883" s="172" t="s">
        <v>15</v>
      </c>
      <c r="E883" s="173">
        <v>42935</v>
      </c>
      <c r="F883" s="174">
        <v>12.349955400000001</v>
      </c>
      <c r="G883" s="175" t="s">
        <v>19</v>
      </c>
      <c r="H883" s="172" t="s">
        <v>17</v>
      </c>
      <c r="I883" s="175">
        <v>1</v>
      </c>
      <c r="J883" s="175" t="s">
        <v>18</v>
      </c>
      <c r="K883" s="175" t="s">
        <v>85</v>
      </c>
      <c r="L883" s="172" t="s">
        <v>86</v>
      </c>
      <c r="M883" s="172" t="s">
        <v>17</v>
      </c>
    </row>
    <row r="884" spans="1:13" x14ac:dyDescent="0.2">
      <c r="A884" s="172" t="s">
        <v>83</v>
      </c>
      <c r="B884" s="172" t="s">
        <v>84</v>
      </c>
      <c r="C884" s="172" t="s">
        <v>21</v>
      </c>
      <c r="D884" s="172" t="s">
        <v>15</v>
      </c>
      <c r="E884" s="173">
        <v>42935</v>
      </c>
      <c r="F884" s="174">
        <v>2.92</v>
      </c>
      <c r="G884" s="175" t="s">
        <v>16</v>
      </c>
      <c r="H884" s="172" t="s">
        <v>20</v>
      </c>
      <c r="I884" s="175">
        <v>1</v>
      </c>
      <c r="J884" s="175" t="s">
        <v>18</v>
      </c>
      <c r="K884" s="175" t="s">
        <v>85</v>
      </c>
      <c r="L884" s="172" t="s">
        <v>86</v>
      </c>
      <c r="M884" s="172" t="s">
        <v>76</v>
      </c>
    </row>
    <row r="885" spans="1:13" x14ac:dyDescent="0.2">
      <c r="A885" s="172" t="s">
        <v>83</v>
      </c>
      <c r="B885" s="172" t="s">
        <v>84</v>
      </c>
      <c r="C885" s="172" t="s">
        <v>21</v>
      </c>
      <c r="D885" s="172" t="s">
        <v>15</v>
      </c>
      <c r="E885" s="173">
        <v>42935</v>
      </c>
      <c r="F885" s="174">
        <v>9.6680615999999997</v>
      </c>
      <c r="G885" s="175" t="s">
        <v>19</v>
      </c>
      <c r="H885" s="172" t="s">
        <v>20</v>
      </c>
      <c r="I885" s="175">
        <v>1</v>
      </c>
      <c r="J885" s="175" t="s">
        <v>18</v>
      </c>
      <c r="K885" s="175" t="s">
        <v>85</v>
      </c>
      <c r="L885" s="172" t="s">
        <v>86</v>
      </c>
      <c r="M885" s="172" t="s">
        <v>76</v>
      </c>
    </row>
    <row r="886" spans="1:13" x14ac:dyDescent="0.2">
      <c r="A886" s="172" t="s">
        <v>83</v>
      </c>
      <c r="B886" s="172" t="s">
        <v>84</v>
      </c>
      <c r="C886" s="172" t="s">
        <v>21</v>
      </c>
      <c r="D886" s="172" t="s">
        <v>15</v>
      </c>
      <c r="E886" s="173">
        <v>42928</v>
      </c>
      <c r="F886" s="174">
        <v>3.9</v>
      </c>
      <c r="G886" s="175" t="s">
        <v>16</v>
      </c>
      <c r="H886" s="172" t="s">
        <v>17</v>
      </c>
      <c r="I886" s="175">
        <v>1</v>
      </c>
      <c r="J886" s="175" t="s">
        <v>18</v>
      </c>
      <c r="K886" s="175" t="s">
        <v>85</v>
      </c>
      <c r="L886" s="172" t="s">
        <v>86</v>
      </c>
      <c r="M886" s="172" t="s">
        <v>17</v>
      </c>
    </row>
    <row r="887" spans="1:13" x14ac:dyDescent="0.2">
      <c r="A887" s="172" t="s">
        <v>83</v>
      </c>
      <c r="B887" s="172" t="s">
        <v>84</v>
      </c>
      <c r="C887" s="172" t="s">
        <v>21</v>
      </c>
      <c r="D887" s="172" t="s">
        <v>15</v>
      </c>
      <c r="E887" s="173">
        <v>42928</v>
      </c>
      <c r="F887" s="174">
        <v>13.758497999999999</v>
      </c>
      <c r="G887" s="175" t="s">
        <v>19</v>
      </c>
      <c r="H887" s="172" t="s">
        <v>17</v>
      </c>
      <c r="I887" s="175">
        <v>1</v>
      </c>
      <c r="J887" s="175" t="s">
        <v>18</v>
      </c>
      <c r="K887" s="175" t="s">
        <v>85</v>
      </c>
      <c r="L887" s="172" t="s">
        <v>86</v>
      </c>
      <c r="M887" s="172" t="s">
        <v>17</v>
      </c>
    </row>
    <row r="888" spans="1:13" x14ac:dyDescent="0.2">
      <c r="A888" s="172" t="s">
        <v>83</v>
      </c>
      <c r="B888" s="172" t="s">
        <v>84</v>
      </c>
      <c r="C888" s="172" t="s">
        <v>21</v>
      </c>
      <c r="D888" s="172" t="s">
        <v>15</v>
      </c>
      <c r="E888" s="173">
        <v>42928</v>
      </c>
      <c r="F888" s="174">
        <v>2.9</v>
      </c>
      <c r="G888" s="175" t="s">
        <v>16</v>
      </c>
      <c r="H888" s="172" t="s">
        <v>20</v>
      </c>
      <c r="I888" s="175">
        <v>1</v>
      </c>
      <c r="J888" s="175" t="s">
        <v>18</v>
      </c>
      <c r="K888" s="175" t="s">
        <v>85</v>
      </c>
      <c r="L888" s="172" t="s">
        <v>86</v>
      </c>
      <c r="M888" s="172" t="s">
        <v>76</v>
      </c>
    </row>
    <row r="889" spans="1:13" x14ac:dyDescent="0.2">
      <c r="A889" s="172" t="s">
        <v>83</v>
      </c>
      <c r="B889" s="172" t="s">
        <v>84</v>
      </c>
      <c r="C889" s="172" t="s">
        <v>21</v>
      </c>
      <c r="D889" s="172" t="s">
        <v>15</v>
      </c>
      <c r="E889" s="173">
        <v>42928</v>
      </c>
      <c r="F889" s="174">
        <v>10.230677999999999</v>
      </c>
      <c r="G889" s="175" t="s">
        <v>19</v>
      </c>
      <c r="H889" s="172" t="s">
        <v>20</v>
      </c>
      <c r="I889" s="175">
        <v>1</v>
      </c>
      <c r="J889" s="175" t="s">
        <v>18</v>
      </c>
      <c r="K889" s="175" t="s">
        <v>85</v>
      </c>
      <c r="L889" s="172" t="s">
        <v>86</v>
      </c>
      <c r="M889" s="172" t="s">
        <v>76</v>
      </c>
    </row>
    <row r="890" spans="1:13" x14ac:dyDescent="0.2">
      <c r="A890" s="172" t="s">
        <v>83</v>
      </c>
      <c r="B890" s="172" t="s">
        <v>84</v>
      </c>
      <c r="C890" s="172" t="s">
        <v>21</v>
      </c>
      <c r="D890" s="172" t="s">
        <v>15</v>
      </c>
      <c r="E890" s="173">
        <v>42921</v>
      </c>
      <c r="F890" s="174">
        <v>1.83</v>
      </c>
      <c r="G890" s="175" t="s">
        <v>16</v>
      </c>
      <c r="H890" s="172" t="s">
        <v>17</v>
      </c>
      <c r="I890" s="175">
        <v>1</v>
      </c>
      <c r="J890" s="175" t="s">
        <v>18</v>
      </c>
      <c r="K890" s="175" t="s">
        <v>85</v>
      </c>
      <c r="L890" s="172" t="s">
        <v>86</v>
      </c>
      <c r="M890" s="172" t="s">
        <v>17</v>
      </c>
    </row>
    <row r="891" spans="1:13" x14ac:dyDescent="0.2">
      <c r="A891" s="172" t="s">
        <v>83</v>
      </c>
      <c r="B891" s="172" t="s">
        <v>84</v>
      </c>
      <c r="C891" s="172" t="s">
        <v>21</v>
      </c>
      <c r="D891" s="172" t="s">
        <v>15</v>
      </c>
      <c r="E891" s="173">
        <v>42921</v>
      </c>
      <c r="F891" s="174">
        <v>8.6078808000000002</v>
      </c>
      <c r="G891" s="175" t="s">
        <v>19</v>
      </c>
      <c r="H891" s="172" t="s">
        <v>17</v>
      </c>
      <c r="I891" s="175">
        <v>1</v>
      </c>
      <c r="J891" s="175" t="s">
        <v>18</v>
      </c>
      <c r="K891" s="175" t="s">
        <v>85</v>
      </c>
      <c r="L891" s="172" t="s">
        <v>86</v>
      </c>
      <c r="M891" s="172" t="s">
        <v>17</v>
      </c>
    </row>
    <row r="892" spans="1:13" x14ac:dyDescent="0.2">
      <c r="A892" s="172" t="s">
        <v>83</v>
      </c>
      <c r="B892" s="172" t="s">
        <v>84</v>
      </c>
      <c r="C892" s="172" t="s">
        <v>21</v>
      </c>
      <c r="D892" s="172" t="s">
        <v>15</v>
      </c>
      <c r="E892" s="173">
        <v>42921</v>
      </c>
      <c r="F892" s="174">
        <v>1.74</v>
      </c>
      <c r="G892" s="175" t="s">
        <v>16</v>
      </c>
      <c r="H892" s="172" t="s">
        <v>20</v>
      </c>
      <c r="I892" s="175">
        <v>1</v>
      </c>
      <c r="J892" s="175" t="s">
        <v>18</v>
      </c>
      <c r="K892" s="175" t="s">
        <v>85</v>
      </c>
      <c r="L892" s="172" t="s">
        <v>86</v>
      </c>
      <c r="M892" s="172" t="s">
        <v>76</v>
      </c>
    </row>
    <row r="893" spans="1:13" x14ac:dyDescent="0.2">
      <c r="A893" s="172" t="s">
        <v>83</v>
      </c>
      <c r="B893" s="172" t="s">
        <v>84</v>
      </c>
      <c r="C893" s="172" t="s">
        <v>21</v>
      </c>
      <c r="D893" s="172" t="s">
        <v>15</v>
      </c>
      <c r="E893" s="173">
        <v>42921</v>
      </c>
      <c r="F893" s="174">
        <v>8.1845423999999998</v>
      </c>
      <c r="G893" s="175" t="s">
        <v>19</v>
      </c>
      <c r="H893" s="172" t="s">
        <v>20</v>
      </c>
      <c r="I893" s="175">
        <v>1</v>
      </c>
      <c r="J893" s="175" t="s">
        <v>18</v>
      </c>
      <c r="K893" s="175" t="s">
        <v>85</v>
      </c>
      <c r="L893" s="172" t="s">
        <v>86</v>
      </c>
      <c r="M893" s="172" t="s">
        <v>76</v>
      </c>
    </row>
    <row r="894" spans="1:13" x14ac:dyDescent="0.2">
      <c r="A894" s="172" t="s">
        <v>83</v>
      </c>
      <c r="B894" s="172" t="s">
        <v>84</v>
      </c>
      <c r="C894" s="172" t="s">
        <v>21</v>
      </c>
      <c r="D894" s="172" t="s">
        <v>15</v>
      </c>
      <c r="E894" s="173">
        <v>42912</v>
      </c>
      <c r="F894" s="174">
        <v>3.93</v>
      </c>
      <c r="G894" s="175" t="s">
        <v>16</v>
      </c>
      <c r="H894" s="172" t="s">
        <v>17</v>
      </c>
      <c r="I894" s="175">
        <v>1</v>
      </c>
      <c r="J894" s="175" t="s">
        <v>18</v>
      </c>
      <c r="K894" s="175" t="s">
        <v>85</v>
      </c>
      <c r="L894" s="172" t="s">
        <v>86</v>
      </c>
      <c r="M894" s="172" t="s">
        <v>17</v>
      </c>
    </row>
    <row r="895" spans="1:13" x14ac:dyDescent="0.2">
      <c r="A895" s="172" t="s">
        <v>83</v>
      </c>
      <c r="B895" s="172" t="s">
        <v>84</v>
      </c>
      <c r="C895" s="172" t="s">
        <v>21</v>
      </c>
      <c r="D895" s="172" t="s">
        <v>15</v>
      </c>
      <c r="E895" s="173">
        <v>42912</v>
      </c>
      <c r="F895" s="174">
        <v>15.0114996</v>
      </c>
      <c r="G895" s="175" t="s">
        <v>19</v>
      </c>
      <c r="H895" s="172" t="s">
        <v>17</v>
      </c>
      <c r="I895" s="175">
        <v>1</v>
      </c>
      <c r="J895" s="175" t="s">
        <v>18</v>
      </c>
      <c r="K895" s="175" t="s">
        <v>85</v>
      </c>
      <c r="L895" s="172" t="s">
        <v>86</v>
      </c>
      <c r="M895" s="172" t="s">
        <v>17</v>
      </c>
    </row>
    <row r="896" spans="1:13" x14ac:dyDescent="0.2">
      <c r="A896" s="172" t="s">
        <v>83</v>
      </c>
      <c r="B896" s="172" t="s">
        <v>84</v>
      </c>
      <c r="C896" s="172" t="s">
        <v>21</v>
      </c>
      <c r="D896" s="172" t="s">
        <v>15</v>
      </c>
      <c r="E896" s="173">
        <v>42912</v>
      </c>
      <c r="F896" s="174">
        <v>2.1800000000000002</v>
      </c>
      <c r="G896" s="175" t="s">
        <v>16</v>
      </c>
      <c r="H896" s="172" t="s">
        <v>20</v>
      </c>
      <c r="I896" s="175">
        <v>1</v>
      </c>
      <c r="J896" s="175" t="s">
        <v>18</v>
      </c>
      <c r="K896" s="175" t="s">
        <v>85</v>
      </c>
      <c r="L896" s="172" t="s">
        <v>86</v>
      </c>
      <c r="M896" s="172" t="s">
        <v>76</v>
      </c>
    </row>
    <row r="897" spans="1:13" x14ac:dyDescent="0.2">
      <c r="A897" s="172" t="s">
        <v>83</v>
      </c>
      <c r="B897" s="172" t="s">
        <v>84</v>
      </c>
      <c r="C897" s="172" t="s">
        <v>21</v>
      </c>
      <c r="D897" s="172" t="s">
        <v>15</v>
      </c>
      <c r="E897" s="173">
        <v>42912</v>
      </c>
      <c r="F897" s="174">
        <v>8.3269895999999992</v>
      </c>
      <c r="G897" s="175" t="s">
        <v>19</v>
      </c>
      <c r="H897" s="172" t="s">
        <v>20</v>
      </c>
      <c r="I897" s="175">
        <v>1</v>
      </c>
      <c r="J897" s="175" t="s">
        <v>18</v>
      </c>
      <c r="K897" s="175" t="s">
        <v>85</v>
      </c>
      <c r="L897" s="172" t="s">
        <v>86</v>
      </c>
      <c r="M897" s="172" t="s">
        <v>76</v>
      </c>
    </row>
    <row r="898" spans="1:13" x14ac:dyDescent="0.2">
      <c r="A898" s="172" t="s">
        <v>83</v>
      </c>
      <c r="B898" s="172" t="s">
        <v>84</v>
      </c>
      <c r="C898" s="172" t="s">
        <v>21</v>
      </c>
      <c r="D898" s="172" t="s">
        <v>15</v>
      </c>
      <c r="E898" s="173">
        <v>42907</v>
      </c>
      <c r="F898" s="174">
        <v>2.81</v>
      </c>
      <c r="G898" s="175" t="s">
        <v>16</v>
      </c>
      <c r="H898" s="172" t="s">
        <v>17</v>
      </c>
      <c r="I898" s="175">
        <v>1</v>
      </c>
      <c r="J898" s="175" t="s">
        <v>18</v>
      </c>
      <c r="K898" s="175" t="s">
        <v>85</v>
      </c>
      <c r="L898" s="172" t="s">
        <v>86</v>
      </c>
      <c r="M898" s="172" t="s">
        <v>17</v>
      </c>
    </row>
    <row r="899" spans="1:13" x14ac:dyDescent="0.2">
      <c r="A899" s="172" t="s">
        <v>83</v>
      </c>
      <c r="B899" s="172" t="s">
        <v>84</v>
      </c>
      <c r="C899" s="172" t="s">
        <v>21</v>
      </c>
      <c r="D899" s="172" t="s">
        <v>15</v>
      </c>
      <c r="E899" s="173">
        <v>42907</v>
      </c>
      <c r="F899" s="174">
        <v>11.459910600000001</v>
      </c>
      <c r="G899" s="175" t="s">
        <v>19</v>
      </c>
      <c r="H899" s="172" t="s">
        <v>17</v>
      </c>
      <c r="I899" s="175">
        <v>1</v>
      </c>
      <c r="J899" s="175" t="s">
        <v>18</v>
      </c>
      <c r="K899" s="175" t="s">
        <v>85</v>
      </c>
      <c r="L899" s="172" t="s">
        <v>86</v>
      </c>
      <c r="M899" s="172" t="s">
        <v>17</v>
      </c>
    </row>
    <row r="900" spans="1:13" x14ac:dyDescent="0.2">
      <c r="A900" s="172" t="s">
        <v>83</v>
      </c>
      <c r="B900" s="172" t="s">
        <v>84</v>
      </c>
      <c r="C900" s="172" t="s">
        <v>21</v>
      </c>
      <c r="D900" s="172" t="s">
        <v>15</v>
      </c>
      <c r="E900" s="173">
        <v>42907</v>
      </c>
      <c r="F900" s="174">
        <v>2.3199999999999998</v>
      </c>
      <c r="G900" s="175" t="s">
        <v>16</v>
      </c>
      <c r="H900" s="172" t="s">
        <v>20</v>
      </c>
      <c r="I900" s="175">
        <v>1</v>
      </c>
      <c r="J900" s="175" t="s">
        <v>18</v>
      </c>
      <c r="K900" s="175" t="s">
        <v>85</v>
      </c>
      <c r="L900" s="172" t="s">
        <v>86</v>
      </c>
      <c r="M900" s="172" t="s">
        <v>76</v>
      </c>
    </row>
    <row r="901" spans="1:13" x14ac:dyDescent="0.2">
      <c r="A901" s="172" t="s">
        <v>83</v>
      </c>
      <c r="B901" s="172" t="s">
        <v>84</v>
      </c>
      <c r="C901" s="172" t="s">
        <v>21</v>
      </c>
      <c r="D901" s="172" t="s">
        <v>15</v>
      </c>
      <c r="E901" s="173">
        <v>42907</v>
      </c>
      <c r="F901" s="174">
        <v>9.4615632000000005</v>
      </c>
      <c r="G901" s="175" t="s">
        <v>19</v>
      </c>
      <c r="H901" s="172" t="s">
        <v>20</v>
      </c>
      <c r="I901" s="175">
        <v>1</v>
      </c>
      <c r="J901" s="175" t="s">
        <v>18</v>
      </c>
      <c r="K901" s="175" t="s">
        <v>85</v>
      </c>
      <c r="L901" s="172" t="s">
        <v>86</v>
      </c>
      <c r="M901" s="172" t="s">
        <v>76</v>
      </c>
    </row>
    <row r="902" spans="1:13" x14ac:dyDescent="0.2">
      <c r="A902" s="172" t="s">
        <v>83</v>
      </c>
      <c r="B902" s="172" t="s">
        <v>84</v>
      </c>
      <c r="C902" s="172" t="s">
        <v>21</v>
      </c>
      <c r="D902" s="172" t="s">
        <v>15</v>
      </c>
      <c r="E902" s="173">
        <v>42900</v>
      </c>
      <c r="F902" s="174">
        <v>3.09</v>
      </c>
      <c r="G902" s="175" t="s">
        <v>16</v>
      </c>
      <c r="H902" s="172" t="s">
        <v>17</v>
      </c>
      <c r="I902" s="175">
        <v>1</v>
      </c>
      <c r="J902" s="175" t="s">
        <v>18</v>
      </c>
      <c r="K902" s="175" t="s">
        <v>85</v>
      </c>
      <c r="L902" s="172" t="s">
        <v>86</v>
      </c>
      <c r="M902" s="172" t="s">
        <v>17</v>
      </c>
    </row>
    <row r="903" spans="1:13" x14ac:dyDescent="0.2">
      <c r="A903" s="172" t="s">
        <v>83</v>
      </c>
      <c r="B903" s="172" t="s">
        <v>84</v>
      </c>
      <c r="C903" s="172" t="s">
        <v>21</v>
      </c>
      <c r="D903" s="172" t="s">
        <v>15</v>
      </c>
      <c r="E903" s="173">
        <v>42900</v>
      </c>
      <c r="F903" s="174">
        <v>14.354224200000001</v>
      </c>
      <c r="G903" s="175" t="s">
        <v>19</v>
      </c>
      <c r="H903" s="172" t="s">
        <v>17</v>
      </c>
      <c r="I903" s="175">
        <v>1</v>
      </c>
      <c r="J903" s="175" t="s">
        <v>18</v>
      </c>
      <c r="K903" s="175" t="s">
        <v>85</v>
      </c>
      <c r="L903" s="172" t="s">
        <v>86</v>
      </c>
      <c r="M903" s="172" t="s">
        <v>17</v>
      </c>
    </row>
    <row r="904" spans="1:13" x14ac:dyDescent="0.2">
      <c r="A904" s="172" t="s">
        <v>83</v>
      </c>
      <c r="B904" s="172" t="s">
        <v>84</v>
      </c>
      <c r="C904" s="172" t="s">
        <v>21</v>
      </c>
      <c r="D904" s="172" t="s">
        <v>15</v>
      </c>
      <c r="E904" s="173">
        <v>42900</v>
      </c>
      <c r="F904" s="174">
        <v>2.2200000000000002</v>
      </c>
      <c r="G904" s="175" t="s">
        <v>16</v>
      </c>
      <c r="H904" s="172" t="s">
        <v>20</v>
      </c>
      <c r="I904" s="175">
        <v>1</v>
      </c>
      <c r="J904" s="175" t="s">
        <v>18</v>
      </c>
      <c r="K904" s="175" t="s">
        <v>85</v>
      </c>
      <c r="L904" s="172" t="s">
        <v>86</v>
      </c>
      <c r="M904" s="172" t="s">
        <v>76</v>
      </c>
    </row>
    <row r="905" spans="1:13" x14ac:dyDescent="0.2">
      <c r="A905" s="172" t="s">
        <v>83</v>
      </c>
      <c r="B905" s="172" t="s">
        <v>84</v>
      </c>
      <c r="C905" s="172" t="s">
        <v>21</v>
      </c>
      <c r="D905" s="172" t="s">
        <v>15</v>
      </c>
      <c r="E905" s="173">
        <v>42900</v>
      </c>
      <c r="F905" s="174">
        <v>10.312743599999999</v>
      </c>
      <c r="G905" s="175" t="s">
        <v>19</v>
      </c>
      <c r="H905" s="172" t="s">
        <v>20</v>
      </c>
      <c r="I905" s="175">
        <v>1</v>
      </c>
      <c r="J905" s="175" t="s">
        <v>18</v>
      </c>
      <c r="K905" s="175" t="s">
        <v>85</v>
      </c>
      <c r="L905" s="172" t="s">
        <v>86</v>
      </c>
      <c r="M905" s="172" t="s">
        <v>76</v>
      </c>
    </row>
    <row r="906" spans="1:13" x14ac:dyDescent="0.2">
      <c r="A906" s="172" t="s">
        <v>83</v>
      </c>
      <c r="B906" s="172" t="s">
        <v>84</v>
      </c>
      <c r="C906" s="172" t="s">
        <v>21</v>
      </c>
      <c r="D906" s="172" t="s">
        <v>15</v>
      </c>
      <c r="E906" s="173">
        <v>42893</v>
      </c>
      <c r="F906" s="174">
        <v>3.07</v>
      </c>
      <c r="G906" s="175" t="s">
        <v>16</v>
      </c>
      <c r="H906" s="172" t="s">
        <v>17</v>
      </c>
      <c r="I906" s="175">
        <v>1</v>
      </c>
      <c r="J906" s="175" t="s">
        <v>18</v>
      </c>
      <c r="K906" s="175" t="s">
        <v>85</v>
      </c>
      <c r="L906" s="172" t="s">
        <v>86</v>
      </c>
      <c r="M906" s="172" t="s">
        <v>17</v>
      </c>
    </row>
    <row r="907" spans="1:13" x14ac:dyDescent="0.2">
      <c r="A907" s="172" t="s">
        <v>83</v>
      </c>
      <c r="B907" s="172" t="s">
        <v>84</v>
      </c>
      <c r="C907" s="172" t="s">
        <v>21</v>
      </c>
      <c r="D907" s="172" t="s">
        <v>15</v>
      </c>
      <c r="E907" s="173">
        <v>42893</v>
      </c>
      <c r="F907" s="174">
        <v>15.7207332</v>
      </c>
      <c r="G907" s="175" t="s">
        <v>19</v>
      </c>
      <c r="H907" s="172" t="s">
        <v>17</v>
      </c>
      <c r="I907" s="175">
        <v>1</v>
      </c>
      <c r="J907" s="175" t="s">
        <v>18</v>
      </c>
      <c r="K907" s="175" t="s">
        <v>85</v>
      </c>
      <c r="L907" s="172" t="s">
        <v>86</v>
      </c>
      <c r="M907" s="172" t="s">
        <v>17</v>
      </c>
    </row>
    <row r="908" spans="1:13" x14ac:dyDescent="0.2">
      <c r="A908" s="172" t="s">
        <v>83</v>
      </c>
      <c r="B908" s="172" t="s">
        <v>84</v>
      </c>
      <c r="C908" s="172" t="s">
        <v>21</v>
      </c>
      <c r="D908" s="172" t="s">
        <v>15</v>
      </c>
      <c r="E908" s="173">
        <v>42893</v>
      </c>
      <c r="F908" s="174">
        <v>1.61</v>
      </c>
      <c r="G908" s="175" t="s">
        <v>16</v>
      </c>
      <c r="H908" s="172" t="s">
        <v>20</v>
      </c>
      <c r="I908" s="175">
        <v>1</v>
      </c>
      <c r="J908" s="175" t="s">
        <v>18</v>
      </c>
      <c r="K908" s="175" t="s">
        <v>85</v>
      </c>
      <c r="L908" s="172" t="s">
        <v>86</v>
      </c>
      <c r="M908" s="172" t="s">
        <v>76</v>
      </c>
    </row>
    <row r="909" spans="1:13" x14ac:dyDescent="0.2">
      <c r="A909" s="172" t="s">
        <v>83</v>
      </c>
      <c r="B909" s="172" t="s">
        <v>84</v>
      </c>
      <c r="C909" s="172" t="s">
        <v>21</v>
      </c>
      <c r="D909" s="172" t="s">
        <v>15</v>
      </c>
      <c r="E909" s="173">
        <v>42893</v>
      </c>
      <c r="F909" s="174">
        <v>8.2444235999999993</v>
      </c>
      <c r="G909" s="175" t="s">
        <v>19</v>
      </c>
      <c r="H909" s="172" t="s">
        <v>20</v>
      </c>
      <c r="I909" s="175">
        <v>1</v>
      </c>
      <c r="J909" s="175" t="s">
        <v>18</v>
      </c>
      <c r="K909" s="175" t="s">
        <v>85</v>
      </c>
      <c r="L909" s="172" t="s">
        <v>86</v>
      </c>
      <c r="M909" s="172" t="s">
        <v>76</v>
      </c>
    </row>
    <row r="910" spans="1:13" x14ac:dyDescent="0.2">
      <c r="A910" s="172" t="s">
        <v>83</v>
      </c>
      <c r="B910" s="172" t="s">
        <v>84</v>
      </c>
      <c r="C910" s="172" t="s">
        <v>21</v>
      </c>
      <c r="D910" s="172" t="s">
        <v>15</v>
      </c>
      <c r="E910" s="173">
        <v>42878</v>
      </c>
      <c r="F910" s="174">
        <v>1.19</v>
      </c>
      <c r="G910" s="175" t="s">
        <v>16</v>
      </c>
      <c r="H910" s="172" t="s">
        <v>17</v>
      </c>
      <c r="I910" s="175">
        <v>1</v>
      </c>
      <c r="J910" s="175" t="s">
        <v>18</v>
      </c>
      <c r="K910" s="175" t="s">
        <v>85</v>
      </c>
      <c r="L910" s="172" t="s">
        <v>86</v>
      </c>
      <c r="M910" s="172" t="s">
        <v>17</v>
      </c>
    </row>
    <row r="911" spans="1:13" x14ac:dyDescent="0.2">
      <c r="A911" s="172" t="s">
        <v>83</v>
      </c>
      <c r="B911" s="172" t="s">
        <v>84</v>
      </c>
      <c r="C911" s="172" t="s">
        <v>21</v>
      </c>
      <c r="D911" s="172" t="s">
        <v>15</v>
      </c>
      <c r="E911" s="173">
        <v>42878</v>
      </c>
      <c r="F911" s="174">
        <v>8.7534972</v>
      </c>
      <c r="G911" s="175" t="s">
        <v>19</v>
      </c>
      <c r="H911" s="172" t="s">
        <v>17</v>
      </c>
      <c r="I911" s="175">
        <v>1</v>
      </c>
      <c r="J911" s="175" t="s">
        <v>18</v>
      </c>
      <c r="K911" s="175" t="s">
        <v>85</v>
      </c>
      <c r="L911" s="172" t="s">
        <v>86</v>
      </c>
      <c r="M911" s="172" t="s">
        <v>17</v>
      </c>
    </row>
    <row r="912" spans="1:13" x14ac:dyDescent="0.2">
      <c r="A912" s="172" t="s">
        <v>83</v>
      </c>
      <c r="B912" s="172" t="s">
        <v>84</v>
      </c>
      <c r="C912" s="172" t="s">
        <v>21</v>
      </c>
      <c r="D912" s="172" t="s">
        <v>15</v>
      </c>
      <c r="E912" s="173">
        <v>42878</v>
      </c>
      <c r="F912" s="174">
        <v>1.1399999999999999</v>
      </c>
      <c r="G912" s="175" t="s">
        <v>16</v>
      </c>
      <c r="H912" s="172" t="s">
        <v>20</v>
      </c>
      <c r="I912" s="175">
        <v>1</v>
      </c>
      <c r="J912" s="175" t="s">
        <v>18</v>
      </c>
      <c r="K912" s="175" t="s">
        <v>85</v>
      </c>
      <c r="L912" s="172" t="s">
        <v>86</v>
      </c>
      <c r="M912" s="172" t="s">
        <v>76</v>
      </c>
    </row>
    <row r="913" spans="1:13" x14ac:dyDescent="0.2">
      <c r="A913" s="172" t="s">
        <v>83</v>
      </c>
      <c r="B913" s="172" t="s">
        <v>84</v>
      </c>
      <c r="C913" s="172" t="s">
        <v>21</v>
      </c>
      <c r="D913" s="172" t="s">
        <v>15</v>
      </c>
      <c r="E913" s="173">
        <v>42878</v>
      </c>
      <c r="F913" s="174">
        <v>8.3857032</v>
      </c>
      <c r="G913" s="175" t="s">
        <v>19</v>
      </c>
      <c r="H913" s="172" t="s">
        <v>20</v>
      </c>
      <c r="I913" s="175">
        <v>1</v>
      </c>
      <c r="J913" s="175" t="s">
        <v>18</v>
      </c>
      <c r="K913" s="175" t="s">
        <v>85</v>
      </c>
      <c r="L913" s="172" t="s">
        <v>86</v>
      </c>
      <c r="M913" s="172" t="s">
        <v>76</v>
      </c>
    </row>
    <row r="914" spans="1:13" x14ac:dyDescent="0.2">
      <c r="A914" s="172" t="s">
        <v>83</v>
      </c>
      <c r="B914" s="172" t="s">
        <v>84</v>
      </c>
      <c r="C914" s="172" t="s">
        <v>21</v>
      </c>
      <c r="D914" s="172" t="s">
        <v>15</v>
      </c>
      <c r="E914" s="173">
        <v>42872</v>
      </c>
      <c r="F914" s="174">
        <v>2.14</v>
      </c>
      <c r="G914" s="175" t="s">
        <v>16</v>
      </c>
      <c r="H914" s="172" t="s">
        <v>17</v>
      </c>
      <c r="I914" s="175">
        <v>1</v>
      </c>
      <c r="J914" s="175" t="s">
        <v>18</v>
      </c>
      <c r="K914" s="175" t="s">
        <v>85</v>
      </c>
      <c r="L914" s="172" t="s">
        <v>86</v>
      </c>
      <c r="M914" s="172" t="s">
        <v>17</v>
      </c>
    </row>
    <row r="915" spans="1:13" x14ac:dyDescent="0.2">
      <c r="A915" s="172" t="s">
        <v>83</v>
      </c>
      <c r="B915" s="172" t="s">
        <v>84</v>
      </c>
      <c r="C915" s="172" t="s">
        <v>21</v>
      </c>
      <c r="D915" s="172" t="s">
        <v>15</v>
      </c>
      <c r="E915" s="173">
        <v>42872</v>
      </c>
      <c r="F915" s="174">
        <v>14.6885748</v>
      </c>
      <c r="G915" s="175" t="s">
        <v>19</v>
      </c>
      <c r="H915" s="172" t="s">
        <v>17</v>
      </c>
      <c r="I915" s="175">
        <v>1</v>
      </c>
      <c r="J915" s="175" t="s">
        <v>18</v>
      </c>
      <c r="K915" s="175" t="s">
        <v>85</v>
      </c>
      <c r="L915" s="172" t="s">
        <v>86</v>
      </c>
      <c r="M915" s="172" t="s">
        <v>17</v>
      </c>
    </row>
    <row r="916" spans="1:13" x14ac:dyDescent="0.2">
      <c r="A916" s="172" t="s">
        <v>83</v>
      </c>
      <c r="B916" s="172" t="s">
        <v>84</v>
      </c>
      <c r="C916" s="172" t="s">
        <v>21</v>
      </c>
      <c r="D916" s="172" t="s">
        <v>15</v>
      </c>
      <c r="E916" s="173">
        <v>42872</v>
      </c>
      <c r="F916" s="174">
        <v>1.42</v>
      </c>
      <c r="G916" s="175" t="s">
        <v>16</v>
      </c>
      <c r="H916" s="172" t="s">
        <v>20</v>
      </c>
      <c r="I916" s="175">
        <v>1</v>
      </c>
      <c r="J916" s="175" t="s">
        <v>18</v>
      </c>
      <c r="K916" s="175" t="s">
        <v>85</v>
      </c>
      <c r="L916" s="172" t="s">
        <v>86</v>
      </c>
      <c r="M916" s="172" t="s">
        <v>76</v>
      </c>
    </row>
    <row r="917" spans="1:13" x14ac:dyDescent="0.2">
      <c r="A917" s="172" t="s">
        <v>83</v>
      </c>
      <c r="B917" s="172" t="s">
        <v>84</v>
      </c>
      <c r="C917" s="172" t="s">
        <v>21</v>
      </c>
      <c r="D917" s="172" t="s">
        <v>15</v>
      </c>
      <c r="E917" s="173">
        <v>42872</v>
      </c>
      <c r="F917" s="174">
        <v>9.7466244</v>
      </c>
      <c r="G917" s="175" t="s">
        <v>19</v>
      </c>
      <c r="H917" s="172" t="s">
        <v>20</v>
      </c>
      <c r="I917" s="175">
        <v>1</v>
      </c>
      <c r="J917" s="175" t="s">
        <v>18</v>
      </c>
      <c r="K917" s="175" t="s">
        <v>85</v>
      </c>
      <c r="L917" s="172" t="s">
        <v>86</v>
      </c>
      <c r="M917" s="172" t="s">
        <v>76</v>
      </c>
    </row>
    <row r="918" spans="1:13" x14ac:dyDescent="0.2">
      <c r="A918" s="172" t="s">
        <v>83</v>
      </c>
      <c r="B918" s="172" t="s">
        <v>84</v>
      </c>
      <c r="C918" s="172" t="s">
        <v>21</v>
      </c>
      <c r="D918" s="172" t="s">
        <v>15</v>
      </c>
      <c r="E918" s="173">
        <v>42865</v>
      </c>
      <c r="F918" s="174">
        <v>1.51</v>
      </c>
      <c r="G918" s="175" t="s">
        <v>16</v>
      </c>
      <c r="H918" s="172" t="s">
        <v>17</v>
      </c>
      <c r="I918" s="175">
        <v>1</v>
      </c>
      <c r="J918" s="175" t="s">
        <v>18</v>
      </c>
      <c r="K918" s="175" t="s">
        <v>85</v>
      </c>
      <c r="L918" s="172" t="s">
        <v>86</v>
      </c>
      <c r="M918" s="172" t="s">
        <v>17</v>
      </c>
    </row>
    <row r="919" spans="1:13" x14ac:dyDescent="0.2">
      <c r="A919" s="172" t="s">
        <v>83</v>
      </c>
      <c r="B919" s="172" t="s">
        <v>84</v>
      </c>
      <c r="C919" s="172" t="s">
        <v>21</v>
      </c>
      <c r="D919" s="172" t="s">
        <v>15</v>
      </c>
      <c r="E919" s="173">
        <v>42865</v>
      </c>
      <c r="F919" s="174">
        <v>10.603642799999999</v>
      </c>
      <c r="G919" s="175" t="s">
        <v>19</v>
      </c>
      <c r="H919" s="172" t="s">
        <v>17</v>
      </c>
      <c r="I919" s="175">
        <v>1</v>
      </c>
      <c r="J919" s="175" t="s">
        <v>18</v>
      </c>
      <c r="K919" s="175" t="s">
        <v>85</v>
      </c>
      <c r="L919" s="172" t="s">
        <v>86</v>
      </c>
      <c r="M919" s="172" t="s">
        <v>17</v>
      </c>
    </row>
    <row r="920" spans="1:13" x14ac:dyDescent="0.2">
      <c r="A920" s="172" t="s">
        <v>83</v>
      </c>
      <c r="B920" s="172" t="s">
        <v>84</v>
      </c>
      <c r="C920" s="172" t="s">
        <v>21</v>
      </c>
      <c r="D920" s="172" t="s">
        <v>15</v>
      </c>
      <c r="E920" s="173">
        <v>42865</v>
      </c>
      <c r="F920" s="174">
        <v>1.1200000000000001</v>
      </c>
      <c r="G920" s="175" t="s">
        <v>16</v>
      </c>
      <c r="H920" s="172" t="s">
        <v>20</v>
      </c>
      <c r="I920" s="175">
        <v>1</v>
      </c>
      <c r="J920" s="175" t="s">
        <v>18</v>
      </c>
      <c r="K920" s="175" t="s">
        <v>85</v>
      </c>
      <c r="L920" s="172" t="s">
        <v>86</v>
      </c>
      <c r="M920" s="172" t="s">
        <v>76</v>
      </c>
    </row>
    <row r="921" spans="1:13" x14ac:dyDescent="0.2">
      <c r="A921" s="172" t="s">
        <v>83</v>
      </c>
      <c r="B921" s="172" t="s">
        <v>84</v>
      </c>
      <c r="C921" s="172" t="s">
        <v>21</v>
      </c>
      <c r="D921" s="172" t="s">
        <v>15</v>
      </c>
      <c r="E921" s="173">
        <v>42865</v>
      </c>
      <c r="F921" s="174">
        <v>7.8649535999999998</v>
      </c>
      <c r="G921" s="175" t="s">
        <v>19</v>
      </c>
      <c r="H921" s="172" t="s">
        <v>20</v>
      </c>
      <c r="I921" s="175">
        <v>1</v>
      </c>
      <c r="J921" s="175" t="s">
        <v>18</v>
      </c>
      <c r="K921" s="175" t="s">
        <v>85</v>
      </c>
      <c r="L921" s="172" t="s">
        <v>86</v>
      </c>
      <c r="M921" s="172" t="s">
        <v>76</v>
      </c>
    </row>
    <row r="922" spans="1:13" x14ac:dyDescent="0.2">
      <c r="A922" s="172" t="s">
        <v>83</v>
      </c>
      <c r="B922" s="172" t="s">
        <v>84</v>
      </c>
      <c r="C922" s="172" t="s">
        <v>21</v>
      </c>
      <c r="D922" s="172" t="s">
        <v>15</v>
      </c>
      <c r="E922" s="173">
        <v>42858</v>
      </c>
      <c r="F922" s="174">
        <v>0.99099999999999999</v>
      </c>
      <c r="G922" s="175" t="s">
        <v>16</v>
      </c>
      <c r="H922" s="172" t="s">
        <v>17</v>
      </c>
      <c r="I922" s="175">
        <v>1</v>
      </c>
      <c r="J922" s="175" t="s">
        <v>18</v>
      </c>
      <c r="K922" s="175" t="s">
        <v>85</v>
      </c>
      <c r="L922" s="172" t="s">
        <v>86</v>
      </c>
      <c r="M922" s="172" t="s">
        <v>17</v>
      </c>
    </row>
    <row r="923" spans="1:13" x14ac:dyDescent="0.2">
      <c r="A923" s="172" t="s">
        <v>83</v>
      </c>
      <c r="B923" s="172" t="s">
        <v>84</v>
      </c>
      <c r="C923" s="172" t="s">
        <v>21</v>
      </c>
      <c r="D923" s="172" t="s">
        <v>15</v>
      </c>
      <c r="E923" s="173">
        <v>42858</v>
      </c>
      <c r="F923" s="174">
        <v>9.0914339999999996</v>
      </c>
      <c r="G923" s="175" t="s">
        <v>19</v>
      </c>
      <c r="H923" s="172" t="s">
        <v>17</v>
      </c>
      <c r="I923" s="175">
        <v>1</v>
      </c>
      <c r="J923" s="175" t="s">
        <v>18</v>
      </c>
      <c r="K923" s="175" t="s">
        <v>85</v>
      </c>
      <c r="L923" s="172" t="s">
        <v>86</v>
      </c>
      <c r="M923" s="172" t="s">
        <v>17</v>
      </c>
    </row>
    <row r="924" spans="1:13" x14ac:dyDescent="0.2">
      <c r="A924" s="172" t="s">
        <v>83</v>
      </c>
      <c r="B924" s="172" t="s">
        <v>84</v>
      </c>
      <c r="C924" s="172" t="s">
        <v>21</v>
      </c>
      <c r="D924" s="172" t="s">
        <v>15</v>
      </c>
      <c r="E924" s="173">
        <v>42858</v>
      </c>
      <c r="F924" s="174">
        <v>0.92100000000000004</v>
      </c>
      <c r="G924" s="175" t="s">
        <v>16</v>
      </c>
      <c r="H924" s="172" t="s">
        <v>20</v>
      </c>
      <c r="I924" s="175">
        <v>1</v>
      </c>
      <c r="J924" s="175" t="s">
        <v>18</v>
      </c>
      <c r="K924" s="175" t="s">
        <v>85</v>
      </c>
      <c r="L924" s="172" t="s">
        <v>86</v>
      </c>
      <c r="M924" s="172" t="s">
        <v>76</v>
      </c>
    </row>
    <row r="925" spans="1:13" x14ac:dyDescent="0.2">
      <c r="A925" s="172" t="s">
        <v>83</v>
      </c>
      <c r="B925" s="172" t="s">
        <v>84</v>
      </c>
      <c r="C925" s="172" t="s">
        <v>21</v>
      </c>
      <c r="D925" s="172" t="s">
        <v>15</v>
      </c>
      <c r="E925" s="173">
        <v>42858</v>
      </c>
      <c r="F925" s="174">
        <v>8.4492539999999998</v>
      </c>
      <c r="G925" s="175" t="s">
        <v>19</v>
      </c>
      <c r="H925" s="172" t="s">
        <v>20</v>
      </c>
      <c r="I925" s="175">
        <v>1</v>
      </c>
      <c r="J925" s="175" t="s">
        <v>18</v>
      </c>
      <c r="K925" s="175" t="s">
        <v>85</v>
      </c>
      <c r="L925" s="172" t="s">
        <v>86</v>
      </c>
      <c r="M925" s="172" t="s">
        <v>76</v>
      </c>
    </row>
    <row r="926" spans="1:13" x14ac:dyDescent="0.2">
      <c r="A926" s="172" t="s">
        <v>83</v>
      </c>
      <c r="B926" s="172" t="s">
        <v>84</v>
      </c>
      <c r="C926" s="172" t="s">
        <v>21</v>
      </c>
      <c r="D926" s="172" t="s">
        <v>15</v>
      </c>
      <c r="E926" s="173">
        <v>42852</v>
      </c>
      <c r="F926" s="174">
        <v>0.84</v>
      </c>
      <c r="G926" s="175" t="s">
        <v>16</v>
      </c>
      <c r="H926" s="172" t="s">
        <v>17</v>
      </c>
      <c r="I926" s="175">
        <v>1</v>
      </c>
      <c r="J926" s="175" t="s">
        <v>18</v>
      </c>
      <c r="K926" s="175" t="s">
        <v>85</v>
      </c>
      <c r="L926" s="172" t="s">
        <v>86</v>
      </c>
    </row>
    <row r="927" spans="1:13" x14ac:dyDescent="0.2">
      <c r="A927" s="172" t="s">
        <v>83</v>
      </c>
      <c r="B927" s="172" t="s">
        <v>84</v>
      </c>
      <c r="C927" s="172" t="s">
        <v>21</v>
      </c>
      <c r="D927" s="172" t="s">
        <v>15</v>
      </c>
      <c r="E927" s="173">
        <v>42852</v>
      </c>
      <c r="F927" s="174">
        <v>5.6745359999999998</v>
      </c>
      <c r="G927" s="175" t="s">
        <v>19</v>
      </c>
      <c r="H927" s="172" t="s">
        <v>17</v>
      </c>
      <c r="I927" s="175">
        <v>1</v>
      </c>
      <c r="J927" s="175" t="s">
        <v>18</v>
      </c>
      <c r="K927" s="175" t="s">
        <v>85</v>
      </c>
      <c r="L927" s="172" t="s">
        <v>86</v>
      </c>
    </row>
    <row r="928" spans="1:13" x14ac:dyDescent="0.2">
      <c r="A928" s="172" t="s">
        <v>83</v>
      </c>
      <c r="B928" s="172" t="s">
        <v>84</v>
      </c>
      <c r="C928" s="172" t="s">
        <v>21</v>
      </c>
      <c r="D928" s="172" t="s">
        <v>15</v>
      </c>
      <c r="E928" s="173">
        <v>42852</v>
      </c>
      <c r="F928" s="174">
        <v>1.03</v>
      </c>
      <c r="G928" s="175" t="s">
        <v>16</v>
      </c>
      <c r="H928" s="172" t="s">
        <v>20</v>
      </c>
      <c r="I928" s="175">
        <v>1</v>
      </c>
      <c r="J928" s="175" t="s">
        <v>18</v>
      </c>
      <c r="K928" s="175" t="s">
        <v>85</v>
      </c>
      <c r="L928" s="172" t="s">
        <v>86</v>
      </c>
    </row>
    <row r="929" spans="1:12" x14ac:dyDescent="0.2">
      <c r="A929" s="172" t="s">
        <v>83</v>
      </c>
      <c r="B929" s="172" t="s">
        <v>84</v>
      </c>
      <c r="C929" s="172" t="s">
        <v>21</v>
      </c>
      <c r="D929" s="172" t="s">
        <v>15</v>
      </c>
      <c r="E929" s="173">
        <v>42852</v>
      </c>
      <c r="F929" s="174">
        <v>6.958062</v>
      </c>
      <c r="G929" s="175" t="s">
        <v>19</v>
      </c>
      <c r="H929" s="172" t="s">
        <v>20</v>
      </c>
      <c r="I929" s="175">
        <v>1</v>
      </c>
      <c r="J929" s="175" t="s">
        <v>18</v>
      </c>
      <c r="K929" s="175" t="s">
        <v>85</v>
      </c>
      <c r="L929" s="172" t="s">
        <v>86</v>
      </c>
    </row>
    <row r="930" spans="1:12" x14ac:dyDescent="0.2">
      <c r="A930" s="172" t="s">
        <v>83</v>
      </c>
      <c r="B930" s="172" t="s">
        <v>84</v>
      </c>
      <c r="C930" s="172" t="s">
        <v>21</v>
      </c>
      <c r="D930" s="172" t="s">
        <v>15</v>
      </c>
      <c r="E930" s="173">
        <v>42843</v>
      </c>
      <c r="F930" s="174">
        <v>0.79500000000000004</v>
      </c>
      <c r="G930" s="175" t="s">
        <v>16</v>
      </c>
      <c r="H930" s="172" t="s">
        <v>17</v>
      </c>
      <c r="I930" s="175">
        <v>1</v>
      </c>
      <c r="J930" s="175" t="s">
        <v>18</v>
      </c>
      <c r="K930" s="175" t="s">
        <v>85</v>
      </c>
      <c r="L930" s="172" t="s">
        <v>86</v>
      </c>
    </row>
    <row r="931" spans="1:12" x14ac:dyDescent="0.2">
      <c r="A931" s="172" t="s">
        <v>83</v>
      </c>
      <c r="B931" s="172" t="s">
        <v>84</v>
      </c>
      <c r="C931" s="172" t="s">
        <v>21</v>
      </c>
      <c r="D931" s="172" t="s">
        <v>15</v>
      </c>
      <c r="E931" s="173">
        <v>42843</v>
      </c>
      <c r="F931" s="174">
        <v>6.9618149999999996</v>
      </c>
      <c r="G931" s="175" t="s">
        <v>19</v>
      </c>
      <c r="H931" s="172" t="s">
        <v>17</v>
      </c>
      <c r="I931" s="175">
        <v>1</v>
      </c>
      <c r="J931" s="175" t="s">
        <v>18</v>
      </c>
      <c r="K931" s="175" t="s">
        <v>85</v>
      </c>
      <c r="L931" s="172" t="s">
        <v>86</v>
      </c>
    </row>
    <row r="932" spans="1:12" x14ac:dyDescent="0.2">
      <c r="A932" s="172" t="s">
        <v>83</v>
      </c>
      <c r="B932" s="172" t="s">
        <v>84</v>
      </c>
      <c r="C932" s="172" t="s">
        <v>21</v>
      </c>
      <c r="D932" s="172" t="s">
        <v>15</v>
      </c>
      <c r="E932" s="173">
        <v>42843</v>
      </c>
      <c r="F932" s="174">
        <v>0.69799999999999995</v>
      </c>
      <c r="G932" s="175" t="s">
        <v>16</v>
      </c>
      <c r="H932" s="172" t="s">
        <v>20</v>
      </c>
      <c r="I932" s="175">
        <v>1</v>
      </c>
      <c r="J932" s="175" t="s">
        <v>18</v>
      </c>
      <c r="K932" s="175" t="s">
        <v>85</v>
      </c>
      <c r="L932" s="172" t="s">
        <v>86</v>
      </c>
    </row>
    <row r="933" spans="1:12" x14ac:dyDescent="0.2">
      <c r="A933" s="172" t="s">
        <v>83</v>
      </c>
      <c r="B933" s="172" t="s">
        <v>84</v>
      </c>
      <c r="C933" s="172" t="s">
        <v>21</v>
      </c>
      <c r="D933" s="172" t="s">
        <v>15</v>
      </c>
      <c r="E933" s="173">
        <v>42843</v>
      </c>
      <c r="F933" s="174">
        <v>6.1123859999999999</v>
      </c>
      <c r="G933" s="175" t="s">
        <v>19</v>
      </c>
      <c r="H933" s="172" t="s">
        <v>20</v>
      </c>
      <c r="I933" s="175">
        <v>1</v>
      </c>
      <c r="J933" s="175" t="s">
        <v>18</v>
      </c>
      <c r="K933" s="175" t="s">
        <v>85</v>
      </c>
      <c r="L933" s="172" t="s">
        <v>86</v>
      </c>
    </row>
    <row r="934" spans="1:12" x14ac:dyDescent="0.2">
      <c r="A934" s="172" t="s">
        <v>83</v>
      </c>
      <c r="B934" s="172" t="s">
        <v>84</v>
      </c>
      <c r="C934" s="172" t="s">
        <v>21</v>
      </c>
      <c r="D934" s="172" t="s">
        <v>15</v>
      </c>
      <c r="E934" s="173">
        <v>42836</v>
      </c>
      <c r="F934" s="174">
        <v>1.61</v>
      </c>
      <c r="G934" s="175" t="s">
        <v>16</v>
      </c>
      <c r="H934" s="172" t="s">
        <v>17</v>
      </c>
      <c r="I934" s="175">
        <v>1</v>
      </c>
      <c r="J934" s="175" t="s">
        <v>18</v>
      </c>
      <c r="K934" s="175" t="s">
        <v>85</v>
      </c>
      <c r="L934" s="172" t="s">
        <v>86</v>
      </c>
    </row>
    <row r="935" spans="1:12" x14ac:dyDescent="0.2">
      <c r="A935" s="172" t="s">
        <v>83</v>
      </c>
      <c r="B935" s="172" t="s">
        <v>84</v>
      </c>
      <c r="C935" s="172" t="s">
        <v>21</v>
      </c>
      <c r="D935" s="172" t="s">
        <v>15</v>
      </c>
      <c r="E935" s="173">
        <v>42836</v>
      </c>
      <c r="F935" s="174">
        <v>11.977240800000001</v>
      </c>
      <c r="G935" s="175" t="s">
        <v>19</v>
      </c>
      <c r="H935" s="172" t="s">
        <v>17</v>
      </c>
      <c r="I935" s="175">
        <v>1</v>
      </c>
      <c r="J935" s="175" t="s">
        <v>18</v>
      </c>
      <c r="K935" s="175" t="s">
        <v>85</v>
      </c>
      <c r="L935" s="172" t="s">
        <v>86</v>
      </c>
    </row>
    <row r="936" spans="1:12" x14ac:dyDescent="0.2">
      <c r="A936" s="172" t="s">
        <v>83</v>
      </c>
      <c r="B936" s="172" t="s">
        <v>84</v>
      </c>
      <c r="C936" s="172" t="s">
        <v>21</v>
      </c>
      <c r="D936" s="172" t="s">
        <v>15</v>
      </c>
      <c r="E936" s="173">
        <v>42836</v>
      </c>
      <c r="F936" s="174">
        <v>0.73499999999999999</v>
      </c>
      <c r="G936" s="175" t="s">
        <v>16</v>
      </c>
      <c r="H936" s="172" t="s">
        <v>20</v>
      </c>
      <c r="I936" s="175">
        <v>1</v>
      </c>
      <c r="J936" s="175" t="s">
        <v>18</v>
      </c>
      <c r="K936" s="175" t="s">
        <v>85</v>
      </c>
      <c r="L936" s="172" t="s">
        <v>86</v>
      </c>
    </row>
    <row r="937" spans="1:12" x14ac:dyDescent="0.2">
      <c r="A937" s="172" t="s">
        <v>83</v>
      </c>
      <c r="B937" s="172" t="s">
        <v>84</v>
      </c>
      <c r="C937" s="172" t="s">
        <v>21</v>
      </c>
      <c r="D937" s="172" t="s">
        <v>15</v>
      </c>
      <c r="E937" s="173">
        <v>42836</v>
      </c>
      <c r="F937" s="174">
        <v>5.4678708</v>
      </c>
      <c r="G937" s="175" t="s">
        <v>19</v>
      </c>
      <c r="H937" s="172" t="s">
        <v>20</v>
      </c>
      <c r="I937" s="175">
        <v>1</v>
      </c>
      <c r="J937" s="175" t="s">
        <v>18</v>
      </c>
      <c r="K937" s="175" t="s">
        <v>85</v>
      </c>
      <c r="L937" s="172" t="s">
        <v>86</v>
      </c>
    </row>
    <row r="938" spans="1:12" x14ac:dyDescent="0.2">
      <c r="A938" s="172" t="s">
        <v>83</v>
      </c>
      <c r="B938" s="172" t="s">
        <v>84</v>
      </c>
      <c r="C938" s="172" t="s">
        <v>21</v>
      </c>
      <c r="D938" s="172" t="s">
        <v>15</v>
      </c>
      <c r="E938" s="173">
        <v>42829</v>
      </c>
      <c r="F938" s="174">
        <v>2.14</v>
      </c>
      <c r="G938" s="175" t="s">
        <v>16</v>
      </c>
      <c r="H938" s="172" t="s">
        <v>17</v>
      </c>
      <c r="I938" s="175">
        <v>1</v>
      </c>
      <c r="J938" s="175" t="s">
        <v>18</v>
      </c>
      <c r="K938" s="175" t="s">
        <v>85</v>
      </c>
      <c r="L938" s="172" t="s">
        <v>86</v>
      </c>
    </row>
    <row r="939" spans="1:12" x14ac:dyDescent="0.2">
      <c r="A939" s="172" t="s">
        <v>83</v>
      </c>
      <c r="B939" s="172" t="s">
        <v>84</v>
      </c>
      <c r="C939" s="172" t="s">
        <v>21</v>
      </c>
      <c r="D939" s="172" t="s">
        <v>15</v>
      </c>
      <c r="E939" s="173">
        <v>42829</v>
      </c>
      <c r="F939" s="174">
        <v>20.881692000000001</v>
      </c>
      <c r="G939" s="175" t="s">
        <v>19</v>
      </c>
      <c r="H939" s="172" t="s">
        <v>17</v>
      </c>
      <c r="I939" s="175">
        <v>1</v>
      </c>
      <c r="J939" s="175" t="s">
        <v>18</v>
      </c>
      <c r="K939" s="175" t="s">
        <v>85</v>
      </c>
      <c r="L939" s="172" t="s">
        <v>86</v>
      </c>
    </row>
    <row r="940" spans="1:12" x14ac:dyDescent="0.2">
      <c r="A940" s="172" t="s">
        <v>83</v>
      </c>
      <c r="B940" s="172" t="s">
        <v>84</v>
      </c>
      <c r="C940" s="172" t="s">
        <v>21</v>
      </c>
      <c r="D940" s="172" t="s">
        <v>15</v>
      </c>
      <c r="E940" s="173">
        <v>42829</v>
      </c>
      <c r="F940" s="174">
        <v>0.79200000000000004</v>
      </c>
      <c r="G940" s="175" t="s">
        <v>16</v>
      </c>
      <c r="H940" s="172" t="s">
        <v>20</v>
      </c>
      <c r="I940" s="175">
        <v>1</v>
      </c>
      <c r="J940" s="175" t="s">
        <v>18</v>
      </c>
      <c r="K940" s="175" t="s">
        <v>85</v>
      </c>
      <c r="L940" s="172" t="s">
        <v>86</v>
      </c>
    </row>
    <row r="941" spans="1:12" x14ac:dyDescent="0.2">
      <c r="A941" s="172" t="s">
        <v>83</v>
      </c>
      <c r="B941" s="172" t="s">
        <v>84</v>
      </c>
      <c r="C941" s="172" t="s">
        <v>21</v>
      </c>
      <c r="D941" s="172" t="s">
        <v>15</v>
      </c>
      <c r="E941" s="173">
        <v>42829</v>
      </c>
      <c r="F941" s="174">
        <v>7.7281776000000004</v>
      </c>
      <c r="G941" s="175" t="s">
        <v>19</v>
      </c>
      <c r="H941" s="172" t="s">
        <v>20</v>
      </c>
      <c r="I941" s="175">
        <v>1</v>
      </c>
      <c r="J941" s="175" t="s">
        <v>18</v>
      </c>
      <c r="K941" s="175" t="s">
        <v>85</v>
      </c>
      <c r="L941" s="172" t="s">
        <v>86</v>
      </c>
    </row>
    <row r="942" spans="1:12" x14ac:dyDescent="0.2">
      <c r="A942" s="172" t="s">
        <v>83</v>
      </c>
      <c r="B942" s="172" t="s">
        <v>84</v>
      </c>
      <c r="C942" s="172" t="s">
        <v>21</v>
      </c>
      <c r="D942" s="172" t="s">
        <v>15</v>
      </c>
      <c r="E942" s="173">
        <v>42822</v>
      </c>
      <c r="F942" s="174">
        <v>2.38</v>
      </c>
      <c r="G942" s="175" t="s">
        <v>16</v>
      </c>
      <c r="H942" s="172" t="s">
        <v>17</v>
      </c>
      <c r="I942" s="175">
        <v>1</v>
      </c>
      <c r="J942" s="175" t="s">
        <v>18</v>
      </c>
      <c r="K942" s="175" t="s">
        <v>85</v>
      </c>
      <c r="L942" s="172" t="s">
        <v>86</v>
      </c>
    </row>
    <row r="943" spans="1:12" x14ac:dyDescent="0.2">
      <c r="A943" s="172" t="s">
        <v>83</v>
      </c>
      <c r="B943" s="172" t="s">
        <v>84</v>
      </c>
      <c r="C943" s="172" t="s">
        <v>21</v>
      </c>
      <c r="D943" s="172" t="s">
        <v>15</v>
      </c>
      <c r="E943" s="173">
        <v>42822</v>
      </c>
      <c r="F943" s="174">
        <v>11.7705755</v>
      </c>
      <c r="G943" s="175" t="s">
        <v>19</v>
      </c>
      <c r="H943" s="172" t="s">
        <v>17</v>
      </c>
      <c r="I943" s="175">
        <v>1</v>
      </c>
      <c r="J943" s="175" t="s">
        <v>18</v>
      </c>
      <c r="K943" s="175" t="s">
        <v>85</v>
      </c>
      <c r="L943" s="172" t="s">
        <v>86</v>
      </c>
    </row>
    <row r="944" spans="1:12" x14ac:dyDescent="0.2">
      <c r="A944" s="172" t="s">
        <v>83</v>
      </c>
      <c r="B944" s="172" t="s">
        <v>84</v>
      </c>
      <c r="C944" s="172" t="s">
        <v>21</v>
      </c>
      <c r="D944" s="172" t="s">
        <v>15</v>
      </c>
      <c r="E944" s="173">
        <v>42822</v>
      </c>
      <c r="F944" s="174">
        <v>1.51</v>
      </c>
      <c r="G944" s="175" t="s">
        <v>16</v>
      </c>
      <c r="H944" s="172" t="s">
        <v>20</v>
      </c>
      <c r="I944" s="175">
        <v>1</v>
      </c>
      <c r="J944" s="175" t="s">
        <v>18</v>
      </c>
      <c r="K944" s="175" t="s">
        <v>85</v>
      </c>
      <c r="L944" s="172" t="s">
        <v>86</v>
      </c>
    </row>
    <row r="945" spans="1:12" x14ac:dyDescent="0.2">
      <c r="A945" s="172" t="s">
        <v>83</v>
      </c>
      <c r="B945" s="172" t="s">
        <v>84</v>
      </c>
      <c r="C945" s="172" t="s">
        <v>21</v>
      </c>
      <c r="D945" s="172" t="s">
        <v>15</v>
      </c>
      <c r="E945" s="173">
        <v>42822</v>
      </c>
      <c r="F945" s="174">
        <v>7.4678861999999997</v>
      </c>
      <c r="G945" s="175" t="s">
        <v>19</v>
      </c>
      <c r="H945" s="172" t="s">
        <v>20</v>
      </c>
      <c r="I945" s="175">
        <v>1</v>
      </c>
      <c r="J945" s="175" t="s">
        <v>18</v>
      </c>
      <c r="K945" s="175" t="s">
        <v>85</v>
      </c>
      <c r="L945" s="172" t="s">
        <v>86</v>
      </c>
    </row>
    <row r="946" spans="1:12" x14ac:dyDescent="0.2">
      <c r="A946" s="172" t="s">
        <v>83</v>
      </c>
      <c r="B946" s="172" t="s">
        <v>84</v>
      </c>
      <c r="C946" s="172" t="s">
        <v>21</v>
      </c>
      <c r="D946" s="172" t="s">
        <v>15</v>
      </c>
      <c r="E946" s="173">
        <v>42815</v>
      </c>
      <c r="F946" s="174">
        <v>2.83</v>
      </c>
      <c r="G946" s="175" t="s">
        <v>16</v>
      </c>
      <c r="H946" s="172" t="s">
        <v>17</v>
      </c>
      <c r="I946" s="175">
        <v>1</v>
      </c>
      <c r="J946" s="175" t="s">
        <v>18</v>
      </c>
      <c r="K946" s="175" t="s">
        <v>85</v>
      </c>
      <c r="L946" s="172" t="s">
        <v>86</v>
      </c>
    </row>
    <row r="947" spans="1:12" x14ac:dyDescent="0.2">
      <c r="A947" s="172" t="s">
        <v>83</v>
      </c>
      <c r="B947" s="172" t="s">
        <v>84</v>
      </c>
      <c r="C947" s="172" t="s">
        <v>21</v>
      </c>
      <c r="D947" s="172" t="s">
        <v>15</v>
      </c>
      <c r="E947" s="173">
        <v>42815</v>
      </c>
      <c r="F947" s="174">
        <v>14.3501376</v>
      </c>
      <c r="G947" s="175" t="s">
        <v>19</v>
      </c>
      <c r="H947" s="172" t="s">
        <v>17</v>
      </c>
      <c r="I947" s="175">
        <v>1</v>
      </c>
      <c r="J947" s="175" t="s">
        <v>18</v>
      </c>
      <c r="K947" s="175" t="s">
        <v>85</v>
      </c>
      <c r="L947" s="172" t="s">
        <v>86</v>
      </c>
    </row>
    <row r="948" spans="1:12" x14ac:dyDescent="0.2">
      <c r="A948" s="172" t="s">
        <v>83</v>
      </c>
      <c r="B948" s="172" t="s">
        <v>84</v>
      </c>
      <c r="C948" s="172" t="s">
        <v>21</v>
      </c>
      <c r="D948" s="172" t="s">
        <v>15</v>
      </c>
      <c r="E948" s="173">
        <v>42815</v>
      </c>
      <c r="F948" s="174">
        <v>1.96</v>
      </c>
      <c r="G948" s="175" t="s">
        <v>16</v>
      </c>
      <c r="H948" s="172" t="s">
        <v>20</v>
      </c>
      <c r="I948" s="175">
        <v>1</v>
      </c>
      <c r="J948" s="175" t="s">
        <v>18</v>
      </c>
      <c r="K948" s="175" t="s">
        <v>85</v>
      </c>
      <c r="L948" s="172" t="s">
        <v>86</v>
      </c>
    </row>
    <row r="949" spans="1:12" x14ac:dyDescent="0.2">
      <c r="A949" s="172" t="s">
        <v>83</v>
      </c>
      <c r="B949" s="172" t="s">
        <v>84</v>
      </c>
      <c r="C949" s="172" t="s">
        <v>21</v>
      </c>
      <c r="D949" s="172" t="s">
        <v>15</v>
      </c>
      <c r="E949" s="173">
        <v>42815</v>
      </c>
      <c r="F949" s="174">
        <v>9.9386110999999993</v>
      </c>
      <c r="G949" s="175" t="s">
        <v>19</v>
      </c>
      <c r="H949" s="172" t="s">
        <v>20</v>
      </c>
      <c r="I949" s="175">
        <v>1</v>
      </c>
      <c r="J949" s="175" t="s">
        <v>18</v>
      </c>
      <c r="K949" s="175" t="s">
        <v>85</v>
      </c>
      <c r="L949" s="172" t="s">
        <v>86</v>
      </c>
    </row>
    <row r="950" spans="1:12" x14ac:dyDescent="0.2">
      <c r="A950" s="172" t="s">
        <v>83</v>
      </c>
      <c r="B950" s="172" t="s">
        <v>84</v>
      </c>
      <c r="C950" s="172" t="s">
        <v>21</v>
      </c>
      <c r="D950" s="172" t="s">
        <v>15</v>
      </c>
      <c r="E950" s="173">
        <v>42808</v>
      </c>
      <c r="F950" s="174">
        <v>2.38</v>
      </c>
      <c r="G950" s="175" t="s">
        <v>16</v>
      </c>
      <c r="H950" s="172" t="s">
        <v>17</v>
      </c>
      <c r="I950" s="175">
        <v>1</v>
      </c>
      <c r="J950" s="175" t="s">
        <v>18</v>
      </c>
      <c r="K950" s="175" t="s">
        <v>85</v>
      </c>
      <c r="L950" s="172" t="s">
        <v>86</v>
      </c>
    </row>
    <row r="951" spans="1:12" x14ac:dyDescent="0.2">
      <c r="A951" s="172" t="s">
        <v>83</v>
      </c>
      <c r="B951" s="172" t="s">
        <v>84</v>
      </c>
      <c r="C951" s="172" t="s">
        <v>21</v>
      </c>
      <c r="D951" s="172" t="s">
        <v>15</v>
      </c>
      <c r="E951" s="173">
        <v>42808</v>
      </c>
      <c r="F951" s="174">
        <v>10.003996799999999</v>
      </c>
      <c r="G951" s="175" t="s">
        <v>19</v>
      </c>
      <c r="H951" s="172" t="s">
        <v>17</v>
      </c>
      <c r="I951" s="175">
        <v>1</v>
      </c>
      <c r="J951" s="175" t="s">
        <v>18</v>
      </c>
      <c r="K951" s="175" t="s">
        <v>85</v>
      </c>
      <c r="L951" s="172" t="s">
        <v>86</v>
      </c>
    </row>
    <row r="952" spans="1:12" x14ac:dyDescent="0.2">
      <c r="A952" s="172" t="s">
        <v>83</v>
      </c>
      <c r="B952" s="172" t="s">
        <v>84</v>
      </c>
      <c r="C952" s="172" t="s">
        <v>21</v>
      </c>
      <c r="D952" s="172" t="s">
        <v>15</v>
      </c>
      <c r="E952" s="173">
        <v>42808</v>
      </c>
      <c r="F952" s="174">
        <v>1.37</v>
      </c>
      <c r="G952" s="175" t="s">
        <v>16</v>
      </c>
      <c r="H952" s="172" t="s">
        <v>20</v>
      </c>
      <c r="I952" s="175">
        <v>1</v>
      </c>
      <c r="J952" s="175" t="s">
        <v>18</v>
      </c>
      <c r="K952" s="175" t="s">
        <v>85</v>
      </c>
      <c r="L952" s="172" t="s">
        <v>86</v>
      </c>
    </row>
    <row r="953" spans="1:12" x14ac:dyDescent="0.2">
      <c r="A953" s="172" t="s">
        <v>83</v>
      </c>
      <c r="B953" s="172" t="s">
        <v>84</v>
      </c>
      <c r="C953" s="172" t="s">
        <v>21</v>
      </c>
      <c r="D953" s="172" t="s">
        <v>15</v>
      </c>
      <c r="E953" s="173">
        <v>42808</v>
      </c>
      <c r="F953" s="174">
        <v>5.7586031999999996</v>
      </c>
      <c r="G953" s="175" t="s">
        <v>19</v>
      </c>
      <c r="H953" s="172" t="s">
        <v>20</v>
      </c>
      <c r="I953" s="175">
        <v>1</v>
      </c>
      <c r="J953" s="175" t="s">
        <v>18</v>
      </c>
      <c r="K953" s="175" t="s">
        <v>85</v>
      </c>
      <c r="L953" s="172" t="s">
        <v>86</v>
      </c>
    </row>
    <row r="954" spans="1:12" x14ac:dyDescent="0.2">
      <c r="A954" s="172" t="s">
        <v>83</v>
      </c>
      <c r="B954" s="172" t="s">
        <v>84</v>
      </c>
      <c r="C954" s="172" t="s">
        <v>21</v>
      </c>
      <c r="D954" s="172" t="s">
        <v>15</v>
      </c>
      <c r="E954" s="173">
        <v>42787</v>
      </c>
      <c r="F954" s="174">
        <v>2.16</v>
      </c>
      <c r="G954" s="175" t="s">
        <v>16</v>
      </c>
      <c r="H954" s="172" t="s">
        <v>17</v>
      </c>
      <c r="I954" s="175">
        <v>1</v>
      </c>
      <c r="J954" s="175" t="s">
        <v>18</v>
      </c>
      <c r="K954" s="175" t="s">
        <v>85</v>
      </c>
      <c r="L954" s="172" t="s">
        <v>86</v>
      </c>
    </row>
    <row r="955" spans="1:12" x14ac:dyDescent="0.2">
      <c r="A955" s="172" t="s">
        <v>83</v>
      </c>
      <c r="B955" s="172" t="s">
        <v>84</v>
      </c>
      <c r="C955" s="172" t="s">
        <v>21</v>
      </c>
      <c r="D955" s="172" t="s">
        <v>15</v>
      </c>
      <c r="E955" s="173">
        <v>42787</v>
      </c>
      <c r="F955" s="174">
        <v>13.618886399999999</v>
      </c>
      <c r="G955" s="175" t="s">
        <v>19</v>
      </c>
      <c r="H955" s="172" t="s">
        <v>17</v>
      </c>
      <c r="I955" s="175">
        <v>1</v>
      </c>
      <c r="J955" s="175" t="s">
        <v>18</v>
      </c>
      <c r="K955" s="175" t="s">
        <v>85</v>
      </c>
      <c r="L955" s="172" t="s">
        <v>86</v>
      </c>
    </row>
    <row r="956" spans="1:12" x14ac:dyDescent="0.2">
      <c r="A956" s="172" t="s">
        <v>83</v>
      </c>
      <c r="B956" s="172" t="s">
        <v>84</v>
      </c>
      <c r="C956" s="172" t="s">
        <v>21</v>
      </c>
      <c r="D956" s="172" t="s">
        <v>15</v>
      </c>
      <c r="E956" s="173">
        <v>42787</v>
      </c>
      <c r="F956" s="174">
        <v>1.7</v>
      </c>
      <c r="G956" s="175" t="s">
        <v>16</v>
      </c>
      <c r="H956" s="172" t="s">
        <v>20</v>
      </c>
      <c r="I956" s="175">
        <v>1</v>
      </c>
      <c r="J956" s="175" t="s">
        <v>18</v>
      </c>
      <c r="K956" s="175" t="s">
        <v>85</v>
      </c>
      <c r="L956" s="172" t="s">
        <v>86</v>
      </c>
    </row>
    <row r="957" spans="1:12" x14ac:dyDescent="0.2">
      <c r="A957" s="172" t="s">
        <v>83</v>
      </c>
      <c r="B957" s="172" t="s">
        <v>84</v>
      </c>
      <c r="C957" s="172" t="s">
        <v>21</v>
      </c>
      <c r="D957" s="172" t="s">
        <v>15</v>
      </c>
      <c r="E957" s="173">
        <v>42787</v>
      </c>
      <c r="F957" s="174">
        <v>10.718567999999999</v>
      </c>
      <c r="G957" s="175" t="s">
        <v>19</v>
      </c>
      <c r="H957" s="172" t="s">
        <v>20</v>
      </c>
      <c r="I957" s="175">
        <v>1</v>
      </c>
      <c r="J957" s="175" t="s">
        <v>18</v>
      </c>
      <c r="K957" s="175" t="s">
        <v>85</v>
      </c>
      <c r="L957" s="172" t="s">
        <v>86</v>
      </c>
    </row>
    <row r="958" spans="1:12" x14ac:dyDescent="0.2">
      <c r="A958" s="172" t="s">
        <v>83</v>
      </c>
      <c r="B958" s="172" t="s">
        <v>84</v>
      </c>
      <c r="C958" s="172" t="s">
        <v>21</v>
      </c>
      <c r="D958" s="172" t="s">
        <v>15</v>
      </c>
      <c r="E958" s="173">
        <v>42780</v>
      </c>
      <c r="F958" s="174">
        <v>2.98</v>
      </c>
      <c r="G958" s="175" t="s">
        <v>16</v>
      </c>
      <c r="H958" s="172" t="s">
        <v>17</v>
      </c>
      <c r="I958" s="175">
        <v>1</v>
      </c>
      <c r="J958" s="175" t="s">
        <v>18</v>
      </c>
      <c r="K958" s="175" t="s">
        <v>85</v>
      </c>
      <c r="L958" s="172" t="s">
        <v>86</v>
      </c>
    </row>
    <row r="959" spans="1:12" x14ac:dyDescent="0.2">
      <c r="A959" s="172" t="s">
        <v>83</v>
      </c>
      <c r="B959" s="172" t="s">
        <v>84</v>
      </c>
      <c r="C959" s="172" t="s">
        <v>21</v>
      </c>
      <c r="D959" s="172" t="s">
        <v>15</v>
      </c>
      <c r="E959" s="173">
        <v>42780</v>
      </c>
      <c r="F959" s="174">
        <v>12.153214699999999</v>
      </c>
      <c r="G959" s="175" t="s">
        <v>19</v>
      </c>
      <c r="H959" s="172" t="s">
        <v>17</v>
      </c>
      <c r="I959" s="175">
        <v>1</v>
      </c>
      <c r="J959" s="175" t="s">
        <v>18</v>
      </c>
      <c r="K959" s="175" t="s">
        <v>85</v>
      </c>
      <c r="L959" s="172" t="s">
        <v>86</v>
      </c>
    </row>
    <row r="960" spans="1:12" x14ac:dyDescent="0.2">
      <c r="A960" s="172" t="s">
        <v>83</v>
      </c>
      <c r="B960" s="172" t="s">
        <v>84</v>
      </c>
      <c r="C960" s="172" t="s">
        <v>21</v>
      </c>
      <c r="D960" s="172" t="s">
        <v>15</v>
      </c>
      <c r="E960" s="173">
        <v>42780</v>
      </c>
      <c r="F960" s="174">
        <v>1.7</v>
      </c>
      <c r="G960" s="175" t="s">
        <v>16</v>
      </c>
      <c r="H960" s="172" t="s">
        <v>20</v>
      </c>
      <c r="I960" s="175">
        <v>1</v>
      </c>
      <c r="J960" s="175" t="s">
        <v>18</v>
      </c>
      <c r="K960" s="175" t="s">
        <v>85</v>
      </c>
      <c r="L960" s="172" t="s">
        <v>86</v>
      </c>
    </row>
    <row r="961" spans="1:12" x14ac:dyDescent="0.2">
      <c r="A961" s="172" t="s">
        <v>83</v>
      </c>
      <c r="B961" s="172" t="s">
        <v>84</v>
      </c>
      <c r="C961" s="172" t="s">
        <v>21</v>
      </c>
      <c r="D961" s="172" t="s">
        <v>15</v>
      </c>
      <c r="E961" s="173">
        <v>42780</v>
      </c>
      <c r="F961" s="174">
        <v>6.9330419000000001</v>
      </c>
      <c r="G961" s="175" t="s">
        <v>19</v>
      </c>
      <c r="H961" s="172" t="s">
        <v>20</v>
      </c>
      <c r="I961" s="175">
        <v>1</v>
      </c>
      <c r="J961" s="175" t="s">
        <v>18</v>
      </c>
      <c r="K961" s="175" t="s">
        <v>85</v>
      </c>
      <c r="L961" s="172" t="s">
        <v>86</v>
      </c>
    </row>
    <row r="962" spans="1:12" x14ac:dyDescent="0.2">
      <c r="A962" s="172" t="s">
        <v>83</v>
      </c>
      <c r="B962" s="172" t="s">
        <v>84</v>
      </c>
      <c r="C962" s="172" t="s">
        <v>21</v>
      </c>
      <c r="D962" s="172" t="s">
        <v>15</v>
      </c>
      <c r="E962" s="173">
        <v>42773</v>
      </c>
      <c r="F962" s="174">
        <v>2.9</v>
      </c>
      <c r="G962" s="175" t="s">
        <v>16</v>
      </c>
      <c r="H962" s="172" t="s">
        <v>17</v>
      </c>
      <c r="I962" s="175">
        <v>1</v>
      </c>
      <c r="J962" s="175" t="s">
        <v>18</v>
      </c>
      <c r="K962" s="175" t="s">
        <v>85</v>
      </c>
      <c r="L962" s="172" t="s">
        <v>86</v>
      </c>
    </row>
    <row r="963" spans="1:12" x14ac:dyDescent="0.2">
      <c r="A963" s="172" t="s">
        <v>83</v>
      </c>
      <c r="B963" s="172" t="s">
        <v>84</v>
      </c>
      <c r="C963" s="172" t="s">
        <v>21</v>
      </c>
      <c r="D963" s="172" t="s">
        <v>15</v>
      </c>
      <c r="E963" s="173">
        <v>42773</v>
      </c>
      <c r="F963" s="174">
        <v>12.891138</v>
      </c>
      <c r="G963" s="175" t="s">
        <v>19</v>
      </c>
      <c r="H963" s="172" t="s">
        <v>17</v>
      </c>
      <c r="I963" s="175">
        <v>1</v>
      </c>
      <c r="J963" s="175" t="s">
        <v>18</v>
      </c>
      <c r="K963" s="175" t="s">
        <v>85</v>
      </c>
      <c r="L963" s="172" t="s">
        <v>86</v>
      </c>
    </row>
    <row r="964" spans="1:12" x14ac:dyDescent="0.2">
      <c r="A964" s="172" t="s">
        <v>83</v>
      </c>
      <c r="B964" s="172" t="s">
        <v>84</v>
      </c>
      <c r="C964" s="172" t="s">
        <v>21</v>
      </c>
      <c r="D964" s="172" t="s">
        <v>15</v>
      </c>
      <c r="E964" s="173">
        <v>42773</v>
      </c>
      <c r="F964" s="174">
        <v>1.63</v>
      </c>
      <c r="G964" s="175" t="s">
        <v>16</v>
      </c>
      <c r="H964" s="172" t="s">
        <v>20</v>
      </c>
      <c r="I964" s="175">
        <v>1</v>
      </c>
      <c r="J964" s="175" t="s">
        <v>18</v>
      </c>
      <c r="K964" s="175" t="s">
        <v>85</v>
      </c>
      <c r="L964" s="172" t="s">
        <v>86</v>
      </c>
    </row>
    <row r="965" spans="1:12" x14ac:dyDescent="0.2">
      <c r="A965" s="172" t="s">
        <v>83</v>
      </c>
      <c r="B965" s="172" t="s">
        <v>84</v>
      </c>
      <c r="C965" s="172" t="s">
        <v>21</v>
      </c>
      <c r="D965" s="172" t="s">
        <v>15</v>
      </c>
      <c r="E965" s="173">
        <v>42773</v>
      </c>
      <c r="F965" s="174">
        <v>7.2457085000000001</v>
      </c>
      <c r="G965" s="175" t="s">
        <v>19</v>
      </c>
      <c r="H965" s="172" t="s">
        <v>20</v>
      </c>
      <c r="I965" s="175">
        <v>1</v>
      </c>
      <c r="J965" s="175" t="s">
        <v>18</v>
      </c>
      <c r="K965" s="175" t="s">
        <v>85</v>
      </c>
      <c r="L965" s="172" t="s">
        <v>86</v>
      </c>
    </row>
    <row r="966" spans="1:12" x14ac:dyDescent="0.2">
      <c r="A966" s="172" t="s">
        <v>83</v>
      </c>
      <c r="B966" s="172" t="s">
        <v>84</v>
      </c>
      <c r="C966" s="172" t="s">
        <v>21</v>
      </c>
      <c r="D966" s="172" t="s">
        <v>15</v>
      </c>
      <c r="E966" s="173">
        <v>42768</v>
      </c>
      <c r="F966" s="174">
        <v>2.2000000000000002</v>
      </c>
      <c r="G966" s="175" t="s">
        <v>16</v>
      </c>
      <c r="H966" s="172" t="s">
        <v>17</v>
      </c>
      <c r="I966" s="175">
        <v>1</v>
      </c>
      <c r="J966" s="175" t="s">
        <v>18</v>
      </c>
      <c r="K966" s="175" t="s">
        <v>85</v>
      </c>
      <c r="L966" s="172" t="s">
        <v>86</v>
      </c>
    </row>
    <row r="967" spans="1:12" x14ac:dyDescent="0.2">
      <c r="A967" s="172" t="s">
        <v>83</v>
      </c>
      <c r="B967" s="172" t="s">
        <v>84</v>
      </c>
      <c r="C967" s="172" t="s">
        <v>21</v>
      </c>
      <c r="D967" s="172" t="s">
        <v>15</v>
      </c>
      <c r="E967" s="173">
        <v>42768</v>
      </c>
      <c r="F967" s="174">
        <v>9.467568</v>
      </c>
      <c r="G967" s="175" t="s">
        <v>19</v>
      </c>
      <c r="H967" s="172" t="s">
        <v>17</v>
      </c>
      <c r="I967" s="175">
        <v>1</v>
      </c>
      <c r="J967" s="175" t="s">
        <v>18</v>
      </c>
      <c r="K967" s="175" t="s">
        <v>85</v>
      </c>
      <c r="L967" s="172" t="s">
        <v>86</v>
      </c>
    </row>
    <row r="968" spans="1:12" x14ac:dyDescent="0.2">
      <c r="A968" s="172" t="s">
        <v>83</v>
      </c>
      <c r="B968" s="172" t="s">
        <v>84</v>
      </c>
      <c r="C968" s="172" t="s">
        <v>21</v>
      </c>
      <c r="D968" s="172" t="s">
        <v>15</v>
      </c>
      <c r="E968" s="173">
        <v>42768</v>
      </c>
      <c r="F968" s="174">
        <v>1.34</v>
      </c>
      <c r="G968" s="175" t="s">
        <v>16</v>
      </c>
      <c r="H968" s="172" t="s">
        <v>20</v>
      </c>
      <c r="I968" s="175">
        <v>1</v>
      </c>
      <c r="J968" s="175" t="s">
        <v>18</v>
      </c>
      <c r="K968" s="175" t="s">
        <v>85</v>
      </c>
      <c r="L968" s="172" t="s">
        <v>86</v>
      </c>
    </row>
    <row r="969" spans="1:12" x14ac:dyDescent="0.2">
      <c r="A969" s="172" t="s">
        <v>83</v>
      </c>
      <c r="B969" s="172" t="s">
        <v>84</v>
      </c>
      <c r="C969" s="172" t="s">
        <v>21</v>
      </c>
      <c r="D969" s="172" t="s">
        <v>15</v>
      </c>
      <c r="E969" s="173">
        <v>42768</v>
      </c>
      <c r="F969" s="174">
        <v>5.7666095999999998</v>
      </c>
      <c r="G969" s="175" t="s">
        <v>19</v>
      </c>
      <c r="H969" s="172" t="s">
        <v>20</v>
      </c>
      <c r="I969" s="175">
        <v>1</v>
      </c>
      <c r="J969" s="175" t="s">
        <v>18</v>
      </c>
      <c r="K969" s="175" t="s">
        <v>85</v>
      </c>
      <c r="L969" s="172" t="s">
        <v>86</v>
      </c>
    </row>
    <row r="970" spans="1:12" x14ac:dyDescent="0.2">
      <c r="A970" s="172" t="s">
        <v>83</v>
      </c>
      <c r="B970" s="172" t="s">
        <v>84</v>
      </c>
      <c r="C970" s="172" t="s">
        <v>21</v>
      </c>
      <c r="D970" s="172" t="s">
        <v>15</v>
      </c>
      <c r="E970" s="173">
        <v>42759</v>
      </c>
      <c r="F970" s="174">
        <v>1.69</v>
      </c>
      <c r="G970" s="175" t="s">
        <v>16</v>
      </c>
      <c r="H970" s="172" t="s">
        <v>17</v>
      </c>
      <c r="I970" s="175">
        <v>1</v>
      </c>
      <c r="J970" s="175" t="s">
        <v>18</v>
      </c>
      <c r="K970" s="175" t="s">
        <v>85</v>
      </c>
      <c r="L970" s="172" t="s">
        <v>86</v>
      </c>
    </row>
    <row r="971" spans="1:12" x14ac:dyDescent="0.2">
      <c r="A971" s="172" t="s">
        <v>83</v>
      </c>
      <c r="B971" s="172" t="s">
        <v>84</v>
      </c>
      <c r="C971" s="172" t="s">
        <v>21</v>
      </c>
      <c r="D971" s="172" t="s">
        <v>15</v>
      </c>
      <c r="E971" s="173">
        <v>42759</v>
      </c>
      <c r="F971" s="174">
        <v>8.1889626</v>
      </c>
      <c r="G971" s="175" t="s">
        <v>19</v>
      </c>
      <c r="H971" s="172" t="s">
        <v>17</v>
      </c>
      <c r="I971" s="175">
        <v>1</v>
      </c>
      <c r="J971" s="175" t="s">
        <v>18</v>
      </c>
      <c r="K971" s="175" t="s">
        <v>85</v>
      </c>
      <c r="L971" s="172" t="s">
        <v>86</v>
      </c>
    </row>
    <row r="972" spans="1:12" x14ac:dyDescent="0.2">
      <c r="A972" s="172" t="s">
        <v>83</v>
      </c>
      <c r="B972" s="172" t="s">
        <v>84</v>
      </c>
      <c r="C972" s="172" t="s">
        <v>21</v>
      </c>
      <c r="D972" s="172" t="s">
        <v>15</v>
      </c>
      <c r="E972" s="173">
        <v>42759</v>
      </c>
      <c r="F972" s="174">
        <v>1.02</v>
      </c>
      <c r="G972" s="175" t="s">
        <v>16</v>
      </c>
      <c r="H972" s="172" t="s">
        <v>20</v>
      </c>
      <c r="I972" s="175">
        <v>1</v>
      </c>
      <c r="J972" s="175" t="s">
        <v>18</v>
      </c>
      <c r="K972" s="175" t="s">
        <v>85</v>
      </c>
      <c r="L972" s="172" t="s">
        <v>86</v>
      </c>
    </row>
    <row r="973" spans="1:12" x14ac:dyDescent="0.2">
      <c r="A973" s="172" t="s">
        <v>83</v>
      </c>
      <c r="B973" s="172" t="s">
        <v>84</v>
      </c>
      <c r="C973" s="172" t="s">
        <v>21</v>
      </c>
      <c r="D973" s="172" t="s">
        <v>15</v>
      </c>
      <c r="E973" s="173">
        <v>42759</v>
      </c>
      <c r="F973" s="174">
        <v>4.9424507999999996</v>
      </c>
      <c r="G973" s="175" t="s">
        <v>19</v>
      </c>
      <c r="H973" s="172" t="s">
        <v>20</v>
      </c>
      <c r="I973" s="175">
        <v>1</v>
      </c>
      <c r="J973" s="175" t="s">
        <v>18</v>
      </c>
      <c r="K973" s="175" t="s">
        <v>85</v>
      </c>
      <c r="L973" s="172" t="s">
        <v>86</v>
      </c>
    </row>
    <row r="974" spans="1:12" x14ac:dyDescent="0.2">
      <c r="A974" s="172" t="s">
        <v>83</v>
      </c>
      <c r="B974" s="172" t="s">
        <v>84</v>
      </c>
      <c r="C974" s="172" t="s">
        <v>21</v>
      </c>
      <c r="D974" s="172" t="s">
        <v>15</v>
      </c>
      <c r="E974" s="173">
        <v>42752</v>
      </c>
      <c r="F974" s="174">
        <v>3.29</v>
      </c>
      <c r="G974" s="175" t="s">
        <v>16</v>
      </c>
      <c r="H974" s="172" t="s">
        <v>17</v>
      </c>
      <c r="I974" s="175">
        <v>1</v>
      </c>
      <c r="J974" s="175" t="s">
        <v>18</v>
      </c>
      <c r="K974" s="175" t="s">
        <v>85</v>
      </c>
      <c r="L974" s="172" t="s">
        <v>86</v>
      </c>
    </row>
    <row r="975" spans="1:12" x14ac:dyDescent="0.2">
      <c r="A975" s="172" t="s">
        <v>83</v>
      </c>
      <c r="B975" s="172" t="s">
        <v>84</v>
      </c>
      <c r="C975" s="172" t="s">
        <v>21</v>
      </c>
      <c r="D975" s="172" t="s">
        <v>15</v>
      </c>
      <c r="E975" s="173">
        <v>42752</v>
      </c>
      <c r="F975" s="174">
        <v>18.274107600000001</v>
      </c>
      <c r="G975" s="175" t="s">
        <v>19</v>
      </c>
      <c r="H975" s="172" t="s">
        <v>17</v>
      </c>
      <c r="I975" s="175">
        <v>1</v>
      </c>
      <c r="J975" s="175" t="s">
        <v>18</v>
      </c>
      <c r="K975" s="175" t="s">
        <v>85</v>
      </c>
      <c r="L975" s="172" t="s">
        <v>86</v>
      </c>
    </row>
    <row r="976" spans="1:12" x14ac:dyDescent="0.2">
      <c r="A976" s="172" t="s">
        <v>83</v>
      </c>
      <c r="B976" s="172" t="s">
        <v>84</v>
      </c>
      <c r="C976" s="172" t="s">
        <v>21</v>
      </c>
      <c r="D976" s="172" t="s">
        <v>15</v>
      </c>
      <c r="E976" s="173">
        <v>42752</v>
      </c>
      <c r="F976" s="174">
        <v>1.79</v>
      </c>
      <c r="G976" s="175" t="s">
        <v>16</v>
      </c>
      <c r="H976" s="172" t="s">
        <v>20</v>
      </c>
      <c r="I976" s="175">
        <v>1</v>
      </c>
      <c r="J976" s="175" t="s">
        <v>18</v>
      </c>
      <c r="K976" s="175" t="s">
        <v>85</v>
      </c>
      <c r="L976" s="172" t="s">
        <v>86</v>
      </c>
    </row>
    <row r="977" spans="1:12" x14ac:dyDescent="0.2">
      <c r="A977" s="172" t="s">
        <v>83</v>
      </c>
      <c r="B977" s="172" t="s">
        <v>84</v>
      </c>
      <c r="C977" s="172" t="s">
        <v>21</v>
      </c>
      <c r="D977" s="172" t="s">
        <v>15</v>
      </c>
      <c r="E977" s="173">
        <v>42752</v>
      </c>
      <c r="F977" s="174">
        <v>9.9424475999999995</v>
      </c>
      <c r="G977" s="175" t="s">
        <v>19</v>
      </c>
      <c r="H977" s="172" t="s">
        <v>20</v>
      </c>
      <c r="I977" s="175">
        <v>1</v>
      </c>
      <c r="J977" s="175" t="s">
        <v>18</v>
      </c>
      <c r="K977" s="175" t="s">
        <v>85</v>
      </c>
      <c r="L977" s="172" t="s">
        <v>86</v>
      </c>
    </row>
    <row r="978" spans="1:12" x14ac:dyDescent="0.2">
      <c r="A978" s="172" t="s">
        <v>83</v>
      </c>
      <c r="B978" s="172" t="s">
        <v>84</v>
      </c>
      <c r="C978" s="172" t="s">
        <v>21</v>
      </c>
      <c r="D978" s="172" t="s">
        <v>15</v>
      </c>
      <c r="E978" s="173">
        <v>42745</v>
      </c>
      <c r="F978" s="174">
        <v>3.36</v>
      </c>
      <c r="G978" s="175" t="s">
        <v>16</v>
      </c>
      <c r="H978" s="172" t="s">
        <v>17</v>
      </c>
      <c r="I978" s="175">
        <v>1</v>
      </c>
      <c r="J978" s="175" t="s">
        <v>18</v>
      </c>
      <c r="K978" s="175" t="s">
        <v>85</v>
      </c>
      <c r="L978" s="172" t="s">
        <v>86</v>
      </c>
    </row>
    <row r="979" spans="1:12" x14ac:dyDescent="0.2">
      <c r="A979" s="172" t="s">
        <v>83</v>
      </c>
      <c r="B979" s="172" t="s">
        <v>84</v>
      </c>
      <c r="C979" s="172" t="s">
        <v>21</v>
      </c>
      <c r="D979" s="172" t="s">
        <v>15</v>
      </c>
      <c r="E979" s="173">
        <v>42745</v>
      </c>
      <c r="F979" s="174">
        <v>12.329855999999999</v>
      </c>
      <c r="G979" s="175" t="s">
        <v>19</v>
      </c>
      <c r="H979" s="172" t="s">
        <v>17</v>
      </c>
      <c r="I979" s="175">
        <v>1</v>
      </c>
      <c r="J979" s="175" t="s">
        <v>18</v>
      </c>
      <c r="K979" s="175" t="s">
        <v>85</v>
      </c>
      <c r="L979" s="172" t="s">
        <v>86</v>
      </c>
    </row>
    <row r="980" spans="1:12" x14ac:dyDescent="0.2">
      <c r="A980" s="172" t="s">
        <v>83</v>
      </c>
      <c r="B980" s="172" t="s">
        <v>84</v>
      </c>
      <c r="C980" s="172" t="s">
        <v>21</v>
      </c>
      <c r="D980" s="172" t="s">
        <v>15</v>
      </c>
      <c r="E980" s="173">
        <v>42745</v>
      </c>
      <c r="F980" s="174">
        <v>1.84</v>
      </c>
      <c r="G980" s="175" t="s">
        <v>16</v>
      </c>
      <c r="H980" s="172" t="s">
        <v>20</v>
      </c>
      <c r="I980" s="175">
        <v>1</v>
      </c>
      <c r="J980" s="175" t="s">
        <v>18</v>
      </c>
      <c r="K980" s="175" t="s">
        <v>85</v>
      </c>
      <c r="L980" s="172" t="s">
        <v>86</v>
      </c>
    </row>
    <row r="981" spans="1:12" x14ac:dyDescent="0.2">
      <c r="A981" s="172" t="s">
        <v>83</v>
      </c>
      <c r="B981" s="172" t="s">
        <v>84</v>
      </c>
      <c r="C981" s="172" t="s">
        <v>21</v>
      </c>
      <c r="D981" s="172" t="s">
        <v>15</v>
      </c>
      <c r="E981" s="173">
        <v>42745</v>
      </c>
      <c r="F981" s="174">
        <v>6.7520639999999998</v>
      </c>
      <c r="G981" s="175" t="s">
        <v>19</v>
      </c>
      <c r="H981" s="172" t="s">
        <v>20</v>
      </c>
      <c r="I981" s="175">
        <v>1</v>
      </c>
      <c r="J981" s="175" t="s">
        <v>18</v>
      </c>
      <c r="K981" s="175" t="s">
        <v>85</v>
      </c>
      <c r="L981" s="172" t="s">
        <v>86</v>
      </c>
    </row>
    <row r="982" spans="1:12" x14ac:dyDescent="0.2">
      <c r="A982" s="172" t="s">
        <v>83</v>
      </c>
      <c r="B982" s="172" t="s">
        <v>84</v>
      </c>
      <c r="C982" s="172" t="s">
        <v>21</v>
      </c>
      <c r="D982" s="172" t="s">
        <v>15</v>
      </c>
      <c r="E982" s="173">
        <v>42738</v>
      </c>
      <c r="F982" s="174">
        <v>3.64</v>
      </c>
      <c r="G982" s="175" t="s">
        <v>16</v>
      </c>
      <c r="H982" s="172" t="s">
        <v>17</v>
      </c>
      <c r="I982" s="175">
        <v>1</v>
      </c>
      <c r="J982" s="175" t="s">
        <v>18</v>
      </c>
      <c r="K982" s="175" t="s">
        <v>85</v>
      </c>
      <c r="L982" s="172" t="s">
        <v>86</v>
      </c>
    </row>
    <row r="983" spans="1:12" x14ac:dyDescent="0.2">
      <c r="A983" s="172" t="s">
        <v>83</v>
      </c>
      <c r="B983" s="172" t="s">
        <v>84</v>
      </c>
      <c r="C983" s="172" t="s">
        <v>21</v>
      </c>
      <c r="D983" s="172" t="s">
        <v>15</v>
      </c>
      <c r="E983" s="173">
        <v>42738</v>
      </c>
      <c r="F983" s="174">
        <v>17.060971200000001</v>
      </c>
      <c r="G983" s="175" t="s">
        <v>19</v>
      </c>
      <c r="H983" s="172" t="s">
        <v>17</v>
      </c>
      <c r="I983" s="175">
        <v>1</v>
      </c>
      <c r="J983" s="175" t="s">
        <v>18</v>
      </c>
      <c r="K983" s="175" t="s">
        <v>85</v>
      </c>
      <c r="L983" s="172" t="s">
        <v>86</v>
      </c>
    </row>
    <row r="984" spans="1:12" x14ac:dyDescent="0.2">
      <c r="A984" s="172" t="s">
        <v>83</v>
      </c>
      <c r="B984" s="172" t="s">
        <v>84</v>
      </c>
      <c r="C984" s="172" t="s">
        <v>21</v>
      </c>
      <c r="D984" s="172" t="s">
        <v>15</v>
      </c>
      <c r="E984" s="173">
        <v>42738</v>
      </c>
      <c r="F984" s="174">
        <v>1.72</v>
      </c>
      <c r="G984" s="175" t="s">
        <v>16</v>
      </c>
      <c r="H984" s="172" t="s">
        <v>20</v>
      </c>
      <c r="I984" s="175">
        <v>1</v>
      </c>
      <c r="J984" s="175" t="s">
        <v>18</v>
      </c>
      <c r="K984" s="175" t="s">
        <v>85</v>
      </c>
      <c r="L984" s="172" t="s">
        <v>86</v>
      </c>
    </row>
    <row r="985" spans="1:12" x14ac:dyDescent="0.2">
      <c r="A985" s="172" t="s">
        <v>83</v>
      </c>
      <c r="B985" s="172" t="s">
        <v>84</v>
      </c>
      <c r="C985" s="172" t="s">
        <v>21</v>
      </c>
      <c r="D985" s="172" t="s">
        <v>15</v>
      </c>
      <c r="E985" s="173">
        <v>42738</v>
      </c>
      <c r="F985" s="174">
        <v>8.0617775999999992</v>
      </c>
      <c r="G985" s="175" t="s">
        <v>19</v>
      </c>
      <c r="H985" s="172" t="s">
        <v>20</v>
      </c>
      <c r="I985" s="175">
        <v>1</v>
      </c>
      <c r="J985" s="175" t="s">
        <v>18</v>
      </c>
      <c r="K985" s="175" t="s">
        <v>85</v>
      </c>
      <c r="L985" s="172" t="s">
        <v>86</v>
      </c>
    </row>
    <row r="986" spans="1:12" x14ac:dyDescent="0.2">
      <c r="A986" s="172" t="s">
        <v>83</v>
      </c>
      <c r="B986" s="172" t="s">
        <v>84</v>
      </c>
      <c r="C986" s="172" t="s">
        <v>21</v>
      </c>
      <c r="D986" s="172" t="s">
        <v>15</v>
      </c>
      <c r="E986" s="173">
        <v>42731</v>
      </c>
      <c r="F986" s="174">
        <v>2.9</v>
      </c>
      <c r="G986" s="175" t="s">
        <v>16</v>
      </c>
      <c r="H986" s="172" t="s">
        <v>17</v>
      </c>
      <c r="I986" s="175">
        <v>1</v>
      </c>
      <c r="J986" s="175" t="s">
        <v>18</v>
      </c>
      <c r="K986" s="175" t="s">
        <v>85</v>
      </c>
      <c r="L986" s="172" t="s">
        <v>86</v>
      </c>
    </row>
    <row r="987" spans="1:12" x14ac:dyDescent="0.2">
      <c r="A987" s="172" t="s">
        <v>83</v>
      </c>
      <c r="B987" s="172" t="s">
        <v>84</v>
      </c>
      <c r="C987" s="172" t="s">
        <v>21</v>
      </c>
      <c r="D987" s="172" t="s">
        <v>15</v>
      </c>
      <c r="E987" s="173">
        <v>42731</v>
      </c>
      <c r="F987" s="174">
        <v>14.8260179</v>
      </c>
      <c r="G987" s="175" t="s">
        <v>19</v>
      </c>
      <c r="H987" s="172" t="s">
        <v>17</v>
      </c>
      <c r="I987" s="175">
        <v>1</v>
      </c>
      <c r="J987" s="175" t="s">
        <v>18</v>
      </c>
      <c r="K987" s="175" t="s">
        <v>85</v>
      </c>
      <c r="L987" s="172" t="s">
        <v>86</v>
      </c>
    </row>
    <row r="988" spans="1:12" x14ac:dyDescent="0.2">
      <c r="A988" s="172" t="s">
        <v>83</v>
      </c>
      <c r="B988" s="172" t="s">
        <v>84</v>
      </c>
      <c r="C988" s="172" t="s">
        <v>21</v>
      </c>
      <c r="D988" s="172" t="s">
        <v>15</v>
      </c>
      <c r="E988" s="173">
        <v>42731</v>
      </c>
      <c r="F988" s="174">
        <v>1.62</v>
      </c>
      <c r="G988" s="175" t="s">
        <v>16</v>
      </c>
      <c r="H988" s="172" t="s">
        <v>20</v>
      </c>
      <c r="I988" s="175">
        <v>1</v>
      </c>
      <c r="J988" s="175" t="s">
        <v>18</v>
      </c>
      <c r="K988" s="175" t="s">
        <v>85</v>
      </c>
      <c r="L988" s="172" t="s">
        <v>86</v>
      </c>
    </row>
    <row r="989" spans="1:12" x14ac:dyDescent="0.2">
      <c r="A989" s="172" t="s">
        <v>83</v>
      </c>
      <c r="B989" s="172" t="s">
        <v>84</v>
      </c>
      <c r="C989" s="172" t="s">
        <v>21</v>
      </c>
      <c r="D989" s="172" t="s">
        <v>15</v>
      </c>
      <c r="E989" s="173">
        <v>42731</v>
      </c>
      <c r="F989" s="174">
        <v>8.2821204000000002</v>
      </c>
      <c r="G989" s="175" t="s">
        <v>19</v>
      </c>
      <c r="H989" s="172" t="s">
        <v>20</v>
      </c>
      <c r="I989" s="175">
        <v>1</v>
      </c>
      <c r="J989" s="175" t="s">
        <v>18</v>
      </c>
      <c r="K989" s="175" t="s">
        <v>85</v>
      </c>
      <c r="L989" s="172" t="s">
        <v>86</v>
      </c>
    </row>
    <row r="990" spans="1:12" x14ac:dyDescent="0.2">
      <c r="A990" s="172" t="s">
        <v>83</v>
      </c>
      <c r="B990" s="172" t="s">
        <v>84</v>
      </c>
      <c r="C990" s="172" t="s">
        <v>21</v>
      </c>
      <c r="D990" s="172" t="s">
        <v>15</v>
      </c>
      <c r="E990" s="173">
        <v>42724</v>
      </c>
      <c r="F990" s="174">
        <v>3.4</v>
      </c>
      <c r="G990" s="175" t="s">
        <v>16</v>
      </c>
      <c r="H990" s="172" t="s">
        <v>17</v>
      </c>
      <c r="I990" s="175">
        <v>1</v>
      </c>
      <c r="J990" s="175" t="s">
        <v>18</v>
      </c>
      <c r="K990" s="175" t="s">
        <v>85</v>
      </c>
      <c r="L990" s="172" t="s">
        <v>86</v>
      </c>
    </row>
    <row r="991" spans="1:12" x14ac:dyDescent="0.2">
      <c r="A991" s="172" t="s">
        <v>83</v>
      </c>
      <c r="B991" s="172" t="s">
        <v>84</v>
      </c>
      <c r="C991" s="172" t="s">
        <v>21</v>
      </c>
      <c r="D991" s="172" t="s">
        <v>15</v>
      </c>
      <c r="E991" s="173">
        <v>42724</v>
      </c>
      <c r="F991" s="174">
        <v>12.079655900000001</v>
      </c>
      <c r="G991" s="175" t="s">
        <v>19</v>
      </c>
      <c r="H991" s="172" t="s">
        <v>17</v>
      </c>
      <c r="I991" s="175">
        <v>1</v>
      </c>
      <c r="J991" s="175" t="s">
        <v>18</v>
      </c>
      <c r="K991" s="175" t="s">
        <v>85</v>
      </c>
      <c r="L991" s="172" t="s">
        <v>86</v>
      </c>
    </row>
    <row r="992" spans="1:12" x14ac:dyDescent="0.2">
      <c r="A992" s="172" t="s">
        <v>83</v>
      </c>
      <c r="B992" s="172" t="s">
        <v>84</v>
      </c>
      <c r="C992" s="172" t="s">
        <v>21</v>
      </c>
      <c r="D992" s="172" t="s">
        <v>15</v>
      </c>
      <c r="E992" s="173">
        <v>42724</v>
      </c>
      <c r="F992" s="174">
        <v>1.85</v>
      </c>
      <c r="G992" s="175" t="s">
        <v>16</v>
      </c>
      <c r="H992" s="172" t="s">
        <v>20</v>
      </c>
      <c r="I992" s="175">
        <v>1</v>
      </c>
      <c r="J992" s="175" t="s">
        <v>18</v>
      </c>
      <c r="K992" s="175" t="s">
        <v>85</v>
      </c>
      <c r="L992" s="172" t="s">
        <v>86</v>
      </c>
    </row>
    <row r="993" spans="1:12" x14ac:dyDescent="0.2">
      <c r="A993" s="172" t="s">
        <v>83</v>
      </c>
      <c r="B993" s="172" t="s">
        <v>84</v>
      </c>
      <c r="C993" s="172" t="s">
        <v>21</v>
      </c>
      <c r="D993" s="172" t="s">
        <v>15</v>
      </c>
      <c r="E993" s="173">
        <v>42724</v>
      </c>
      <c r="F993" s="174">
        <v>6.5727539999999998</v>
      </c>
      <c r="G993" s="175" t="s">
        <v>19</v>
      </c>
      <c r="H993" s="172" t="s">
        <v>20</v>
      </c>
      <c r="I993" s="175">
        <v>1</v>
      </c>
      <c r="J993" s="175" t="s">
        <v>18</v>
      </c>
      <c r="K993" s="175" t="s">
        <v>85</v>
      </c>
      <c r="L993" s="172" t="s">
        <v>86</v>
      </c>
    </row>
    <row r="994" spans="1:12" x14ac:dyDescent="0.2">
      <c r="A994" s="172" t="s">
        <v>83</v>
      </c>
      <c r="B994" s="172" t="s">
        <v>84</v>
      </c>
      <c r="C994" s="172" t="s">
        <v>21</v>
      </c>
      <c r="D994" s="172" t="s">
        <v>15</v>
      </c>
      <c r="E994" s="173">
        <v>42717</v>
      </c>
      <c r="F994" s="174">
        <v>3.37</v>
      </c>
      <c r="G994" s="175" t="s">
        <v>16</v>
      </c>
      <c r="H994" s="172" t="s">
        <v>17</v>
      </c>
      <c r="I994" s="175">
        <v>1</v>
      </c>
      <c r="J994" s="175" t="s">
        <v>18</v>
      </c>
      <c r="K994" s="175" t="s">
        <v>85</v>
      </c>
      <c r="L994" s="172" t="s">
        <v>86</v>
      </c>
    </row>
    <row r="995" spans="1:12" x14ac:dyDescent="0.2">
      <c r="A995" s="172" t="s">
        <v>83</v>
      </c>
      <c r="B995" s="172" t="s">
        <v>84</v>
      </c>
      <c r="C995" s="172" t="s">
        <v>21</v>
      </c>
      <c r="D995" s="172" t="s">
        <v>15</v>
      </c>
      <c r="E995" s="173">
        <v>42717</v>
      </c>
      <c r="F995" s="174">
        <v>12.9005622</v>
      </c>
      <c r="G995" s="175" t="s">
        <v>19</v>
      </c>
      <c r="H995" s="172" t="s">
        <v>17</v>
      </c>
      <c r="I995" s="175">
        <v>1</v>
      </c>
      <c r="J995" s="175" t="s">
        <v>18</v>
      </c>
      <c r="K995" s="175" t="s">
        <v>85</v>
      </c>
      <c r="L995" s="172" t="s">
        <v>86</v>
      </c>
    </row>
    <row r="996" spans="1:12" x14ac:dyDescent="0.2">
      <c r="A996" s="172" t="s">
        <v>83</v>
      </c>
      <c r="B996" s="172" t="s">
        <v>84</v>
      </c>
      <c r="C996" s="172" t="s">
        <v>21</v>
      </c>
      <c r="D996" s="172" t="s">
        <v>15</v>
      </c>
      <c r="E996" s="173">
        <v>42717</v>
      </c>
      <c r="F996" s="174">
        <v>1.9</v>
      </c>
      <c r="G996" s="175" t="s">
        <v>16</v>
      </c>
      <c r="H996" s="172" t="s">
        <v>20</v>
      </c>
      <c r="I996" s="175">
        <v>1</v>
      </c>
      <c r="J996" s="175" t="s">
        <v>18</v>
      </c>
      <c r="K996" s="175" t="s">
        <v>85</v>
      </c>
      <c r="L996" s="172" t="s">
        <v>86</v>
      </c>
    </row>
    <row r="997" spans="1:12" x14ac:dyDescent="0.2">
      <c r="A997" s="172" t="s">
        <v>83</v>
      </c>
      <c r="B997" s="172" t="s">
        <v>84</v>
      </c>
      <c r="C997" s="172" t="s">
        <v>21</v>
      </c>
      <c r="D997" s="172" t="s">
        <v>15</v>
      </c>
      <c r="E997" s="173">
        <v>42717</v>
      </c>
      <c r="F997" s="174">
        <v>7.2733140000000001</v>
      </c>
      <c r="G997" s="175" t="s">
        <v>19</v>
      </c>
      <c r="H997" s="172" t="s">
        <v>20</v>
      </c>
      <c r="I997" s="175">
        <v>1</v>
      </c>
      <c r="J997" s="175" t="s">
        <v>18</v>
      </c>
      <c r="K997" s="175" t="s">
        <v>85</v>
      </c>
      <c r="L997" s="172" t="s">
        <v>86</v>
      </c>
    </row>
    <row r="998" spans="1:12" x14ac:dyDescent="0.2">
      <c r="A998" s="172" t="s">
        <v>83</v>
      </c>
      <c r="B998" s="172" t="s">
        <v>84</v>
      </c>
      <c r="C998" s="172" t="s">
        <v>21</v>
      </c>
      <c r="D998" s="172" t="s">
        <v>15</v>
      </c>
      <c r="E998" s="173">
        <v>42710</v>
      </c>
      <c r="F998" s="174">
        <v>2.86</v>
      </c>
      <c r="G998" s="175" t="s">
        <v>16</v>
      </c>
      <c r="H998" s="172" t="s">
        <v>17</v>
      </c>
      <c r="I998" s="175">
        <v>1</v>
      </c>
      <c r="J998" s="175" t="s">
        <v>18</v>
      </c>
      <c r="K998" s="175" t="s">
        <v>85</v>
      </c>
      <c r="L998" s="172" t="s">
        <v>86</v>
      </c>
    </row>
    <row r="999" spans="1:12" x14ac:dyDescent="0.2">
      <c r="A999" s="172" t="s">
        <v>83</v>
      </c>
      <c r="B999" s="172" t="s">
        <v>84</v>
      </c>
      <c r="C999" s="172" t="s">
        <v>21</v>
      </c>
      <c r="D999" s="172" t="s">
        <v>15</v>
      </c>
      <c r="E999" s="173">
        <v>42710</v>
      </c>
      <c r="F999" s="174">
        <v>12.140871600000001</v>
      </c>
      <c r="G999" s="175" t="s">
        <v>19</v>
      </c>
      <c r="H999" s="172" t="s">
        <v>17</v>
      </c>
      <c r="I999" s="175">
        <v>1</v>
      </c>
      <c r="J999" s="175" t="s">
        <v>18</v>
      </c>
      <c r="K999" s="175" t="s">
        <v>85</v>
      </c>
      <c r="L999" s="172" t="s">
        <v>86</v>
      </c>
    </row>
    <row r="1000" spans="1:12" x14ac:dyDescent="0.2">
      <c r="A1000" s="172" t="s">
        <v>83</v>
      </c>
      <c r="B1000" s="172" t="s">
        <v>84</v>
      </c>
      <c r="C1000" s="172" t="s">
        <v>21</v>
      </c>
      <c r="D1000" s="172" t="s">
        <v>15</v>
      </c>
      <c r="E1000" s="173">
        <v>42710</v>
      </c>
      <c r="F1000" s="174">
        <v>1.88</v>
      </c>
      <c r="G1000" s="175" t="s">
        <v>16</v>
      </c>
      <c r="H1000" s="172" t="s">
        <v>20</v>
      </c>
      <c r="I1000" s="175">
        <v>1</v>
      </c>
      <c r="J1000" s="175" t="s">
        <v>18</v>
      </c>
      <c r="K1000" s="175" t="s">
        <v>85</v>
      </c>
      <c r="L1000" s="172" t="s">
        <v>86</v>
      </c>
    </row>
    <row r="1001" spans="1:12" x14ac:dyDescent="0.2">
      <c r="A1001" s="172" t="s">
        <v>83</v>
      </c>
      <c r="B1001" s="172" t="s">
        <v>84</v>
      </c>
      <c r="C1001" s="172" t="s">
        <v>21</v>
      </c>
      <c r="D1001" s="172" t="s">
        <v>15</v>
      </c>
      <c r="E1001" s="173">
        <v>42710</v>
      </c>
      <c r="F1001" s="174">
        <v>7.9807128000000001</v>
      </c>
      <c r="G1001" s="175" t="s">
        <v>19</v>
      </c>
      <c r="H1001" s="172" t="s">
        <v>20</v>
      </c>
      <c r="I1001" s="175">
        <v>1</v>
      </c>
      <c r="J1001" s="175" t="s">
        <v>18</v>
      </c>
      <c r="K1001" s="175" t="s">
        <v>85</v>
      </c>
      <c r="L1001" s="172" t="s">
        <v>86</v>
      </c>
    </row>
    <row r="1002" spans="1:12" x14ac:dyDescent="0.2">
      <c r="A1002" s="172" t="s">
        <v>83</v>
      </c>
      <c r="B1002" s="172" t="s">
        <v>84</v>
      </c>
      <c r="C1002" s="172" t="s">
        <v>21</v>
      </c>
      <c r="D1002" s="172" t="s">
        <v>15</v>
      </c>
      <c r="E1002" s="173">
        <v>42703</v>
      </c>
      <c r="F1002" s="174">
        <v>2.81</v>
      </c>
      <c r="G1002" s="175" t="s">
        <v>16</v>
      </c>
      <c r="H1002" s="172" t="s">
        <v>17</v>
      </c>
      <c r="I1002" s="175">
        <v>1</v>
      </c>
      <c r="J1002" s="175" t="s">
        <v>18</v>
      </c>
      <c r="K1002" s="175" t="s">
        <v>85</v>
      </c>
      <c r="L1002" s="172" t="s">
        <v>86</v>
      </c>
    </row>
    <row r="1003" spans="1:12" x14ac:dyDescent="0.2">
      <c r="A1003" s="172" t="s">
        <v>83</v>
      </c>
      <c r="B1003" s="172" t="s">
        <v>84</v>
      </c>
      <c r="C1003" s="172" t="s">
        <v>21</v>
      </c>
      <c r="D1003" s="172" t="s">
        <v>15</v>
      </c>
      <c r="E1003" s="173">
        <v>42703</v>
      </c>
      <c r="F1003" s="174">
        <v>11.881747799999999</v>
      </c>
      <c r="G1003" s="175" t="s">
        <v>19</v>
      </c>
      <c r="H1003" s="172" t="s">
        <v>17</v>
      </c>
      <c r="I1003" s="175">
        <v>1</v>
      </c>
      <c r="J1003" s="175" t="s">
        <v>18</v>
      </c>
      <c r="K1003" s="175" t="s">
        <v>85</v>
      </c>
      <c r="L1003" s="172" t="s">
        <v>86</v>
      </c>
    </row>
    <row r="1004" spans="1:12" x14ac:dyDescent="0.2">
      <c r="A1004" s="172" t="s">
        <v>83</v>
      </c>
      <c r="B1004" s="172" t="s">
        <v>84</v>
      </c>
      <c r="C1004" s="172" t="s">
        <v>21</v>
      </c>
      <c r="D1004" s="172" t="s">
        <v>15</v>
      </c>
      <c r="E1004" s="173">
        <v>42703</v>
      </c>
      <c r="F1004" s="174">
        <v>1.89</v>
      </c>
      <c r="G1004" s="175" t="s">
        <v>16</v>
      </c>
      <c r="H1004" s="172" t="s">
        <v>20</v>
      </c>
      <c r="I1004" s="175">
        <v>1</v>
      </c>
      <c r="J1004" s="175" t="s">
        <v>18</v>
      </c>
      <c r="K1004" s="175" t="s">
        <v>85</v>
      </c>
      <c r="L1004" s="172" t="s">
        <v>86</v>
      </c>
    </row>
    <row r="1005" spans="1:12" x14ac:dyDescent="0.2">
      <c r="A1005" s="172" t="s">
        <v>83</v>
      </c>
      <c r="B1005" s="172" t="s">
        <v>84</v>
      </c>
      <c r="C1005" s="172" t="s">
        <v>21</v>
      </c>
      <c r="D1005" s="172" t="s">
        <v>15</v>
      </c>
      <c r="E1005" s="173">
        <v>42703</v>
      </c>
      <c r="F1005" s="174">
        <v>7.9916381000000003</v>
      </c>
      <c r="G1005" s="175" t="s">
        <v>19</v>
      </c>
      <c r="H1005" s="172" t="s">
        <v>20</v>
      </c>
      <c r="I1005" s="175">
        <v>1</v>
      </c>
      <c r="J1005" s="175" t="s">
        <v>18</v>
      </c>
      <c r="K1005" s="175" t="s">
        <v>85</v>
      </c>
      <c r="L1005" s="172" t="s">
        <v>86</v>
      </c>
    </row>
    <row r="1006" spans="1:12" x14ac:dyDescent="0.2">
      <c r="A1006" s="172" t="s">
        <v>83</v>
      </c>
      <c r="B1006" s="172" t="s">
        <v>84</v>
      </c>
      <c r="C1006" s="172" t="s">
        <v>21</v>
      </c>
      <c r="D1006" s="172" t="s">
        <v>15</v>
      </c>
      <c r="E1006" s="173">
        <v>42696</v>
      </c>
      <c r="F1006" s="174">
        <v>3.71</v>
      </c>
      <c r="G1006" s="175" t="s">
        <v>16</v>
      </c>
      <c r="H1006" s="172" t="s">
        <v>17</v>
      </c>
      <c r="I1006" s="175">
        <v>1</v>
      </c>
      <c r="J1006" s="175" t="s">
        <v>18</v>
      </c>
      <c r="K1006" s="175" t="s">
        <v>85</v>
      </c>
      <c r="L1006" s="172" t="s">
        <v>86</v>
      </c>
    </row>
    <row r="1007" spans="1:12" x14ac:dyDescent="0.2">
      <c r="A1007" s="172" t="s">
        <v>83</v>
      </c>
      <c r="B1007" s="172" t="s">
        <v>84</v>
      </c>
      <c r="C1007" s="172" t="s">
        <v>21</v>
      </c>
      <c r="D1007" s="172" t="s">
        <v>15</v>
      </c>
      <c r="E1007" s="173">
        <v>42696</v>
      </c>
      <c r="F1007" s="174">
        <v>13.7070402</v>
      </c>
      <c r="G1007" s="175" t="s">
        <v>19</v>
      </c>
      <c r="H1007" s="172" t="s">
        <v>17</v>
      </c>
      <c r="I1007" s="175">
        <v>1</v>
      </c>
      <c r="J1007" s="175" t="s">
        <v>18</v>
      </c>
      <c r="K1007" s="175" t="s">
        <v>85</v>
      </c>
      <c r="L1007" s="172" t="s">
        <v>86</v>
      </c>
    </row>
    <row r="1008" spans="1:12" x14ac:dyDescent="0.2">
      <c r="A1008" s="172" t="s">
        <v>83</v>
      </c>
      <c r="B1008" s="172" t="s">
        <v>84</v>
      </c>
      <c r="C1008" s="172" t="s">
        <v>21</v>
      </c>
      <c r="D1008" s="172" t="s">
        <v>15</v>
      </c>
      <c r="E1008" s="173">
        <v>42696</v>
      </c>
      <c r="F1008" s="174">
        <v>2.11</v>
      </c>
      <c r="G1008" s="175" t="s">
        <v>16</v>
      </c>
      <c r="H1008" s="172" t="s">
        <v>20</v>
      </c>
      <c r="I1008" s="175">
        <v>1</v>
      </c>
      <c r="J1008" s="175" t="s">
        <v>18</v>
      </c>
      <c r="K1008" s="175" t="s">
        <v>85</v>
      </c>
      <c r="L1008" s="172" t="s">
        <v>86</v>
      </c>
    </row>
    <row r="1009" spans="1:12" x14ac:dyDescent="0.2">
      <c r="A1009" s="172" t="s">
        <v>83</v>
      </c>
      <c r="B1009" s="172" t="s">
        <v>84</v>
      </c>
      <c r="C1009" s="172" t="s">
        <v>21</v>
      </c>
      <c r="D1009" s="172" t="s">
        <v>15</v>
      </c>
      <c r="E1009" s="173">
        <v>42696</v>
      </c>
      <c r="F1009" s="174">
        <v>7.7956481999999996</v>
      </c>
      <c r="G1009" s="175" t="s">
        <v>19</v>
      </c>
      <c r="H1009" s="172" t="s">
        <v>20</v>
      </c>
      <c r="I1009" s="175">
        <v>1</v>
      </c>
      <c r="J1009" s="175" t="s">
        <v>18</v>
      </c>
      <c r="K1009" s="175" t="s">
        <v>85</v>
      </c>
      <c r="L1009" s="172" t="s">
        <v>86</v>
      </c>
    </row>
    <row r="1010" spans="1:12" x14ac:dyDescent="0.2">
      <c r="A1010" s="172" t="s">
        <v>83</v>
      </c>
      <c r="B1010" s="172" t="s">
        <v>84</v>
      </c>
      <c r="C1010" s="172" t="s">
        <v>21</v>
      </c>
      <c r="D1010" s="172" t="s">
        <v>15</v>
      </c>
      <c r="E1010" s="173">
        <v>42689</v>
      </c>
      <c r="F1010" s="174">
        <v>5.31</v>
      </c>
      <c r="G1010" s="175" t="s">
        <v>16</v>
      </c>
      <c r="H1010" s="172" t="s">
        <v>17</v>
      </c>
      <c r="I1010" s="175">
        <v>1</v>
      </c>
      <c r="J1010" s="175" t="s">
        <v>18</v>
      </c>
      <c r="K1010" s="175" t="s">
        <v>85</v>
      </c>
      <c r="L1010" s="172" t="s">
        <v>86</v>
      </c>
    </row>
    <row r="1011" spans="1:12" x14ac:dyDescent="0.2">
      <c r="A1011" s="172" t="s">
        <v>83</v>
      </c>
      <c r="B1011" s="172" t="s">
        <v>84</v>
      </c>
      <c r="C1011" s="172" t="s">
        <v>21</v>
      </c>
      <c r="D1011" s="172" t="s">
        <v>15</v>
      </c>
      <c r="E1011" s="173">
        <v>42689</v>
      </c>
      <c r="F1011" s="174">
        <v>19.5298613</v>
      </c>
      <c r="G1011" s="175" t="s">
        <v>19</v>
      </c>
      <c r="H1011" s="172" t="s">
        <v>17</v>
      </c>
      <c r="I1011" s="175">
        <v>1</v>
      </c>
      <c r="J1011" s="175" t="s">
        <v>18</v>
      </c>
      <c r="K1011" s="175" t="s">
        <v>85</v>
      </c>
      <c r="L1011" s="172" t="s">
        <v>86</v>
      </c>
    </row>
    <row r="1012" spans="1:12" x14ac:dyDescent="0.2">
      <c r="A1012" s="172" t="s">
        <v>83</v>
      </c>
      <c r="B1012" s="172" t="s">
        <v>84</v>
      </c>
      <c r="C1012" s="172" t="s">
        <v>21</v>
      </c>
      <c r="D1012" s="172" t="s">
        <v>15</v>
      </c>
      <c r="E1012" s="173">
        <v>42689</v>
      </c>
      <c r="F1012" s="174">
        <v>2.0699999999999998</v>
      </c>
      <c r="G1012" s="175" t="s">
        <v>16</v>
      </c>
      <c r="H1012" s="172" t="s">
        <v>20</v>
      </c>
      <c r="I1012" s="175">
        <v>1</v>
      </c>
      <c r="J1012" s="175" t="s">
        <v>18</v>
      </c>
      <c r="K1012" s="175" t="s">
        <v>85</v>
      </c>
      <c r="L1012" s="172" t="s">
        <v>86</v>
      </c>
    </row>
    <row r="1013" spans="1:12" x14ac:dyDescent="0.2">
      <c r="A1013" s="172" t="s">
        <v>83</v>
      </c>
      <c r="B1013" s="172" t="s">
        <v>84</v>
      </c>
      <c r="C1013" s="172" t="s">
        <v>21</v>
      </c>
      <c r="D1013" s="172" t="s">
        <v>15</v>
      </c>
      <c r="E1013" s="173">
        <v>42689</v>
      </c>
      <c r="F1013" s="174">
        <v>7.6133357999999998</v>
      </c>
      <c r="G1013" s="175" t="s">
        <v>19</v>
      </c>
      <c r="H1013" s="172" t="s">
        <v>20</v>
      </c>
      <c r="I1013" s="175">
        <v>1</v>
      </c>
      <c r="J1013" s="175" t="s">
        <v>18</v>
      </c>
      <c r="K1013" s="175" t="s">
        <v>85</v>
      </c>
      <c r="L1013" s="172" t="s">
        <v>86</v>
      </c>
    </row>
    <row r="1014" spans="1:12" x14ac:dyDescent="0.2">
      <c r="A1014" s="172" t="s">
        <v>83</v>
      </c>
      <c r="B1014" s="172" t="s">
        <v>84</v>
      </c>
      <c r="C1014" s="172" t="s">
        <v>21</v>
      </c>
      <c r="D1014" s="172" t="s">
        <v>15</v>
      </c>
      <c r="E1014" s="173">
        <v>42682</v>
      </c>
      <c r="F1014" s="174">
        <v>2.81</v>
      </c>
      <c r="G1014" s="175" t="s">
        <v>16</v>
      </c>
      <c r="H1014" s="172" t="s">
        <v>17</v>
      </c>
      <c r="I1014" s="175">
        <v>1</v>
      </c>
      <c r="J1014" s="175" t="s">
        <v>18</v>
      </c>
      <c r="K1014" s="175" t="s">
        <v>85</v>
      </c>
      <c r="L1014" s="172" t="s">
        <v>86</v>
      </c>
    </row>
    <row r="1015" spans="1:12" x14ac:dyDescent="0.2">
      <c r="A1015" s="172" t="s">
        <v>83</v>
      </c>
      <c r="B1015" s="172" t="s">
        <v>84</v>
      </c>
      <c r="C1015" s="172" t="s">
        <v>21</v>
      </c>
      <c r="D1015" s="172" t="s">
        <v>15</v>
      </c>
      <c r="E1015" s="173">
        <v>42682</v>
      </c>
      <c r="F1015" s="174">
        <v>10.569365400000001</v>
      </c>
      <c r="G1015" s="175" t="s">
        <v>19</v>
      </c>
      <c r="H1015" s="172" t="s">
        <v>17</v>
      </c>
      <c r="I1015" s="175">
        <v>1</v>
      </c>
      <c r="J1015" s="175" t="s">
        <v>18</v>
      </c>
      <c r="K1015" s="175" t="s">
        <v>85</v>
      </c>
      <c r="L1015" s="172" t="s">
        <v>86</v>
      </c>
    </row>
    <row r="1016" spans="1:12" x14ac:dyDescent="0.2">
      <c r="A1016" s="172" t="s">
        <v>83</v>
      </c>
      <c r="B1016" s="172" t="s">
        <v>84</v>
      </c>
      <c r="C1016" s="172" t="s">
        <v>21</v>
      </c>
      <c r="D1016" s="172" t="s">
        <v>15</v>
      </c>
      <c r="E1016" s="173">
        <v>42682</v>
      </c>
      <c r="F1016" s="174">
        <v>1.39</v>
      </c>
      <c r="G1016" s="175" t="s">
        <v>16</v>
      </c>
      <c r="H1016" s="172" t="s">
        <v>20</v>
      </c>
      <c r="I1016" s="175">
        <v>1</v>
      </c>
      <c r="J1016" s="175" t="s">
        <v>18</v>
      </c>
      <c r="K1016" s="175" t="s">
        <v>85</v>
      </c>
      <c r="L1016" s="172" t="s">
        <v>86</v>
      </c>
    </row>
    <row r="1017" spans="1:12" x14ac:dyDescent="0.2">
      <c r="A1017" s="172" t="s">
        <v>83</v>
      </c>
      <c r="B1017" s="172" t="s">
        <v>84</v>
      </c>
      <c r="C1017" s="172" t="s">
        <v>21</v>
      </c>
      <c r="D1017" s="172" t="s">
        <v>15</v>
      </c>
      <c r="E1017" s="173">
        <v>42682</v>
      </c>
      <c r="F1017" s="174">
        <v>5.2282625999999999</v>
      </c>
      <c r="G1017" s="175" t="s">
        <v>19</v>
      </c>
      <c r="H1017" s="172" t="s">
        <v>20</v>
      </c>
      <c r="I1017" s="175">
        <v>1</v>
      </c>
      <c r="J1017" s="175" t="s">
        <v>18</v>
      </c>
      <c r="K1017" s="175" t="s">
        <v>85</v>
      </c>
      <c r="L1017" s="172" t="s">
        <v>86</v>
      </c>
    </row>
    <row r="1018" spans="1:12" x14ac:dyDescent="0.2">
      <c r="A1018" s="172" t="s">
        <v>83</v>
      </c>
      <c r="B1018" s="172" t="s">
        <v>84</v>
      </c>
      <c r="C1018" s="172" t="s">
        <v>21</v>
      </c>
      <c r="D1018" s="172" t="s">
        <v>15</v>
      </c>
      <c r="E1018" s="173">
        <v>42675</v>
      </c>
      <c r="F1018" s="174">
        <v>2.38</v>
      </c>
      <c r="G1018" s="175" t="s">
        <v>16</v>
      </c>
      <c r="H1018" s="172" t="s">
        <v>17</v>
      </c>
      <c r="I1018" s="175">
        <v>1</v>
      </c>
      <c r="J1018" s="175" t="s">
        <v>18</v>
      </c>
      <c r="K1018" s="175" t="s">
        <v>85</v>
      </c>
      <c r="L1018" s="172" t="s">
        <v>86</v>
      </c>
    </row>
    <row r="1019" spans="1:12" x14ac:dyDescent="0.2">
      <c r="A1019" s="172" t="s">
        <v>83</v>
      </c>
      <c r="B1019" s="172" t="s">
        <v>84</v>
      </c>
      <c r="C1019" s="172" t="s">
        <v>21</v>
      </c>
      <c r="D1019" s="172" t="s">
        <v>15</v>
      </c>
      <c r="E1019" s="173">
        <v>42675</v>
      </c>
      <c r="F1019" s="174">
        <v>10.6391712</v>
      </c>
      <c r="G1019" s="175" t="s">
        <v>19</v>
      </c>
      <c r="H1019" s="172" t="s">
        <v>17</v>
      </c>
      <c r="I1019" s="175">
        <v>1</v>
      </c>
      <c r="J1019" s="175" t="s">
        <v>18</v>
      </c>
      <c r="K1019" s="175" t="s">
        <v>85</v>
      </c>
      <c r="L1019" s="172" t="s">
        <v>86</v>
      </c>
    </row>
    <row r="1020" spans="1:12" x14ac:dyDescent="0.2">
      <c r="A1020" s="172" t="s">
        <v>83</v>
      </c>
      <c r="B1020" s="172" t="s">
        <v>84</v>
      </c>
      <c r="C1020" s="172" t="s">
        <v>21</v>
      </c>
      <c r="D1020" s="172" t="s">
        <v>15</v>
      </c>
      <c r="E1020" s="173">
        <v>42675</v>
      </c>
      <c r="F1020" s="174">
        <v>1.71</v>
      </c>
      <c r="G1020" s="175" t="s">
        <v>16</v>
      </c>
      <c r="H1020" s="172" t="s">
        <v>20</v>
      </c>
      <c r="I1020" s="175">
        <v>1</v>
      </c>
      <c r="J1020" s="175" t="s">
        <v>18</v>
      </c>
      <c r="K1020" s="175" t="s">
        <v>85</v>
      </c>
      <c r="L1020" s="172" t="s">
        <v>86</v>
      </c>
    </row>
    <row r="1021" spans="1:12" x14ac:dyDescent="0.2">
      <c r="A1021" s="172" t="s">
        <v>83</v>
      </c>
      <c r="B1021" s="172" t="s">
        <v>84</v>
      </c>
      <c r="C1021" s="172" t="s">
        <v>21</v>
      </c>
      <c r="D1021" s="172" t="s">
        <v>15</v>
      </c>
      <c r="E1021" s="173">
        <v>42675</v>
      </c>
      <c r="F1021" s="174">
        <v>7.6441103999999997</v>
      </c>
      <c r="G1021" s="175" t="s">
        <v>19</v>
      </c>
      <c r="H1021" s="172" t="s">
        <v>20</v>
      </c>
      <c r="I1021" s="175">
        <v>1</v>
      </c>
      <c r="J1021" s="175" t="s">
        <v>18</v>
      </c>
      <c r="K1021" s="175" t="s">
        <v>85</v>
      </c>
      <c r="L1021" s="172" t="s">
        <v>86</v>
      </c>
    </row>
    <row r="1022" spans="1:12" x14ac:dyDescent="0.2">
      <c r="A1022" s="172" t="s">
        <v>83</v>
      </c>
      <c r="B1022" s="172" t="s">
        <v>84</v>
      </c>
      <c r="C1022" s="172" t="s">
        <v>21</v>
      </c>
      <c r="D1022" s="172" t="s">
        <v>15</v>
      </c>
      <c r="E1022" s="173">
        <v>42668</v>
      </c>
      <c r="F1022" s="174">
        <v>2.02</v>
      </c>
      <c r="G1022" s="175" t="s">
        <v>16</v>
      </c>
      <c r="H1022" s="172" t="s">
        <v>17</v>
      </c>
      <c r="I1022" s="175">
        <v>1</v>
      </c>
      <c r="J1022" s="175" t="s">
        <v>18</v>
      </c>
      <c r="K1022" s="175" t="s">
        <v>85</v>
      </c>
      <c r="L1022" s="172" t="s">
        <v>86</v>
      </c>
    </row>
    <row r="1023" spans="1:12" x14ac:dyDescent="0.2">
      <c r="A1023" s="172" t="s">
        <v>83</v>
      </c>
      <c r="B1023" s="172" t="s">
        <v>84</v>
      </c>
      <c r="C1023" s="172" t="s">
        <v>21</v>
      </c>
      <c r="D1023" s="172" t="s">
        <v>15</v>
      </c>
      <c r="E1023" s="173">
        <v>42668</v>
      </c>
      <c r="F1023" s="174">
        <v>5.6605248000000001</v>
      </c>
      <c r="G1023" s="175" t="s">
        <v>19</v>
      </c>
      <c r="H1023" s="172" t="s">
        <v>17</v>
      </c>
      <c r="I1023" s="175">
        <v>1</v>
      </c>
      <c r="J1023" s="175" t="s">
        <v>18</v>
      </c>
      <c r="K1023" s="175" t="s">
        <v>85</v>
      </c>
      <c r="L1023" s="172" t="s">
        <v>86</v>
      </c>
    </row>
    <row r="1024" spans="1:12" x14ac:dyDescent="0.2">
      <c r="A1024" s="172" t="s">
        <v>83</v>
      </c>
      <c r="B1024" s="172" t="s">
        <v>84</v>
      </c>
      <c r="C1024" s="172" t="s">
        <v>21</v>
      </c>
      <c r="D1024" s="172" t="s">
        <v>15</v>
      </c>
      <c r="E1024" s="173">
        <v>42668</v>
      </c>
      <c r="F1024" s="174">
        <v>2.13</v>
      </c>
      <c r="G1024" s="175" t="s">
        <v>16</v>
      </c>
      <c r="H1024" s="172" t="s">
        <v>20</v>
      </c>
      <c r="I1024" s="175">
        <v>1</v>
      </c>
      <c r="J1024" s="175" t="s">
        <v>18</v>
      </c>
      <c r="K1024" s="175" t="s">
        <v>85</v>
      </c>
      <c r="L1024" s="172" t="s">
        <v>86</v>
      </c>
    </row>
    <row r="1025" spans="1:12" x14ac:dyDescent="0.2">
      <c r="A1025" s="172" t="s">
        <v>83</v>
      </c>
      <c r="B1025" s="172" t="s">
        <v>84</v>
      </c>
      <c r="C1025" s="172" t="s">
        <v>21</v>
      </c>
      <c r="D1025" s="172" t="s">
        <v>15</v>
      </c>
      <c r="E1025" s="173">
        <v>42668</v>
      </c>
      <c r="F1025" s="174">
        <v>5.9687711999999999</v>
      </c>
      <c r="G1025" s="175" t="s">
        <v>19</v>
      </c>
      <c r="H1025" s="172" t="s">
        <v>20</v>
      </c>
      <c r="I1025" s="175">
        <v>1</v>
      </c>
      <c r="J1025" s="175" t="s">
        <v>18</v>
      </c>
      <c r="K1025" s="175" t="s">
        <v>85</v>
      </c>
      <c r="L1025" s="172" t="s">
        <v>86</v>
      </c>
    </row>
    <row r="1026" spans="1:12" x14ac:dyDescent="0.2">
      <c r="A1026" s="172" t="s">
        <v>83</v>
      </c>
      <c r="B1026" s="172" t="s">
        <v>84</v>
      </c>
      <c r="C1026" s="172" t="s">
        <v>21</v>
      </c>
      <c r="D1026" s="172" t="s">
        <v>15</v>
      </c>
      <c r="E1026" s="173">
        <v>42661</v>
      </c>
      <c r="F1026" s="174">
        <v>2.72</v>
      </c>
      <c r="G1026" s="175" t="s">
        <v>16</v>
      </c>
      <c r="H1026" s="172" t="s">
        <v>17</v>
      </c>
      <c r="I1026" s="175">
        <v>1</v>
      </c>
      <c r="J1026" s="175" t="s">
        <v>18</v>
      </c>
      <c r="K1026" s="175" t="s">
        <v>85</v>
      </c>
      <c r="L1026" s="172" t="s">
        <v>86</v>
      </c>
    </row>
    <row r="1027" spans="1:12" x14ac:dyDescent="0.2">
      <c r="A1027" s="172" t="s">
        <v>83</v>
      </c>
      <c r="B1027" s="172" t="s">
        <v>84</v>
      </c>
      <c r="C1027" s="172" t="s">
        <v>21</v>
      </c>
      <c r="D1027" s="172" t="s">
        <v>15</v>
      </c>
      <c r="E1027" s="173">
        <v>42661</v>
      </c>
      <c r="F1027" s="174">
        <v>12.2724768</v>
      </c>
      <c r="G1027" s="175" t="s">
        <v>19</v>
      </c>
      <c r="H1027" s="172" t="s">
        <v>17</v>
      </c>
      <c r="I1027" s="175">
        <v>1</v>
      </c>
      <c r="J1027" s="175" t="s">
        <v>18</v>
      </c>
      <c r="K1027" s="175" t="s">
        <v>85</v>
      </c>
      <c r="L1027" s="172" t="s">
        <v>86</v>
      </c>
    </row>
    <row r="1028" spans="1:12" x14ac:dyDescent="0.2">
      <c r="A1028" s="172" t="s">
        <v>83</v>
      </c>
      <c r="B1028" s="172" t="s">
        <v>84</v>
      </c>
      <c r="C1028" s="172" t="s">
        <v>21</v>
      </c>
      <c r="D1028" s="172" t="s">
        <v>15</v>
      </c>
      <c r="E1028" s="173">
        <v>42661</v>
      </c>
      <c r="F1028" s="174">
        <v>1.64</v>
      </c>
      <c r="G1028" s="175" t="s">
        <v>16</v>
      </c>
      <c r="H1028" s="172" t="s">
        <v>20</v>
      </c>
      <c r="I1028" s="175">
        <v>1</v>
      </c>
      <c r="J1028" s="175" t="s">
        <v>18</v>
      </c>
      <c r="K1028" s="175" t="s">
        <v>85</v>
      </c>
      <c r="L1028" s="172" t="s">
        <v>86</v>
      </c>
    </row>
    <row r="1029" spans="1:12" x14ac:dyDescent="0.2">
      <c r="A1029" s="172" t="s">
        <v>83</v>
      </c>
      <c r="B1029" s="172" t="s">
        <v>84</v>
      </c>
      <c r="C1029" s="172" t="s">
        <v>21</v>
      </c>
      <c r="D1029" s="172" t="s">
        <v>15</v>
      </c>
      <c r="E1029" s="173">
        <v>42661</v>
      </c>
      <c r="F1029" s="174">
        <v>7.3995816000000003</v>
      </c>
      <c r="G1029" s="175" t="s">
        <v>19</v>
      </c>
      <c r="H1029" s="172" t="s">
        <v>20</v>
      </c>
      <c r="I1029" s="175">
        <v>1</v>
      </c>
      <c r="J1029" s="175" t="s">
        <v>18</v>
      </c>
      <c r="K1029" s="175" t="s">
        <v>85</v>
      </c>
      <c r="L1029" s="172" t="s">
        <v>86</v>
      </c>
    </row>
    <row r="1030" spans="1:12" x14ac:dyDescent="0.2">
      <c r="A1030" s="172" t="s">
        <v>83</v>
      </c>
      <c r="B1030" s="172" t="s">
        <v>84</v>
      </c>
      <c r="C1030" s="172" t="s">
        <v>21</v>
      </c>
      <c r="D1030" s="172" t="s">
        <v>15</v>
      </c>
      <c r="E1030" s="173">
        <v>42654</v>
      </c>
      <c r="F1030" s="174">
        <v>2.16</v>
      </c>
      <c r="G1030" s="175" t="s">
        <v>16</v>
      </c>
      <c r="H1030" s="172" t="s">
        <v>17</v>
      </c>
      <c r="I1030" s="175">
        <v>1</v>
      </c>
      <c r="J1030" s="175" t="s">
        <v>18</v>
      </c>
      <c r="K1030" s="175" t="s">
        <v>85</v>
      </c>
      <c r="L1030" s="172" t="s">
        <v>86</v>
      </c>
    </row>
    <row r="1031" spans="1:12" x14ac:dyDescent="0.2">
      <c r="A1031" s="172" t="s">
        <v>83</v>
      </c>
      <c r="B1031" s="172" t="s">
        <v>84</v>
      </c>
      <c r="C1031" s="172" t="s">
        <v>21</v>
      </c>
      <c r="D1031" s="172" t="s">
        <v>15</v>
      </c>
      <c r="E1031" s="173">
        <v>42654</v>
      </c>
      <c r="F1031" s="174">
        <v>11.0428272</v>
      </c>
      <c r="G1031" s="175" t="s">
        <v>19</v>
      </c>
      <c r="H1031" s="172" t="s">
        <v>17</v>
      </c>
      <c r="I1031" s="175">
        <v>1</v>
      </c>
      <c r="J1031" s="175" t="s">
        <v>18</v>
      </c>
      <c r="K1031" s="175" t="s">
        <v>85</v>
      </c>
      <c r="L1031" s="172" t="s">
        <v>86</v>
      </c>
    </row>
    <row r="1032" spans="1:12" x14ac:dyDescent="0.2">
      <c r="A1032" s="172" t="s">
        <v>83</v>
      </c>
      <c r="B1032" s="172" t="s">
        <v>84</v>
      </c>
      <c r="C1032" s="172" t="s">
        <v>21</v>
      </c>
      <c r="D1032" s="172" t="s">
        <v>15</v>
      </c>
      <c r="E1032" s="173">
        <v>42654</v>
      </c>
      <c r="F1032" s="174">
        <v>1.41</v>
      </c>
      <c r="G1032" s="175" t="s">
        <v>16</v>
      </c>
      <c r="H1032" s="172" t="s">
        <v>20</v>
      </c>
      <c r="I1032" s="175">
        <v>1</v>
      </c>
      <c r="J1032" s="175" t="s">
        <v>18</v>
      </c>
      <c r="K1032" s="175" t="s">
        <v>85</v>
      </c>
      <c r="L1032" s="172" t="s">
        <v>86</v>
      </c>
    </row>
    <row r="1033" spans="1:12" x14ac:dyDescent="0.2">
      <c r="A1033" s="172" t="s">
        <v>83</v>
      </c>
      <c r="B1033" s="172" t="s">
        <v>84</v>
      </c>
      <c r="C1033" s="172" t="s">
        <v>21</v>
      </c>
      <c r="D1033" s="172" t="s">
        <v>15</v>
      </c>
      <c r="E1033" s="173">
        <v>42654</v>
      </c>
      <c r="F1033" s="174">
        <v>7.2085121000000001</v>
      </c>
      <c r="G1033" s="175" t="s">
        <v>19</v>
      </c>
      <c r="H1033" s="172" t="s">
        <v>20</v>
      </c>
      <c r="I1033" s="175">
        <v>1</v>
      </c>
      <c r="J1033" s="175" t="s">
        <v>18</v>
      </c>
      <c r="K1033" s="175" t="s">
        <v>85</v>
      </c>
      <c r="L1033" s="172" t="s">
        <v>86</v>
      </c>
    </row>
    <row r="1034" spans="1:12" x14ac:dyDescent="0.2">
      <c r="A1034" s="172" t="s">
        <v>83</v>
      </c>
      <c r="B1034" s="172" t="s">
        <v>84</v>
      </c>
      <c r="C1034" s="172" t="s">
        <v>21</v>
      </c>
      <c r="D1034" s="172" t="s">
        <v>15</v>
      </c>
      <c r="E1034" s="173">
        <v>42647</v>
      </c>
      <c r="F1034" s="174">
        <v>1.41</v>
      </c>
      <c r="G1034" s="175" t="s">
        <v>16</v>
      </c>
      <c r="H1034" s="172" t="s">
        <v>17</v>
      </c>
      <c r="I1034" s="175">
        <v>1</v>
      </c>
      <c r="J1034" s="175" t="s">
        <v>18</v>
      </c>
      <c r="K1034" s="175" t="s">
        <v>85</v>
      </c>
      <c r="L1034" s="172" t="s">
        <v>86</v>
      </c>
    </row>
    <row r="1035" spans="1:12" x14ac:dyDescent="0.2">
      <c r="A1035" s="172" t="s">
        <v>83</v>
      </c>
      <c r="B1035" s="172" t="s">
        <v>84</v>
      </c>
      <c r="C1035" s="172" t="s">
        <v>21</v>
      </c>
      <c r="D1035" s="172" t="s">
        <v>15</v>
      </c>
      <c r="E1035" s="173">
        <v>42647</v>
      </c>
      <c r="F1035" s="174">
        <v>10.0190088</v>
      </c>
      <c r="G1035" s="175" t="s">
        <v>19</v>
      </c>
      <c r="H1035" s="172" t="s">
        <v>17</v>
      </c>
      <c r="I1035" s="175">
        <v>1</v>
      </c>
      <c r="J1035" s="175" t="s">
        <v>18</v>
      </c>
      <c r="K1035" s="175" t="s">
        <v>85</v>
      </c>
      <c r="L1035" s="172" t="s">
        <v>86</v>
      </c>
    </row>
    <row r="1036" spans="1:12" x14ac:dyDescent="0.2">
      <c r="A1036" s="172" t="s">
        <v>83</v>
      </c>
      <c r="B1036" s="172" t="s">
        <v>84</v>
      </c>
      <c r="C1036" s="172" t="s">
        <v>21</v>
      </c>
      <c r="D1036" s="172" t="s">
        <v>15</v>
      </c>
      <c r="E1036" s="173">
        <v>42647</v>
      </c>
      <c r="F1036" s="174">
        <v>0.98699999999999999</v>
      </c>
      <c r="G1036" s="175" t="s">
        <v>16</v>
      </c>
      <c r="H1036" s="172" t="s">
        <v>20</v>
      </c>
      <c r="I1036" s="175">
        <v>1</v>
      </c>
      <c r="J1036" s="175" t="s">
        <v>18</v>
      </c>
      <c r="K1036" s="175" t="s">
        <v>85</v>
      </c>
      <c r="L1036" s="172" t="s">
        <v>86</v>
      </c>
    </row>
    <row r="1037" spans="1:12" x14ac:dyDescent="0.2">
      <c r="A1037" s="172" t="s">
        <v>83</v>
      </c>
      <c r="B1037" s="172" t="s">
        <v>84</v>
      </c>
      <c r="C1037" s="172" t="s">
        <v>21</v>
      </c>
      <c r="D1037" s="172" t="s">
        <v>15</v>
      </c>
      <c r="E1037" s="173">
        <v>42647</v>
      </c>
      <c r="F1037" s="174">
        <v>7.0133061000000003</v>
      </c>
      <c r="G1037" s="175" t="s">
        <v>19</v>
      </c>
      <c r="H1037" s="172" t="s">
        <v>20</v>
      </c>
      <c r="I1037" s="175">
        <v>1</v>
      </c>
      <c r="J1037" s="175" t="s">
        <v>18</v>
      </c>
      <c r="K1037" s="175" t="s">
        <v>85</v>
      </c>
      <c r="L1037" s="172" t="s">
        <v>86</v>
      </c>
    </row>
    <row r="1038" spans="1:12" x14ac:dyDescent="0.2">
      <c r="A1038" s="172" t="s">
        <v>83</v>
      </c>
      <c r="B1038" s="172" t="s">
        <v>84</v>
      </c>
      <c r="C1038" s="172" t="s">
        <v>21</v>
      </c>
      <c r="D1038" s="172" t="s">
        <v>15</v>
      </c>
      <c r="E1038" s="173">
        <v>42642</v>
      </c>
      <c r="F1038" s="174">
        <v>1.07</v>
      </c>
      <c r="G1038" s="175" t="s">
        <v>16</v>
      </c>
      <c r="H1038" s="172" t="s">
        <v>17</v>
      </c>
      <c r="I1038" s="175">
        <v>1</v>
      </c>
      <c r="J1038" s="175" t="s">
        <v>18</v>
      </c>
      <c r="K1038" s="175" t="s">
        <v>85</v>
      </c>
      <c r="L1038" s="172" t="s">
        <v>86</v>
      </c>
    </row>
    <row r="1039" spans="1:12" x14ac:dyDescent="0.2">
      <c r="A1039" s="172" t="s">
        <v>83</v>
      </c>
      <c r="B1039" s="172" t="s">
        <v>84</v>
      </c>
      <c r="C1039" s="172" t="s">
        <v>21</v>
      </c>
      <c r="D1039" s="172" t="s">
        <v>15</v>
      </c>
      <c r="E1039" s="173">
        <v>42642</v>
      </c>
      <c r="F1039" s="174">
        <v>9.9054179999999992</v>
      </c>
      <c r="G1039" s="175" t="s">
        <v>19</v>
      </c>
      <c r="H1039" s="172" t="s">
        <v>17</v>
      </c>
      <c r="I1039" s="175">
        <v>1</v>
      </c>
      <c r="J1039" s="175" t="s">
        <v>18</v>
      </c>
      <c r="K1039" s="175" t="s">
        <v>85</v>
      </c>
      <c r="L1039" s="172" t="s">
        <v>86</v>
      </c>
    </row>
    <row r="1040" spans="1:12" x14ac:dyDescent="0.2">
      <c r="A1040" s="172" t="s">
        <v>83</v>
      </c>
      <c r="B1040" s="172" t="s">
        <v>84</v>
      </c>
      <c r="C1040" s="172" t="s">
        <v>21</v>
      </c>
      <c r="D1040" s="172" t="s">
        <v>15</v>
      </c>
      <c r="E1040" s="173">
        <v>42642</v>
      </c>
      <c r="F1040" s="174">
        <v>0.7</v>
      </c>
      <c r="G1040" s="175" t="s">
        <v>16</v>
      </c>
      <c r="H1040" s="172" t="s">
        <v>20</v>
      </c>
      <c r="I1040" s="175">
        <v>1</v>
      </c>
      <c r="J1040" s="175" t="s">
        <v>18</v>
      </c>
      <c r="K1040" s="175" t="s">
        <v>85</v>
      </c>
      <c r="L1040" s="172" t="s">
        <v>86</v>
      </c>
    </row>
    <row r="1041" spans="1:12" x14ac:dyDescent="0.2">
      <c r="A1041" s="172" t="s">
        <v>83</v>
      </c>
      <c r="B1041" s="172" t="s">
        <v>84</v>
      </c>
      <c r="C1041" s="172" t="s">
        <v>21</v>
      </c>
      <c r="D1041" s="172" t="s">
        <v>15</v>
      </c>
      <c r="E1041" s="173">
        <v>42642</v>
      </c>
      <c r="F1041" s="174">
        <v>6.4801799999999998</v>
      </c>
      <c r="G1041" s="175" t="s">
        <v>19</v>
      </c>
      <c r="H1041" s="172" t="s">
        <v>20</v>
      </c>
      <c r="I1041" s="175">
        <v>1</v>
      </c>
      <c r="J1041" s="175" t="s">
        <v>18</v>
      </c>
      <c r="K1041" s="175" t="s">
        <v>85</v>
      </c>
      <c r="L1041" s="172" t="s">
        <v>86</v>
      </c>
    </row>
    <row r="1042" spans="1:12" x14ac:dyDescent="0.2">
      <c r="A1042" s="172" t="s">
        <v>83</v>
      </c>
      <c r="B1042" s="172" t="s">
        <v>84</v>
      </c>
      <c r="C1042" s="172" t="s">
        <v>21</v>
      </c>
      <c r="D1042" s="172" t="s">
        <v>15</v>
      </c>
      <c r="E1042" s="173">
        <v>42633</v>
      </c>
      <c r="F1042" s="174">
        <v>2.37</v>
      </c>
      <c r="G1042" s="175" t="s">
        <v>16</v>
      </c>
      <c r="H1042" s="172" t="s">
        <v>17</v>
      </c>
      <c r="I1042" s="175">
        <v>1</v>
      </c>
      <c r="J1042" s="175" t="s">
        <v>18</v>
      </c>
      <c r="K1042" s="175" t="s">
        <v>85</v>
      </c>
      <c r="L1042" s="172" t="s">
        <v>86</v>
      </c>
    </row>
    <row r="1043" spans="1:12" x14ac:dyDescent="0.2">
      <c r="A1043" s="172" t="s">
        <v>83</v>
      </c>
      <c r="B1043" s="172" t="s">
        <v>84</v>
      </c>
      <c r="C1043" s="172" t="s">
        <v>21</v>
      </c>
      <c r="D1043" s="172" t="s">
        <v>15</v>
      </c>
      <c r="E1043" s="173">
        <v>42633</v>
      </c>
      <c r="F1043" s="174">
        <v>13.045427999999999</v>
      </c>
      <c r="G1043" s="175" t="s">
        <v>19</v>
      </c>
      <c r="H1043" s="172" t="s">
        <v>17</v>
      </c>
      <c r="I1043" s="175">
        <v>1</v>
      </c>
      <c r="J1043" s="175" t="s">
        <v>18</v>
      </c>
      <c r="K1043" s="175" t="s">
        <v>85</v>
      </c>
      <c r="L1043" s="172" t="s">
        <v>86</v>
      </c>
    </row>
    <row r="1044" spans="1:12" x14ac:dyDescent="0.2">
      <c r="A1044" s="172" t="s">
        <v>83</v>
      </c>
      <c r="B1044" s="172" t="s">
        <v>84</v>
      </c>
      <c r="C1044" s="172" t="s">
        <v>21</v>
      </c>
      <c r="D1044" s="172" t="s">
        <v>15</v>
      </c>
      <c r="E1044" s="173">
        <v>42633</v>
      </c>
      <c r="F1044" s="174">
        <v>1.23</v>
      </c>
      <c r="G1044" s="175" t="s">
        <v>16</v>
      </c>
      <c r="H1044" s="172" t="s">
        <v>20</v>
      </c>
      <c r="I1044" s="175">
        <v>1</v>
      </c>
      <c r="J1044" s="175" t="s">
        <v>18</v>
      </c>
      <c r="K1044" s="175" t="s">
        <v>85</v>
      </c>
      <c r="L1044" s="172" t="s">
        <v>86</v>
      </c>
    </row>
    <row r="1045" spans="1:12" x14ac:dyDescent="0.2">
      <c r="A1045" s="172" t="s">
        <v>83</v>
      </c>
      <c r="B1045" s="172" t="s">
        <v>84</v>
      </c>
      <c r="C1045" s="172" t="s">
        <v>21</v>
      </c>
      <c r="D1045" s="172" t="s">
        <v>15</v>
      </c>
      <c r="E1045" s="173">
        <v>42633</v>
      </c>
      <c r="F1045" s="174">
        <v>6.7704120000000003</v>
      </c>
      <c r="G1045" s="175" t="s">
        <v>19</v>
      </c>
      <c r="H1045" s="172" t="s">
        <v>20</v>
      </c>
      <c r="I1045" s="175">
        <v>1</v>
      </c>
      <c r="J1045" s="175" t="s">
        <v>18</v>
      </c>
      <c r="K1045" s="175" t="s">
        <v>85</v>
      </c>
      <c r="L1045" s="172" t="s">
        <v>86</v>
      </c>
    </row>
    <row r="1046" spans="1:12" x14ac:dyDescent="0.2">
      <c r="A1046" s="172" t="s">
        <v>83</v>
      </c>
      <c r="B1046" s="172" t="s">
        <v>84</v>
      </c>
      <c r="C1046" s="172" t="s">
        <v>21</v>
      </c>
      <c r="D1046" s="172" t="s">
        <v>15</v>
      </c>
      <c r="E1046" s="173">
        <v>42626</v>
      </c>
      <c r="F1046" s="174">
        <v>2.1</v>
      </c>
      <c r="G1046" s="175" t="s">
        <v>16</v>
      </c>
      <c r="H1046" s="172" t="s">
        <v>17</v>
      </c>
      <c r="I1046" s="175">
        <v>1</v>
      </c>
      <c r="J1046" s="175" t="s">
        <v>18</v>
      </c>
      <c r="K1046" s="175" t="s">
        <v>85</v>
      </c>
      <c r="L1046" s="172" t="s">
        <v>86</v>
      </c>
    </row>
    <row r="1047" spans="1:12" x14ac:dyDescent="0.2">
      <c r="A1047" s="172" t="s">
        <v>83</v>
      </c>
      <c r="B1047" s="172" t="s">
        <v>84</v>
      </c>
      <c r="C1047" s="172" t="s">
        <v>21</v>
      </c>
      <c r="D1047" s="172" t="s">
        <v>15</v>
      </c>
      <c r="E1047" s="173">
        <v>42626</v>
      </c>
      <c r="F1047" s="174">
        <v>10.000494</v>
      </c>
      <c r="G1047" s="175" t="s">
        <v>19</v>
      </c>
      <c r="H1047" s="172" t="s">
        <v>17</v>
      </c>
      <c r="I1047" s="175">
        <v>1</v>
      </c>
      <c r="J1047" s="175" t="s">
        <v>18</v>
      </c>
      <c r="K1047" s="175" t="s">
        <v>85</v>
      </c>
      <c r="L1047" s="172" t="s">
        <v>86</v>
      </c>
    </row>
    <row r="1048" spans="1:12" x14ac:dyDescent="0.2">
      <c r="A1048" s="172" t="s">
        <v>83</v>
      </c>
      <c r="B1048" s="172" t="s">
        <v>84</v>
      </c>
      <c r="C1048" s="172" t="s">
        <v>21</v>
      </c>
      <c r="D1048" s="172" t="s">
        <v>15</v>
      </c>
      <c r="E1048" s="173">
        <v>42626</v>
      </c>
      <c r="F1048" s="174">
        <v>1.6</v>
      </c>
      <c r="G1048" s="175" t="s">
        <v>16</v>
      </c>
      <c r="H1048" s="172" t="s">
        <v>20</v>
      </c>
      <c r="I1048" s="175">
        <v>1</v>
      </c>
      <c r="J1048" s="175" t="s">
        <v>18</v>
      </c>
      <c r="K1048" s="175" t="s">
        <v>85</v>
      </c>
      <c r="L1048" s="172" t="s">
        <v>86</v>
      </c>
    </row>
    <row r="1049" spans="1:12" x14ac:dyDescent="0.2">
      <c r="A1049" s="172" t="s">
        <v>83</v>
      </c>
      <c r="B1049" s="172" t="s">
        <v>84</v>
      </c>
      <c r="C1049" s="172" t="s">
        <v>21</v>
      </c>
      <c r="D1049" s="172" t="s">
        <v>15</v>
      </c>
      <c r="E1049" s="173">
        <v>42626</v>
      </c>
      <c r="F1049" s="174">
        <v>7.6194239000000001</v>
      </c>
      <c r="G1049" s="175" t="s">
        <v>19</v>
      </c>
      <c r="H1049" s="172" t="s">
        <v>20</v>
      </c>
      <c r="I1049" s="175">
        <v>1</v>
      </c>
      <c r="J1049" s="175" t="s">
        <v>18</v>
      </c>
      <c r="K1049" s="175" t="s">
        <v>85</v>
      </c>
      <c r="L1049" s="172" t="s">
        <v>86</v>
      </c>
    </row>
    <row r="1050" spans="1:12" x14ac:dyDescent="0.2">
      <c r="A1050" s="172" t="s">
        <v>83</v>
      </c>
      <c r="B1050" s="172" t="s">
        <v>84</v>
      </c>
      <c r="C1050" s="172" t="s">
        <v>21</v>
      </c>
      <c r="D1050" s="172" t="s">
        <v>15</v>
      </c>
      <c r="E1050" s="173">
        <v>42621</v>
      </c>
      <c r="F1050" s="174">
        <v>3.6</v>
      </c>
      <c r="G1050" s="175" t="s">
        <v>16</v>
      </c>
      <c r="H1050" s="172" t="s">
        <v>17</v>
      </c>
      <c r="I1050" s="175">
        <v>1</v>
      </c>
      <c r="J1050" s="175" t="s">
        <v>18</v>
      </c>
      <c r="K1050" s="175" t="s">
        <v>85</v>
      </c>
      <c r="L1050" s="172" t="s">
        <v>86</v>
      </c>
    </row>
    <row r="1051" spans="1:12" x14ac:dyDescent="0.2">
      <c r="A1051" s="172" t="s">
        <v>83</v>
      </c>
      <c r="B1051" s="172" t="s">
        <v>84</v>
      </c>
      <c r="C1051" s="172" t="s">
        <v>21</v>
      </c>
      <c r="D1051" s="172" t="s">
        <v>15</v>
      </c>
      <c r="E1051" s="173">
        <v>42621</v>
      </c>
      <c r="F1051" s="174">
        <v>17.744184000000001</v>
      </c>
      <c r="G1051" s="175" t="s">
        <v>19</v>
      </c>
      <c r="H1051" s="172" t="s">
        <v>17</v>
      </c>
      <c r="I1051" s="175">
        <v>1</v>
      </c>
      <c r="J1051" s="175" t="s">
        <v>18</v>
      </c>
      <c r="K1051" s="175" t="s">
        <v>85</v>
      </c>
      <c r="L1051" s="172" t="s">
        <v>86</v>
      </c>
    </row>
    <row r="1052" spans="1:12" x14ac:dyDescent="0.2">
      <c r="A1052" s="172" t="s">
        <v>83</v>
      </c>
      <c r="B1052" s="172" t="s">
        <v>84</v>
      </c>
      <c r="C1052" s="172" t="s">
        <v>21</v>
      </c>
      <c r="D1052" s="172" t="s">
        <v>15</v>
      </c>
      <c r="E1052" s="173">
        <v>42621</v>
      </c>
      <c r="F1052" s="174">
        <v>1.89</v>
      </c>
      <c r="G1052" s="175" t="s">
        <v>16</v>
      </c>
      <c r="H1052" s="172" t="s">
        <v>20</v>
      </c>
      <c r="I1052" s="175">
        <v>1</v>
      </c>
      <c r="J1052" s="175" t="s">
        <v>18</v>
      </c>
      <c r="K1052" s="175" t="s">
        <v>85</v>
      </c>
      <c r="L1052" s="172" t="s">
        <v>86</v>
      </c>
    </row>
    <row r="1053" spans="1:12" x14ac:dyDescent="0.2">
      <c r="A1053" s="172" t="s">
        <v>83</v>
      </c>
      <c r="B1053" s="172" t="s">
        <v>84</v>
      </c>
      <c r="C1053" s="172" t="s">
        <v>21</v>
      </c>
      <c r="D1053" s="172" t="s">
        <v>15</v>
      </c>
      <c r="E1053" s="173">
        <v>42621</v>
      </c>
      <c r="F1053" s="174">
        <v>9.3156964999999996</v>
      </c>
      <c r="G1053" s="175" t="s">
        <v>19</v>
      </c>
      <c r="H1053" s="172" t="s">
        <v>20</v>
      </c>
      <c r="I1053" s="175">
        <v>1</v>
      </c>
      <c r="J1053" s="175" t="s">
        <v>18</v>
      </c>
      <c r="K1053" s="175" t="s">
        <v>85</v>
      </c>
      <c r="L1053" s="172" t="s">
        <v>86</v>
      </c>
    </row>
    <row r="1054" spans="1:12" x14ac:dyDescent="0.2">
      <c r="A1054" s="172" t="s">
        <v>83</v>
      </c>
      <c r="B1054" s="172" t="s">
        <v>84</v>
      </c>
      <c r="C1054" s="172" t="s">
        <v>21</v>
      </c>
      <c r="D1054" s="172" t="s">
        <v>15</v>
      </c>
      <c r="E1054" s="173">
        <v>42612</v>
      </c>
      <c r="F1054" s="174">
        <v>1.64</v>
      </c>
      <c r="G1054" s="175" t="s">
        <v>16</v>
      </c>
      <c r="H1054" s="172" t="s">
        <v>17</v>
      </c>
      <c r="I1054" s="175">
        <v>1</v>
      </c>
      <c r="J1054" s="175" t="s">
        <v>18</v>
      </c>
      <c r="K1054" s="175" t="s">
        <v>85</v>
      </c>
      <c r="L1054" s="172" t="s">
        <v>86</v>
      </c>
    </row>
    <row r="1055" spans="1:12" x14ac:dyDescent="0.2">
      <c r="A1055" s="172" t="s">
        <v>83</v>
      </c>
      <c r="B1055" s="172" t="s">
        <v>84</v>
      </c>
      <c r="C1055" s="172" t="s">
        <v>21</v>
      </c>
      <c r="D1055" s="172" t="s">
        <v>15</v>
      </c>
      <c r="E1055" s="173">
        <v>42612</v>
      </c>
      <c r="F1055" s="174">
        <v>10.695883200000001</v>
      </c>
      <c r="G1055" s="175" t="s">
        <v>19</v>
      </c>
      <c r="H1055" s="172" t="s">
        <v>17</v>
      </c>
      <c r="I1055" s="175">
        <v>1</v>
      </c>
      <c r="J1055" s="175" t="s">
        <v>18</v>
      </c>
      <c r="K1055" s="175" t="s">
        <v>85</v>
      </c>
      <c r="L1055" s="172" t="s">
        <v>86</v>
      </c>
    </row>
    <row r="1056" spans="1:12" x14ac:dyDescent="0.2">
      <c r="A1056" s="172" t="s">
        <v>83</v>
      </c>
      <c r="B1056" s="172" t="s">
        <v>84</v>
      </c>
      <c r="C1056" s="172" t="s">
        <v>21</v>
      </c>
      <c r="D1056" s="172" t="s">
        <v>15</v>
      </c>
      <c r="E1056" s="173">
        <v>42612</v>
      </c>
      <c r="F1056" s="174">
        <v>1.35</v>
      </c>
      <c r="G1056" s="175" t="s">
        <v>16</v>
      </c>
      <c r="H1056" s="172" t="s">
        <v>20</v>
      </c>
      <c r="I1056" s="175">
        <v>1</v>
      </c>
      <c r="J1056" s="175" t="s">
        <v>18</v>
      </c>
      <c r="K1056" s="175" t="s">
        <v>85</v>
      </c>
      <c r="L1056" s="172" t="s">
        <v>86</v>
      </c>
    </row>
    <row r="1057" spans="1:12" x14ac:dyDescent="0.2">
      <c r="A1057" s="172" t="s">
        <v>83</v>
      </c>
      <c r="B1057" s="172" t="s">
        <v>84</v>
      </c>
      <c r="C1057" s="172" t="s">
        <v>21</v>
      </c>
      <c r="D1057" s="172" t="s">
        <v>15</v>
      </c>
      <c r="E1057" s="173">
        <v>42612</v>
      </c>
      <c r="F1057" s="174">
        <v>8.8045380000000009</v>
      </c>
      <c r="G1057" s="175" t="s">
        <v>19</v>
      </c>
      <c r="H1057" s="172" t="s">
        <v>20</v>
      </c>
      <c r="I1057" s="175">
        <v>1</v>
      </c>
      <c r="J1057" s="175" t="s">
        <v>18</v>
      </c>
      <c r="K1057" s="175" t="s">
        <v>85</v>
      </c>
      <c r="L1057" s="172" t="s">
        <v>86</v>
      </c>
    </row>
    <row r="1058" spans="1:12" x14ac:dyDescent="0.2">
      <c r="A1058" s="172" t="s">
        <v>83</v>
      </c>
      <c r="B1058" s="172" t="s">
        <v>84</v>
      </c>
      <c r="C1058" s="172" t="s">
        <v>21</v>
      </c>
      <c r="D1058" s="172" t="s">
        <v>15</v>
      </c>
      <c r="E1058" s="173">
        <v>42605</v>
      </c>
      <c r="F1058" s="174">
        <v>1.48</v>
      </c>
      <c r="G1058" s="175" t="s">
        <v>16</v>
      </c>
      <c r="H1058" s="172" t="s">
        <v>17</v>
      </c>
      <c r="I1058" s="175">
        <v>1</v>
      </c>
      <c r="J1058" s="175" t="s">
        <v>18</v>
      </c>
      <c r="K1058" s="175" t="s">
        <v>85</v>
      </c>
      <c r="L1058" s="172" t="s">
        <v>86</v>
      </c>
    </row>
    <row r="1059" spans="1:12" x14ac:dyDescent="0.2">
      <c r="A1059" s="172" t="s">
        <v>83</v>
      </c>
      <c r="B1059" s="172" t="s">
        <v>84</v>
      </c>
      <c r="C1059" s="172" t="s">
        <v>21</v>
      </c>
      <c r="D1059" s="172" t="s">
        <v>15</v>
      </c>
      <c r="E1059" s="173">
        <v>42605</v>
      </c>
      <c r="F1059" s="174">
        <v>11.355744</v>
      </c>
      <c r="G1059" s="175" t="s">
        <v>19</v>
      </c>
      <c r="H1059" s="172" t="s">
        <v>17</v>
      </c>
      <c r="I1059" s="175">
        <v>1</v>
      </c>
      <c r="J1059" s="175" t="s">
        <v>18</v>
      </c>
      <c r="K1059" s="175" t="s">
        <v>85</v>
      </c>
      <c r="L1059" s="172" t="s">
        <v>86</v>
      </c>
    </row>
    <row r="1060" spans="1:12" x14ac:dyDescent="0.2">
      <c r="A1060" s="172" t="s">
        <v>83</v>
      </c>
      <c r="B1060" s="172" t="s">
        <v>84</v>
      </c>
      <c r="C1060" s="172" t="s">
        <v>21</v>
      </c>
      <c r="D1060" s="172" t="s">
        <v>15</v>
      </c>
      <c r="E1060" s="173">
        <v>42605</v>
      </c>
      <c r="F1060" s="174">
        <v>0.91600000000000004</v>
      </c>
      <c r="G1060" s="175" t="s">
        <v>16</v>
      </c>
      <c r="H1060" s="172" t="s">
        <v>20</v>
      </c>
      <c r="I1060" s="175">
        <v>1</v>
      </c>
      <c r="J1060" s="175" t="s">
        <v>18</v>
      </c>
      <c r="K1060" s="175" t="s">
        <v>85</v>
      </c>
      <c r="L1060" s="172" t="s">
        <v>86</v>
      </c>
    </row>
    <row r="1061" spans="1:12" x14ac:dyDescent="0.2">
      <c r="A1061" s="172" t="s">
        <v>83</v>
      </c>
      <c r="B1061" s="172" t="s">
        <v>84</v>
      </c>
      <c r="C1061" s="172" t="s">
        <v>21</v>
      </c>
      <c r="D1061" s="172" t="s">
        <v>15</v>
      </c>
      <c r="E1061" s="173">
        <v>42605</v>
      </c>
      <c r="F1061" s="174">
        <v>7.0282847999999998</v>
      </c>
      <c r="G1061" s="175" t="s">
        <v>19</v>
      </c>
      <c r="H1061" s="172" t="s">
        <v>20</v>
      </c>
      <c r="I1061" s="175">
        <v>1</v>
      </c>
      <c r="J1061" s="175" t="s">
        <v>18</v>
      </c>
      <c r="K1061" s="175" t="s">
        <v>85</v>
      </c>
      <c r="L1061" s="172" t="s">
        <v>86</v>
      </c>
    </row>
    <row r="1062" spans="1:12" x14ac:dyDescent="0.2">
      <c r="A1062" s="172" t="s">
        <v>83</v>
      </c>
      <c r="B1062" s="172" t="s">
        <v>84</v>
      </c>
      <c r="C1062" s="172" t="s">
        <v>21</v>
      </c>
      <c r="D1062" s="172" t="s">
        <v>15</v>
      </c>
      <c r="E1062" s="173">
        <v>42598</v>
      </c>
      <c r="F1062" s="174">
        <v>2.73</v>
      </c>
      <c r="G1062" s="175" t="s">
        <v>16</v>
      </c>
      <c r="H1062" s="172" t="s">
        <v>17</v>
      </c>
      <c r="I1062" s="175">
        <v>1</v>
      </c>
      <c r="J1062" s="175" t="s">
        <v>18</v>
      </c>
      <c r="K1062" s="175" t="s">
        <v>85</v>
      </c>
      <c r="L1062" s="172" t="s">
        <v>86</v>
      </c>
    </row>
    <row r="1063" spans="1:12" x14ac:dyDescent="0.2">
      <c r="A1063" s="172" t="s">
        <v>83</v>
      </c>
      <c r="B1063" s="172" t="s">
        <v>84</v>
      </c>
      <c r="C1063" s="172" t="s">
        <v>21</v>
      </c>
      <c r="D1063" s="172" t="s">
        <v>15</v>
      </c>
      <c r="E1063" s="173">
        <v>42598</v>
      </c>
      <c r="F1063" s="174">
        <v>11.4296364</v>
      </c>
      <c r="G1063" s="175" t="s">
        <v>19</v>
      </c>
      <c r="H1063" s="172" t="s">
        <v>17</v>
      </c>
      <c r="I1063" s="175">
        <v>1</v>
      </c>
      <c r="J1063" s="175" t="s">
        <v>18</v>
      </c>
      <c r="K1063" s="175" t="s">
        <v>85</v>
      </c>
      <c r="L1063" s="172" t="s">
        <v>86</v>
      </c>
    </row>
    <row r="1064" spans="1:12" x14ac:dyDescent="0.2">
      <c r="A1064" s="172" t="s">
        <v>83</v>
      </c>
      <c r="B1064" s="172" t="s">
        <v>84</v>
      </c>
      <c r="C1064" s="172" t="s">
        <v>21</v>
      </c>
      <c r="D1064" s="172" t="s">
        <v>15</v>
      </c>
      <c r="E1064" s="173">
        <v>42598</v>
      </c>
      <c r="F1064" s="174">
        <v>1.87</v>
      </c>
      <c r="G1064" s="175" t="s">
        <v>16</v>
      </c>
      <c r="H1064" s="172" t="s">
        <v>20</v>
      </c>
      <c r="I1064" s="175">
        <v>1</v>
      </c>
      <c r="J1064" s="175" t="s">
        <v>18</v>
      </c>
      <c r="K1064" s="175" t="s">
        <v>85</v>
      </c>
      <c r="L1064" s="172" t="s">
        <v>86</v>
      </c>
    </row>
    <row r="1065" spans="1:12" x14ac:dyDescent="0.2">
      <c r="A1065" s="172" t="s">
        <v>83</v>
      </c>
      <c r="B1065" s="172" t="s">
        <v>84</v>
      </c>
      <c r="C1065" s="172" t="s">
        <v>21</v>
      </c>
      <c r="D1065" s="172" t="s">
        <v>15</v>
      </c>
      <c r="E1065" s="173">
        <v>42598</v>
      </c>
      <c r="F1065" s="174">
        <v>7.8290915999999999</v>
      </c>
      <c r="G1065" s="175" t="s">
        <v>19</v>
      </c>
      <c r="H1065" s="172" t="s">
        <v>20</v>
      </c>
      <c r="I1065" s="175">
        <v>1</v>
      </c>
      <c r="J1065" s="175" t="s">
        <v>18</v>
      </c>
      <c r="K1065" s="175" t="s">
        <v>85</v>
      </c>
      <c r="L1065" s="172" t="s">
        <v>86</v>
      </c>
    </row>
    <row r="1066" spans="1:12" x14ac:dyDescent="0.2">
      <c r="A1066" s="172" t="s">
        <v>83</v>
      </c>
      <c r="B1066" s="172" t="s">
        <v>84</v>
      </c>
      <c r="C1066" s="172" t="s">
        <v>21</v>
      </c>
      <c r="D1066" s="172" t="s">
        <v>15</v>
      </c>
      <c r="E1066" s="173">
        <v>42591</v>
      </c>
      <c r="F1066" s="174">
        <v>5.29</v>
      </c>
      <c r="G1066" s="175" t="s">
        <v>16</v>
      </c>
      <c r="H1066" s="172" t="s">
        <v>17</v>
      </c>
      <c r="I1066" s="175">
        <v>1</v>
      </c>
      <c r="J1066" s="175" t="s">
        <v>18</v>
      </c>
      <c r="K1066" s="175" t="s">
        <v>85</v>
      </c>
      <c r="L1066" s="172" t="s">
        <v>86</v>
      </c>
    </row>
    <row r="1067" spans="1:12" x14ac:dyDescent="0.2">
      <c r="A1067" s="172" t="s">
        <v>83</v>
      </c>
      <c r="B1067" s="172" t="s">
        <v>84</v>
      </c>
      <c r="C1067" s="172" t="s">
        <v>21</v>
      </c>
      <c r="D1067" s="172" t="s">
        <v>15</v>
      </c>
      <c r="E1067" s="173">
        <v>42591</v>
      </c>
      <c r="F1067" s="174">
        <v>13.765003099999999</v>
      </c>
      <c r="G1067" s="175" t="s">
        <v>19</v>
      </c>
      <c r="H1067" s="172" t="s">
        <v>17</v>
      </c>
      <c r="I1067" s="175">
        <v>1</v>
      </c>
      <c r="J1067" s="175" t="s">
        <v>18</v>
      </c>
      <c r="K1067" s="175" t="s">
        <v>85</v>
      </c>
      <c r="L1067" s="172" t="s">
        <v>86</v>
      </c>
    </row>
    <row r="1068" spans="1:12" x14ac:dyDescent="0.2">
      <c r="A1068" s="172" t="s">
        <v>83</v>
      </c>
      <c r="B1068" s="172" t="s">
        <v>84</v>
      </c>
      <c r="C1068" s="172" t="s">
        <v>21</v>
      </c>
      <c r="D1068" s="172" t="s">
        <v>15</v>
      </c>
      <c r="E1068" s="173">
        <v>42591</v>
      </c>
      <c r="F1068" s="174">
        <v>2.94</v>
      </c>
      <c r="G1068" s="175" t="s">
        <v>16</v>
      </c>
      <c r="H1068" s="172" t="s">
        <v>20</v>
      </c>
      <c r="I1068" s="175">
        <v>1</v>
      </c>
      <c r="J1068" s="175" t="s">
        <v>18</v>
      </c>
      <c r="K1068" s="175" t="s">
        <v>85</v>
      </c>
      <c r="L1068" s="172" t="s">
        <v>86</v>
      </c>
    </row>
    <row r="1069" spans="1:12" x14ac:dyDescent="0.2">
      <c r="A1069" s="172" t="s">
        <v>83</v>
      </c>
      <c r="B1069" s="172" t="s">
        <v>84</v>
      </c>
      <c r="C1069" s="172" t="s">
        <v>21</v>
      </c>
      <c r="D1069" s="172" t="s">
        <v>15</v>
      </c>
      <c r="E1069" s="173">
        <v>42591</v>
      </c>
      <c r="F1069" s="174">
        <v>7.6501152000000001</v>
      </c>
      <c r="G1069" s="175" t="s">
        <v>19</v>
      </c>
      <c r="H1069" s="172" t="s">
        <v>20</v>
      </c>
      <c r="I1069" s="175">
        <v>1</v>
      </c>
      <c r="J1069" s="175" t="s">
        <v>18</v>
      </c>
      <c r="K1069" s="175" t="s">
        <v>85</v>
      </c>
      <c r="L1069" s="172" t="s">
        <v>86</v>
      </c>
    </row>
    <row r="1070" spans="1:12" x14ac:dyDescent="0.2">
      <c r="A1070" s="172" t="s">
        <v>83</v>
      </c>
      <c r="B1070" s="172" t="s">
        <v>84</v>
      </c>
      <c r="C1070" s="172" t="s">
        <v>21</v>
      </c>
      <c r="D1070" s="172" t="s">
        <v>15</v>
      </c>
      <c r="E1070" s="173">
        <v>42584</v>
      </c>
      <c r="F1070" s="174">
        <v>4.37</v>
      </c>
      <c r="G1070" s="175" t="s">
        <v>16</v>
      </c>
      <c r="H1070" s="172" t="s">
        <v>17</v>
      </c>
      <c r="I1070" s="175">
        <v>1</v>
      </c>
      <c r="J1070" s="175" t="s">
        <v>18</v>
      </c>
      <c r="K1070" s="175" t="s">
        <v>85</v>
      </c>
      <c r="L1070" s="172" t="s">
        <v>86</v>
      </c>
    </row>
    <row r="1071" spans="1:12" x14ac:dyDescent="0.2">
      <c r="A1071" s="172" t="s">
        <v>83</v>
      </c>
      <c r="B1071" s="172" t="s">
        <v>84</v>
      </c>
      <c r="C1071" s="172" t="s">
        <v>21</v>
      </c>
      <c r="D1071" s="172" t="s">
        <v>15</v>
      </c>
      <c r="E1071" s="173">
        <v>42584</v>
      </c>
      <c r="F1071" s="174">
        <v>12.719584100000001</v>
      </c>
      <c r="G1071" s="175" t="s">
        <v>19</v>
      </c>
      <c r="H1071" s="172" t="s">
        <v>17</v>
      </c>
      <c r="I1071" s="175">
        <v>1</v>
      </c>
      <c r="J1071" s="175" t="s">
        <v>18</v>
      </c>
      <c r="K1071" s="175" t="s">
        <v>85</v>
      </c>
      <c r="L1071" s="172" t="s">
        <v>86</v>
      </c>
    </row>
    <row r="1072" spans="1:12" x14ac:dyDescent="0.2">
      <c r="A1072" s="172" t="s">
        <v>83</v>
      </c>
      <c r="B1072" s="172" t="s">
        <v>84</v>
      </c>
      <c r="C1072" s="172" t="s">
        <v>21</v>
      </c>
      <c r="D1072" s="172" t="s">
        <v>15</v>
      </c>
      <c r="E1072" s="173">
        <v>42584</v>
      </c>
      <c r="F1072" s="174">
        <v>2.87</v>
      </c>
      <c r="G1072" s="175" t="s">
        <v>16</v>
      </c>
      <c r="H1072" s="172" t="s">
        <v>20</v>
      </c>
      <c r="I1072" s="175">
        <v>1</v>
      </c>
      <c r="J1072" s="175" t="s">
        <v>18</v>
      </c>
      <c r="K1072" s="175" t="s">
        <v>85</v>
      </c>
      <c r="L1072" s="172" t="s">
        <v>86</v>
      </c>
    </row>
    <row r="1073" spans="1:12" x14ac:dyDescent="0.2">
      <c r="A1073" s="172" t="s">
        <v>83</v>
      </c>
      <c r="B1073" s="172" t="s">
        <v>84</v>
      </c>
      <c r="C1073" s="172" t="s">
        <v>21</v>
      </c>
      <c r="D1073" s="172" t="s">
        <v>15</v>
      </c>
      <c r="E1073" s="173">
        <v>42584</v>
      </c>
      <c r="F1073" s="174">
        <v>8.3535941999999999</v>
      </c>
      <c r="G1073" s="175" t="s">
        <v>19</v>
      </c>
      <c r="H1073" s="172" t="s">
        <v>20</v>
      </c>
      <c r="I1073" s="175">
        <v>1</v>
      </c>
      <c r="J1073" s="175" t="s">
        <v>18</v>
      </c>
      <c r="K1073" s="175" t="s">
        <v>85</v>
      </c>
      <c r="L1073" s="172" t="s">
        <v>86</v>
      </c>
    </row>
    <row r="1074" spans="1:12" x14ac:dyDescent="0.2">
      <c r="A1074" s="172" t="s">
        <v>83</v>
      </c>
      <c r="B1074" s="172" t="s">
        <v>84</v>
      </c>
      <c r="C1074" s="172" t="s">
        <v>21</v>
      </c>
      <c r="D1074" s="172" t="s">
        <v>15</v>
      </c>
      <c r="E1074" s="173">
        <v>42577</v>
      </c>
      <c r="F1074" s="174">
        <v>3</v>
      </c>
      <c r="G1074" s="175" t="s">
        <v>16</v>
      </c>
      <c r="H1074" s="172" t="s">
        <v>17</v>
      </c>
      <c r="I1074" s="175">
        <v>1</v>
      </c>
      <c r="J1074" s="175" t="s">
        <v>18</v>
      </c>
      <c r="K1074" s="175" t="s">
        <v>85</v>
      </c>
      <c r="L1074" s="172" t="s">
        <v>86</v>
      </c>
    </row>
    <row r="1075" spans="1:12" x14ac:dyDescent="0.2">
      <c r="A1075" s="172" t="s">
        <v>83</v>
      </c>
      <c r="B1075" s="172" t="s">
        <v>84</v>
      </c>
      <c r="C1075" s="172" t="s">
        <v>21</v>
      </c>
      <c r="D1075" s="172" t="s">
        <v>15</v>
      </c>
      <c r="E1075" s="173">
        <v>42577</v>
      </c>
      <c r="F1075" s="174">
        <v>12.83526</v>
      </c>
      <c r="G1075" s="175" t="s">
        <v>19</v>
      </c>
      <c r="H1075" s="172" t="s">
        <v>17</v>
      </c>
      <c r="I1075" s="175">
        <v>1</v>
      </c>
      <c r="J1075" s="175" t="s">
        <v>18</v>
      </c>
      <c r="K1075" s="175" t="s">
        <v>85</v>
      </c>
      <c r="L1075" s="172" t="s">
        <v>86</v>
      </c>
    </row>
    <row r="1076" spans="1:12" x14ac:dyDescent="0.2">
      <c r="A1076" s="172" t="s">
        <v>83</v>
      </c>
      <c r="B1076" s="172" t="s">
        <v>84</v>
      </c>
      <c r="C1076" s="172" t="s">
        <v>21</v>
      </c>
      <c r="D1076" s="172" t="s">
        <v>15</v>
      </c>
      <c r="E1076" s="173">
        <v>42577</v>
      </c>
      <c r="F1076" s="174">
        <v>2.2599999999999998</v>
      </c>
      <c r="G1076" s="175" t="s">
        <v>16</v>
      </c>
      <c r="H1076" s="172" t="s">
        <v>20</v>
      </c>
      <c r="I1076" s="175">
        <v>1</v>
      </c>
      <c r="J1076" s="175" t="s">
        <v>18</v>
      </c>
      <c r="K1076" s="175" t="s">
        <v>85</v>
      </c>
      <c r="L1076" s="172" t="s">
        <v>86</v>
      </c>
    </row>
    <row r="1077" spans="1:12" x14ac:dyDescent="0.2">
      <c r="A1077" s="172" t="s">
        <v>83</v>
      </c>
      <c r="B1077" s="172" t="s">
        <v>84</v>
      </c>
      <c r="C1077" s="172" t="s">
        <v>21</v>
      </c>
      <c r="D1077" s="172" t="s">
        <v>15</v>
      </c>
      <c r="E1077" s="173">
        <v>42577</v>
      </c>
      <c r="F1077" s="174">
        <v>9.6692291000000008</v>
      </c>
      <c r="G1077" s="175" t="s">
        <v>19</v>
      </c>
      <c r="H1077" s="172" t="s">
        <v>20</v>
      </c>
      <c r="I1077" s="175">
        <v>1</v>
      </c>
      <c r="J1077" s="175" t="s">
        <v>18</v>
      </c>
      <c r="K1077" s="175" t="s">
        <v>85</v>
      </c>
      <c r="L1077" s="172" t="s">
        <v>86</v>
      </c>
    </row>
    <row r="1078" spans="1:12" x14ac:dyDescent="0.2">
      <c r="A1078" s="172" t="s">
        <v>83</v>
      </c>
      <c r="B1078" s="172" t="s">
        <v>84</v>
      </c>
      <c r="C1078" s="172" t="s">
        <v>21</v>
      </c>
      <c r="D1078" s="172" t="s">
        <v>15</v>
      </c>
      <c r="E1078" s="173">
        <v>42570</v>
      </c>
      <c r="F1078" s="174">
        <v>2.13</v>
      </c>
      <c r="G1078" s="175" t="s">
        <v>16</v>
      </c>
      <c r="H1078" s="172" t="s">
        <v>17</v>
      </c>
      <c r="I1078" s="175">
        <v>1</v>
      </c>
      <c r="J1078" s="175" t="s">
        <v>18</v>
      </c>
      <c r="K1078" s="175" t="s">
        <v>85</v>
      </c>
      <c r="L1078" s="172" t="s">
        <v>86</v>
      </c>
    </row>
    <row r="1079" spans="1:12" x14ac:dyDescent="0.2">
      <c r="A1079" s="172" t="s">
        <v>83</v>
      </c>
      <c r="B1079" s="172" t="s">
        <v>84</v>
      </c>
      <c r="C1079" s="172" t="s">
        <v>21</v>
      </c>
      <c r="D1079" s="172" t="s">
        <v>15</v>
      </c>
      <c r="E1079" s="173">
        <v>42570</v>
      </c>
      <c r="F1079" s="174">
        <v>8.1715319999999991</v>
      </c>
      <c r="G1079" s="175" t="s">
        <v>19</v>
      </c>
      <c r="H1079" s="172" t="s">
        <v>17</v>
      </c>
      <c r="I1079" s="175">
        <v>1</v>
      </c>
      <c r="J1079" s="175" t="s">
        <v>18</v>
      </c>
      <c r="K1079" s="175" t="s">
        <v>85</v>
      </c>
      <c r="L1079" s="172" t="s">
        <v>86</v>
      </c>
    </row>
    <row r="1080" spans="1:12" x14ac:dyDescent="0.2">
      <c r="A1080" s="172" t="s">
        <v>83</v>
      </c>
      <c r="B1080" s="172" t="s">
        <v>84</v>
      </c>
      <c r="C1080" s="172" t="s">
        <v>21</v>
      </c>
      <c r="D1080" s="172" t="s">
        <v>15</v>
      </c>
      <c r="E1080" s="173">
        <v>42570</v>
      </c>
      <c r="F1080" s="174">
        <v>2.2599999999999998</v>
      </c>
      <c r="G1080" s="175" t="s">
        <v>16</v>
      </c>
      <c r="H1080" s="172" t="s">
        <v>20</v>
      </c>
      <c r="I1080" s="175">
        <v>1</v>
      </c>
      <c r="J1080" s="175" t="s">
        <v>18</v>
      </c>
      <c r="K1080" s="175" t="s">
        <v>85</v>
      </c>
      <c r="L1080" s="172" t="s">
        <v>86</v>
      </c>
    </row>
    <row r="1081" spans="1:12" x14ac:dyDescent="0.2">
      <c r="A1081" s="172" t="s">
        <v>83</v>
      </c>
      <c r="B1081" s="172" t="s">
        <v>84</v>
      </c>
      <c r="C1081" s="172" t="s">
        <v>21</v>
      </c>
      <c r="D1081" s="172" t="s">
        <v>15</v>
      </c>
      <c r="E1081" s="173">
        <v>42570</v>
      </c>
      <c r="F1081" s="174">
        <v>8.6702639999999995</v>
      </c>
      <c r="G1081" s="175" t="s">
        <v>19</v>
      </c>
      <c r="H1081" s="172" t="s">
        <v>20</v>
      </c>
      <c r="I1081" s="175">
        <v>1</v>
      </c>
      <c r="J1081" s="175" t="s">
        <v>18</v>
      </c>
      <c r="K1081" s="175" t="s">
        <v>85</v>
      </c>
      <c r="L1081" s="172" t="s">
        <v>86</v>
      </c>
    </row>
    <row r="1082" spans="1:12" x14ac:dyDescent="0.2">
      <c r="A1082" s="172" t="s">
        <v>83</v>
      </c>
      <c r="B1082" s="172" t="s">
        <v>84</v>
      </c>
      <c r="C1082" s="172" t="s">
        <v>21</v>
      </c>
      <c r="D1082" s="172" t="s">
        <v>15</v>
      </c>
      <c r="E1082" s="173">
        <v>42563</v>
      </c>
      <c r="F1082" s="174">
        <v>2.93</v>
      </c>
      <c r="G1082" s="175" t="s">
        <v>16</v>
      </c>
      <c r="H1082" s="172" t="s">
        <v>17</v>
      </c>
      <c r="I1082" s="175">
        <v>1</v>
      </c>
      <c r="J1082" s="175" t="s">
        <v>18</v>
      </c>
      <c r="K1082" s="175" t="s">
        <v>85</v>
      </c>
      <c r="L1082" s="172" t="s">
        <v>86</v>
      </c>
    </row>
    <row r="1083" spans="1:12" x14ac:dyDescent="0.2">
      <c r="A1083" s="172" t="s">
        <v>83</v>
      </c>
      <c r="B1083" s="172" t="s">
        <v>84</v>
      </c>
      <c r="C1083" s="172" t="s">
        <v>21</v>
      </c>
      <c r="D1083" s="172" t="s">
        <v>15</v>
      </c>
      <c r="E1083" s="173">
        <v>42563</v>
      </c>
      <c r="F1083" s="174">
        <v>13.7331444</v>
      </c>
      <c r="G1083" s="175" t="s">
        <v>19</v>
      </c>
      <c r="H1083" s="172" t="s">
        <v>17</v>
      </c>
      <c r="I1083" s="175">
        <v>1</v>
      </c>
      <c r="J1083" s="175" t="s">
        <v>18</v>
      </c>
      <c r="K1083" s="175" t="s">
        <v>85</v>
      </c>
      <c r="L1083" s="172" t="s">
        <v>86</v>
      </c>
    </row>
    <row r="1084" spans="1:12" x14ac:dyDescent="0.2">
      <c r="A1084" s="172" t="s">
        <v>83</v>
      </c>
      <c r="B1084" s="172" t="s">
        <v>84</v>
      </c>
      <c r="C1084" s="172" t="s">
        <v>21</v>
      </c>
      <c r="D1084" s="172" t="s">
        <v>15</v>
      </c>
      <c r="E1084" s="173">
        <v>42563</v>
      </c>
      <c r="F1084" s="174">
        <v>2.08</v>
      </c>
      <c r="G1084" s="175" t="s">
        <v>16</v>
      </c>
      <c r="H1084" s="172" t="s">
        <v>20</v>
      </c>
      <c r="I1084" s="175">
        <v>1</v>
      </c>
      <c r="J1084" s="175" t="s">
        <v>18</v>
      </c>
      <c r="K1084" s="175" t="s">
        <v>85</v>
      </c>
      <c r="L1084" s="172" t="s">
        <v>86</v>
      </c>
    </row>
    <row r="1085" spans="1:12" x14ac:dyDescent="0.2">
      <c r="A1085" s="172" t="s">
        <v>83</v>
      </c>
      <c r="B1085" s="172" t="s">
        <v>84</v>
      </c>
      <c r="C1085" s="172" t="s">
        <v>21</v>
      </c>
      <c r="D1085" s="172" t="s">
        <v>15</v>
      </c>
      <c r="E1085" s="173">
        <v>42563</v>
      </c>
      <c r="F1085" s="174">
        <v>9.7491263999999997</v>
      </c>
      <c r="G1085" s="175" t="s">
        <v>19</v>
      </c>
      <c r="H1085" s="172" t="s">
        <v>20</v>
      </c>
      <c r="I1085" s="175">
        <v>1</v>
      </c>
      <c r="J1085" s="175" t="s">
        <v>18</v>
      </c>
      <c r="K1085" s="175" t="s">
        <v>85</v>
      </c>
      <c r="L1085" s="172" t="s">
        <v>86</v>
      </c>
    </row>
    <row r="1086" spans="1:12" x14ac:dyDescent="0.2">
      <c r="A1086" s="172" t="s">
        <v>83</v>
      </c>
      <c r="B1086" s="172" t="s">
        <v>84</v>
      </c>
      <c r="C1086" s="172" t="s">
        <v>21</v>
      </c>
      <c r="D1086" s="172" t="s">
        <v>15</v>
      </c>
      <c r="E1086" s="173">
        <v>42556</v>
      </c>
      <c r="F1086" s="174">
        <v>1.71</v>
      </c>
      <c r="G1086" s="175" t="s">
        <v>16</v>
      </c>
      <c r="H1086" s="172" t="s">
        <v>17</v>
      </c>
      <c r="I1086" s="175">
        <v>1</v>
      </c>
      <c r="J1086" s="175" t="s">
        <v>18</v>
      </c>
      <c r="K1086" s="175" t="s">
        <v>85</v>
      </c>
      <c r="L1086" s="172" t="s">
        <v>86</v>
      </c>
    </row>
    <row r="1087" spans="1:12" x14ac:dyDescent="0.2">
      <c r="A1087" s="172" t="s">
        <v>83</v>
      </c>
      <c r="B1087" s="172" t="s">
        <v>84</v>
      </c>
      <c r="C1087" s="172" t="s">
        <v>21</v>
      </c>
      <c r="D1087" s="172" t="s">
        <v>15</v>
      </c>
      <c r="E1087" s="173">
        <v>42556</v>
      </c>
      <c r="F1087" s="174">
        <v>5.7330828</v>
      </c>
      <c r="G1087" s="175" t="s">
        <v>19</v>
      </c>
      <c r="H1087" s="172" t="s">
        <v>17</v>
      </c>
      <c r="I1087" s="175">
        <v>1</v>
      </c>
      <c r="J1087" s="175" t="s">
        <v>18</v>
      </c>
      <c r="K1087" s="175" t="s">
        <v>85</v>
      </c>
      <c r="L1087" s="172" t="s">
        <v>86</v>
      </c>
    </row>
    <row r="1088" spans="1:12" x14ac:dyDescent="0.2">
      <c r="A1088" s="172" t="s">
        <v>83</v>
      </c>
      <c r="B1088" s="172" t="s">
        <v>84</v>
      </c>
      <c r="C1088" s="172" t="s">
        <v>21</v>
      </c>
      <c r="D1088" s="172" t="s">
        <v>15</v>
      </c>
      <c r="E1088" s="173">
        <v>42556</v>
      </c>
      <c r="F1088" s="174">
        <v>2.41</v>
      </c>
      <c r="G1088" s="175" t="s">
        <v>16</v>
      </c>
      <c r="H1088" s="172" t="s">
        <v>20</v>
      </c>
      <c r="I1088" s="175">
        <v>1</v>
      </c>
      <c r="J1088" s="175" t="s">
        <v>18</v>
      </c>
      <c r="K1088" s="175" t="s">
        <v>85</v>
      </c>
      <c r="L1088" s="172" t="s">
        <v>86</v>
      </c>
    </row>
    <row r="1089" spans="1:12" x14ac:dyDescent="0.2">
      <c r="A1089" s="172" t="s">
        <v>83</v>
      </c>
      <c r="B1089" s="172" t="s">
        <v>84</v>
      </c>
      <c r="C1089" s="172" t="s">
        <v>21</v>
      </c>
      <c r="D1089" s="172" t="s">
        <v>15</v>
      </c>
      <c r="E1089" s="173">
        <v>42556</v>
      </c>
      <c r="F1089" s="174">
        <v>8.0799588</v>
      </c>
      <c r="G1089" s="175" t="s">
        <v>19</v>
      </c>
      <c r="H1089" s="172" t="s">
        <v>20</v>
      </c>
      <c r="I1089" s="175">
        <v>1</v>
      </c>
      <c r="J1089" s="175" t="s">
        <v>18</v>
      </c>
      <c r="K1089" s="175" t="s">
        <v>85</v>
      </c>
      <c r="L1089" s="172" t="s">
        <v>86</v>
      </c>
    </row>
    <row r="1090" spans="1:12" x14ac:dyDescent="0.2">
      <c r="A1090" s="172" t="s">
        <v>83</v>
      </c>
      <c r="B1090" s="172" t="s">
        <v>84</v>
      </c>
      <c r="C1090" s="172" t="s">
        <v>21</v>
      </c>
      <c r="D1090" s="172" t="s">
        <v>15</v>
      </c>
      <c r="E1090" s="173">
        <v>42549</v>
      </c>
      <c r="F1090" s="174">
        <v>3.53</v>
      </c>
      <c r="G1090" s="175" t="s">
        <v>16</v>
      </c>
      <c r="H1090" s="172" t="s">
        <v>17</v>
      </c>
      <c r="I1090" s="175">
        <v>1</v>
      </c>
      <c r="J1090" s="175" t="s">
        <v>18</v>
      </c>
      <c r="K1090" s="175" t="s">
        <v>85</v>
      </c>
      <c r="L1090" s="172" t="s">
        <v>86</v>
      </c>
    </row>
    <row r="1091" spans="1:12" x14ac:dyDescent="0.2">
      <c r="A1091" s="172" t="s">
        <v>83</v>
      </c>
      <c r="B1091" s="172" t="s">
        <v>84</v>
      </c>
      <c r="C1091" s="172" t="s">
        <v>21</v>
      </c>
      <c r="D1091" s="172" t="s">
        <v>15</v>
      </c>
      <c r="E1091" s="173">
        <v>42549</v>
      </c>
      <c r="F1091" s="174">
        <v>11.8349604</v>
      </c>
      <c r="G1091" s="175" t="s">
        <v>19</v>
      </c>
      <c r="H1091" s="172" t="s">
        <v>17</v>
      </c>
      <c r="I1091" s="175">
        <v>1</v>
      </c>
      <c r="J1091" s="175" t="s">
        <v>18</v>
      </c>
      <c r="K1091" s="175" t="s">
        <v>85</v>
      </c>
      <c r="L1091" s="172" t="s">
        <v>86</v>
      </c>
    </row>
    <row r="1092" spans="1:12" x14ac:dyDescent="0.2">
      <c r="A1092" s="172" t="s">
        <v>83</v>
      </c>
      <c r="B1092" s="172" t="s">
        <v>84</v>
      </c>
      <c r="C1092" s="172" t="s">
        <v>21</v>
      </c>
      <c r="D1092" s="172" t="s">
        <v>15</v>
      </c>
      <c r="E1092" s="173">
        <v>42549</v>
      </c>
      <c r="F1092" s="174">
        <v>2.61</v>
      </c>
      <c r="G1092" s="175" t="s">
        <v>16</v>
      </c>
      <c r="H1092" s="172" t="s">
        <v>20</v>
      </c>
      <c r="I1092" s="175">
        <v>1</v>
      </c>
      <c r="J1092" s="175" t="s">
        <v>18</v>
      </c>
      <c r="K1092" s="175" t="s">
        <v>85</v>
      </c>
      <c r="L1092" s="172" t="s">
        <v>86</v>
      </c>
    </row>
    <row r="1093" spans="1:12" x14ac:dyDescent="0.2">
      <c r="A1093" s="172" t="s">
        <v>83</v>
      </c>
      <c r="B1093" s="172" t="s">
        <v>84</v>
      </c>
      <c r="C1093" s="172" t="s">
        <v>21</v>
      </c>
      <c r="D1093" s="172" t="s">
        <v>15</v>
      </c>
      <c r="E1093" s="173">
        <v>42549</v>
      </c>
      <c r="F1093" s="174">
        <v>8.7504948000000002</v>
      </c>
      <c r="G1093" s="175" t="s">
        <v>19</v>
      </c>
      <c r="H1093" s="172" t="s">
        <v>20</v>
      </c>
      <c r="I1093" s="175">
        <v>1</v>
      </c>
      <c r="J1093" s="175" t="s">
        <v>18</v>
      </c>
      <c r="K1093" s="175" t="s">
        <v>85</v>
      </c>
      <c r="L1093" s="172" t="s">
        <v>86</v>
      </c>
    </row>
    <row r="1094" spans="1:12" x14ac:dyDescent="0.2">
      <c r="A1094" s="172" t="s">
        <v>83</v>
      </c>
      <c r="B1094" s="172" t="s">
        <v>84</v>
      </c>
      <c r="C1094" s="172" t="s">
        <v>21</v>
      </c>
      <c r="D1094" s="172" t="s">
        <v>15</v>
      </c>
      <c r="E1094" s="173">
        <v>42542</v>
      </c>
      <c r="F1094" s="174">
        <v>3.49</v>
      </c>
      <c r="G1094" s="175" t="s">
        <v>16</v>
      </c>
      <c r="H1094" s="172" t="s">
        <v>17</v>
      </c>
      <c r="I1094" s="175">
        <v>1</v>
      </c>
      <c r="J1094" s="175" t="s">
        <v>18</v>
      </c>
      <c r="K1094" s="175" t="s">
        <v>85</v>
      </c>
      <c r="L1094" s="172" t="s">
        <v>86</v>
      </c>
    </row>
    <row r="1095" spans="1:12" x14ac:dyDescent="0.2">
      <c r="A1095" s="172" t="s">
        <v>83</v>
      </c>
      <c r="B1095" s="172" t="s">
        <v>84</v>
      </c>
      <c r="C1095" s="172" t="s">
        <v>21</v>
      </c>
      <c r="D1095" s="172" t="s">
        <v>15</v>
      </c>
      <c r="E1095" s="173">
        <v>42542</v>
      </c>
      <c r="F1095" s="174">
        <v>13.680102</v>
      </c>
      <c r="G1095" s="175" t="s">
        <v>19</v>
      </c>
      <c r="H1095" s="172" t="s">
        <v>17</v>
      </c>
      <c r="I1095" s="175">
        <v>1</v>
      </c>
      <c r="J1095" s="175" t="s">
        <v>18</v>
      </c>
      <c r="K1095" s="175" t="s">
        <v>85</v>
      </c>
      <c r="L1095" s="172" t="s">
        <v>86</v>
      </c>
    </row>
    <row r="1096" spans="1:12" x14ac:dyDescent="0.2">
      <c r="A1096" s="172" t="s">
        <v>83</v>
      </c>
      <c r="B1096" s="172" t="s">
        <v>84</v>
      </c>
      <c r="C1096" s="172" t="s">
        <v>21</v>
      </c>
      <c r="D1096" s="172" t="s">
        <v>15</v>
      </c>
      <c r="E1096" s="173">
        <v>42542</v>
      </c>
      <c r="F1096" s="174">
        <v>2.2200000000000002</v>
      </c>
      <c r="G1096" s="175" t="s">
        <v>16</v>
      </c>
      <c r="H1096" s="172" t="s">
        <v>20</v>
      </c>
      <c r="I1096" s="175">
        <v>1</v>
      </c>
      <c r="J1096" s="175" t="s">
        <v>18</v>
      </c>
      <c r="K1096" s="175" t="s">
        <v>85</v>
      </c>
      <c r="L1096" s="172" t="s">
        <v>86</v>
      </c>
    </row>
    <row r="1097" spans="1:12" x14ac:dyDescent="0.2">
      <c r="A1097" s="172" t="s">
        <v>83</v>
      </c>
      <c r="B1097" s="172" t="s">
        <v>84</v>
      </c>
      <c r="C1097" s="172" t="s">
        <v>21</v>
      </c>
      <c r="D1097" s="172" t="s">
        <v>15</v>
      </c>
      <c r="E1097" s="173">
        <v>42542</v>
      </c>
      <c r="F1097" s="174">
        <v>8.7019559999999991</v>
      </c>
      <c r="G1097" s="175" t="s">
        <v>19</v>
      </c>
      <c r="H1097" s="172" t="s">
        <v>20</v>
      </c>
      <c r="I1097" s="175">
        <v>1</v>
      </c>
      <c r="J1097" s="175" t="s">
        <v>18</v>
      </c>
      <c r="K1097" s="175" t="s">
        <v>85</v>
      </c>
      <c r="L1097" s="172" t="s">
        <v>86</v>
      </c>
    </row>
    <row r="1098" spans="1:12" x14ac:dyDescent="0.2">
      <c r="A1098" s="172" t="s">
        <v>83</v>
      </c>
      <c r="B1098" s="172" t="s">
        <v>84</v>
      </c>
      <c r="C1098" s="172" t="s">
        <v>21</v>
      </c>
      <c r="D1098" s="172" t="s">
        <v>15</v>
      </c>
      <c r="E1098" s="173">
        <v>42535</v>
      </c>
      <c r="F1098" s="174">
        <v>1.63</v>
      </c>
      <c r="G1098" s="175" t="s">
        <v>16</v>
      </c>
      <c r="H1098" s="172" t="s">
        <v>17</v>
      </c>
      <c r="I1098" s="175">
        <v>1</v>
      </c>
      <c r="J1098" s="175" t="s">
        <v>18</v>
      </c>
      <c r="K1098" s="175" t="s">
        <v>85</v>
      </c>
      <c r="L1098" s="172" t="s">
        <v>86</v>
      </c>
    </row>
    <row r="1099" spans="1:12" x14ac:dyDescent="0.2">
      <c r="A1099" s="172" t="s">
        <v>83</v>
      </c>
      <c r="B1099" s="172" t="s">
        <v>84</v>
      </c>
      <c r="C1099" s="172" t="s">
        <v>21</v>
      </c>
      <c r="D1099" s="172" t="s">
        <v>15</v>
      </c>
      <c r="E1099" s="173">
        <v>42535</v>
      </c>
      <c r="F1099" s="174">
        <v>7.6399403000000001</v>
      </c>
      <c r="G1099" s="175" t="s">
        <v>19</v>
      </c>
      <c r="H1099" s="172" t="s">
        <v>17</v>
      </c>
      <c r="I1099" s="175">
        <v>1</v>
      </c>
      <c r="J1099" s="175" t="s">
        <v>18</v>
      </c>
      <c r="K1099" s="175" t="s">
        <v>85</v>
      </c>
      <c r="L1099" s="172" t="s">
        <v>86</v>
      </c>
    </row>
    <row r="1100" spans="1:12" x14ac:dyDescent="0.2">
      <c r="A1100" s="172" t="s">
        <v>83</v>
      </c>
      <c r="B1100" s="172" t="s">
        <v>84</v>
      </c>
      <c r="C1100" s="172" t="s">
        <v>21</v>
      </c>
      <c r="D1100" s="172" t="s">
        <v>15</v>
      </c>
      <c r="E1100" s="173">
        <v>42535</v>
      </c>
      <c r="F1100" s="174">
        <v>1.82</v>
      </c>
      <c r="G1100" s="175" t="s">
        <v>16</v>
      </c>
      <c r="H1100" s="172" t="s">
        <v>20</v>
      </c>
      <c r="I1100" s="175">
        <v>1</v>
      </c>
      <c r="J1100" s="175" t="s">
        <v>18</v>
      </c>
      <c r="K1100" s="175" t="s">
        <v>85</v>
      </c>
      <c r="L1100" s="172" t="s">
        <v>86</v>
      </c>
    </row>
    <row r="1101" spans="1:12" x14ac:dyDescent="0.2">
      <c r="A1101" s="172" t="s">
        <v>83</v>
      </c>
      <c r="B1101" s="172" t="s">
        <v>84</v>
      </c>
      <c r="C1101" s="172" t="s">
        <v>21</v>
      </c>
      <c r="D1101" s="172" t="s">
        <v>15</v>
      </c>
      <c r="E1101" s="173">
        <v>42535</v>
      </c>
      <c r="F1101" s="174">
        <v>8.5304856000000004</v>
      </c>
      <c r="G1101" s="175" t="s">
        <v>19</v>
      </c>
      <c r="H1101" s="172" t="s">
        <v>20</v>
      </c>
      <c r="I1101" s="175">
        <v>1</v>
      </c>
      <c r="J1101" s="175" t="s">
        <v>18</v>
      </c>
      <c r="K1101" s="175" t="s">
        <v>85</v>
      </c>
      <c r="L1101" s="172" t="s">
        <v>86</v>
      </c>
    </row>
    <row r="1102" spans="1:12" x14ac:dyDescent="0.2">
      <c r="A1102" s="172" t="s">
        <v>83</v>
      </c>
      <c r="B1102" s="172" t="s">
        <v>84</v>
      </c>
      <c r="C1102" s="172" t="s">
        <v>21</v>
      </c>
      <c r="D1102" s="172" t="s">
        <v>15</v>
      </c>
      <c r="E1102" s="173">
        <v>42528</v>
      </c>
      <c r="F1102" s="174">
        <v>2.4300000000000002</v>
      </c>
      <c r="G1102" s="175" t="s">
        <v>16</v>
      </c>
      <c r="H1102" s="172" t="s">
        <v>17</v>
      </c>
      <c r="I1102" s="175">
        <v>1</v>
      </c>
      <c r="J1102" s="175" t="s">
        <v>18</v>
      </c>
      <c r="K1102" s="175" t="s">
        <v>85</v>
      </c>
      <c r="L1102" s="172" t="s">
        <v>86</v>
      </c>
    </row>
    <row r="1103" spans="1:12" x14ac:dyDescent="0.2">
      <c r="A1103" s="172" t="s">
        <v>83</v>
      </c>
      <c r="B1103" s="172" t="s">
        <v>84</v>
      </c>
      <c r="C1103" s="172" t="s">
        <v>21</v>
      </c>
      <c r="D1103" s="172" t="s">
        <v>15</v>
      </c>
      <c r="E1103" s="173">
        <v>42528</v>
      </c>
      <c r="F1103" s="174">
        <v>15.7265712</v>
      </c>
      <c r="G1103" s="175" t="s">
        <v>19</v>
      </c>
      <c r="H1103" s="172" t="s">
        <v>17</v>
      </c>
      <c r="I1103" s="175">
        <v>1</v>
      </c>
      <c r="J1103" s="175" t="s">
        <v>18</v>
      </c>
      <c r="K1103" s="175" t="s">
        <v>85</v>
      </c>
      <c r="L1103" s="172" t="s">
        <v>86</v>
      </c>
    </row>
    <row r="1104" spans="1:12" x14ac:dyDescent="0.2">
      <c r="A1104" s="172" t="s">
        <v>83</v>
      </c>
      <c r="B1104" s="172" t="s">
        <v>84</v>
      </c>
      <c r="C1104" s="172" t="s">
        <v>21</v>
      </c>
      <c r="D1104" s="172" t="s">
        <v>15</v>
      </c>
      <c r="E1104" s="173">
        <v>42528</v>
      </c>
      <c r="F1104" s="174">
        <v>1.33</v>
      </c>
      <c r="G1104" s="175" t="s">
        <v>16</v>
      </c>
      <c r="H1104" s="172" t="s">
        <v>20</v>
      </c>
      <c r="I1104" s="175">
        <v>1</v>
      </c>
      <c r="J1104" s="175" t="s">
        <v>18</v>
      </c>
      <c r="K1104" s="175" t="s">
        <v>85</v>
      </c>
      <c r="L1104" s="172" t="s">
        <v>86</v>
      </c>
    </row>
    <row r="1105" spans="1:12" x14ac:dyDescent="0.2">
      <c r="A1105" s="172" t="s">
        <v>83</v>
      </c>
      <c r="B1105" s="172" t="s">
        <v>84</v>
      </c>
      <c r="C1105" s="172" t="s">
        <v>21</v>
      </c>
      <c r="D1105" s="172" t="s">
        <v>15</v>
      </c>
      <c r="E1105" s="173">
        <v>42528</v>
      </c>
      <c r="F1105" s="174">
        <v>8.6075472000000008</v>
      </c>
      <c r="G1105" s="175" t="s">
        <v>19</v>
      </c>
      <c r="H1105" s="172" t="s">
        <v>20</v>
      </c>
      <c r="I1105" s="175">
        <v>1</v>
      </c>
      <c r="J1105" s="175" t="s">
        <v>18</v>
      </c>
      <c r="K1105" s="175" t="s">
        <v>85</v>
      </c>
      <c r="L1105" s="172" t="s">
        <v>86</v>
      </c>
    </row>
    <row r="1106" spans="1:12" x14ac:dyDescent="0.2">
      <c r="A1106" s="172" t="s">
        <v>83</v>
      </c>
      <c r="B1106" s="172" t="s">
        <v>84</v>
      </c>
      <c r="C1106" s="172" t="s">
        <v>21</v>
      </c>
      <c r="D1106" s="172" t="s">
        <v>15</v>
      </c>
      <c r="E1106" s="173">
        <v>42522</v>
      </c>
      <c r="F1106" s="174">
        <v>3.23</v>
      </c>
      <c r="G1106" s="175" t="s">
        <v>16</v>
      </c>
      <c r="H1106" s="172" t="s">
        <v>17</v>
      </c>
      <c r="I1106" s="175">
        <v>1</v>
      </c>
      <c r="J1106" s="175" t="s">
        <v>18</v>
      </c>
      <c r="K1106" s="175" t="s">
        <v>85</v>
      </c>
      <c r="L1106" s="172" t="s">
        <v>86</v>
      </c>
    </row>
    <row r="1107" spans="1:12" x14ac:dyDescent="0.2">
      <c r="A1107" s="172" t="s">
        <v>83</v>
      </c>
      <c r="B1107" s="172" t="s">
        <v>84</v>
      </c>
      <c r="C1107" s="172" t="s">
        <v>21</v>
      </c>
      <c r="D1107" s="172" t="s">
        <v>15</v>
      </c>
      <c r="E1107" s="173">
        <v>42522</v>
      </c>
      <c r="F1107" s="174">
        <v>19.584071399999999</v>
      </c>
      <c r="G1107" s="175" t="s">
        <v>19</v>
      </c>
      <c r="H1107" s="172" t="s">
        <v>17</v>
      </c>
      <c r="I1107" s="175">
        <v>1</v>
      </c>
      <c r="J1107" s="175" t="s">
        <v>18</v>
      </c>
      <c r="K1107" s="175" t="s">
        <v>85</v>
      </c>
      <c r="L1107" s="172" t="s">
        <v>86</v>
      </c>
    </row>
    <row r="1108" spans="1:12" x14ac:dyDescent="0.2">
      <c r="A1108" s="172" t="s">
        <v>83</v>
      </c>
      <c r="B1108" s="172" t="s">
        <v>84</v>
      </c>
      <c r="C1108" s="172" t="s">
        <v>21</v>
      </c>
      <c r="D1108" s="172" t="s">
        <v>15</v>
      </c>
      <c r="E1108" s="173">
        <v>42522</v>
      </c>
      <c r="F1108" s="174">
        <v>1.74</v>
      </c>
      <c r="G1108" s="175" t="s">
        <v>16</v>
      </c>
      <c r="H1108" s="172" t="s">
        <v>20</v>
      </c>
      <c r="I1108" s="175">
        <v>1</v>
      </c>
      <c r="J1108" s="175" t="s">
        <v>18</v>
      </c>
      <c r="K1108" s="175" t="s">
        <v>85</v>
      </c>
      <c r="L1108" s="172" t="s">
        <v>86</v>
      </c>
    </row>
    <row r="1109" spans="1:12" x14ac:dyDescent="0.2">
      <c r="A1109" s="172" t="s">
        <v>83</v>
      </c>
      <c r="B1109" s="172" t="s">
        <v>84</v>
      </c>
      <c r="C1109" s="172" t="s">
        <v>21</v>
      </c>
      <c r="D1109" s="172" t="s">
        <v>15</v>
      </c>
      <c r="E1109" s="173">
        <v>42522</v>
      </c>
      <c r="F1109" s="174">
        <v>10.5499332</v>
      </c>
      <c r="G1109" s="175" t="s">
        <v>19</v>
      </c>
      <c r="H1109" s="172" t="s">
        <v>20</v>
      </c>
      <c r="I1109" s="175">
        <v>1</v>
      </c>
      <c r="J1109" s="175" t="s">
        <v>18</v>
      </c>
      <c r="K1109" s="175" t="s">
        <v>85</v>
      </c>
      <c r="L1109" s="172" t="s">
        <v>86</v>
      </c>
    </row>
    <row r="1110" spans="1:12" x14ac:dyDescent="0.2">
      <c r="A1110" s="172" t="s">
        <v>83</v>
      </c>
      <c r="B1110" s="172" t="s">
        <v>84</v>
      </c>
      <c r="C1110" s="172" t="s">
        <v>21</v>
      </c>
      <c r="D1110" s="172" t="s">
        <v>15</v>
      </c>
      <c r="E1110" s="173">
        <v>42514</v>
      </c>
      <c r="F1110" s="174">
        <v>3.4</v>
      </c>
      <c r="G1110" s="175" t="s">
        <v>16</v>
      </c>
      <c r="H1110" s="172" t="s">
        <v>17</v>
      </c>
      <c r="I1110" s="175">
        <v>1</v>
      </c>
      <c r="J1110" s="175" t="s">
        <v>18</v>
      </c>
      <c r="K1110" s="175" t="s">
        <v>85</v>
      </c>
      <c r="L1110" s="172" t="s">
        <v>86</v>
      </c>
    </row>
    <row r="1111" spans="1:12" x14ac:dyDescent="0.2">
      <c r="A1111" s="172" t="s">
        <v>83</v>
      </c>
      <c r="B1111" s="172" t="s">
        <v>84</v>
      </c>
      <c r="C1111" s="172" t="s">
        <v>21</v>
      </c>
      <c r="D1111" s="172" t="s">
        <v>15</v>
      </c>
      <c r="E1111" s="173">
        <v>42514</v>
      </c>
      <c r="F1111" s="174">
        <v>14.404847999999999</v>
      </c>
      <c r="G1111" s="175" t="s">
        <v>19</v>
      </c>
      <c r="H1111" s="172" t="s">
        <v>17</v>
      </c>
      <c r="I1111" s="175">
        <v>1</v>
      </c>
      <c r="J1111" s="175" t="s">
        <v>18</v>
      </c>
      <c r="K1111" s="175" t="s">
        <v>85</v>
      </c>
      <c r="L1111" s="172" t="s">
        <v>86</v>
      </c>
    </row>
    <row r="1112" spans="1:12" x14ac:dyDescent="0.2">
      <c r="A1112" s="172" t="s">
        <v>83</v>
      </c>
      <c r="B1112" s="172" t="s">
        <v>84</v>
      </c>
      <c r="C1112" s="172" t="s">
        <v>21</v>
      </c>
      <c r="D1112" s="172" t="s">
        <v>15</v>
      </c>
      <c r="E1112" s="173">
        <v>42514</v>
      </c>
      <c r="F1112" s="174">
        <v>2.09</v>
      </c>
      <c r="G1112" s="175" t="s">
        <v>16</v>
      </c>
      <c r="H1112" s="172" t="s">
        <v>20</v>
      </c>
      <c r="I1112" s="175">
        <v>1</v>
      </c>
      <c r="J1112" s="175" t="s">
        <v>18</v>
      </c>
      <c r="K1112" s="175" t="s">
        <v>85</v>
      </c>
      <c r="L1112" s="172" t="s">
        <v>86</v>
      </c>
    </row>
    <row r="1113" spans="1:12" x14ac:dyDescent="0.2">
      <c r="A1113" s="172" t="s">
        <v>83</v>
      </c>
      <c r="B1113" s="172" t="s">
        <v>84</v>
      </c>
      <c r="C1113" s="172" t="s">
        <v>21</v>
      </c>
      <c r="D1113" s="172" t="s">
        <v>15</v>
      </c>
      <c r="E1113" s="173">
        <v>42514</v>
      </c>
      <c r="F1113" s="174">
        <v>8.8547448000000006</v>
      </c>
      <c r="G1113" s="175" t="s">
        <v>19</v>
      </c>
      <c r="H1113" s="172" t="s">
        <v>20</v>
      </c>
      <c r="I1113" s="175">
        <v>1</v>
      </c>
      <c r="J1113" s="175" t="s">
        <v>18</v>
      </c>
      <c r="K1113" s="175" t="s">
        <v>85</v>
      </c>
      <c r="L1113" s="172" t="s">
        <v>86</v>
      </c>
    </row>
    <row r="1114" spans="1:12" x14ac:dyDescent="0.2">
      <c r="A1114" s="172" t="s">
        <v>83</v>
      </c>
      <c r="B1114" s="172" t="s">
        <v>84</v>
      </c>
      <c r="C1114" s="172" t="s">
        <v>21</v>
      </c>
      <c r="D1114" s="172" t="s">
        <v>15</v>
      </c>
      <c r="E1114" s="173">
        <v>42507</v>
      </c>
      <c r="F1114" s="174">
        <v>2.62</v>
      </c>
      <c r="G1114" s="175" t="s">
        <v>16</v>
      </c>
      <c r="H1114" s="172" t="s">
        <v>17</v>
      </c>
      <c r="I1114" s="175">
        <v>1</v>
      </c>
      <c r="J1114" s="175" t="s">
        <v>18</v>
      </c>
      <c r="K1114" s="175" t="s">
        <v>85</v>
      </c>
      <c r="L1114" s="172" t="s">
        <v>86</v>
      </c>
    </row>
    <row r="1115" spans="1:12" x14ac:dyDescent="0.2">
      <c r="A1115" s="172" t="s">
        <v>83</v>
      </c>
      <c r="B1115" s="172" t="s">
        <v>84</v>
      </c>
      <c r="C1115" s="172" t="s">
        <v>21</v>
      </c>
      <c r="D1115" s="172" t="s">
        <v>15</v>
      </c>
      <c r="E1115" s="173">
        <v>42507</v>
      </c>
      <c r="F1115" s="174">
        <v>12.454955999999999</v>
      </c>
      <c r="G1115" s="175" t="s">
        <v>19</v>
      </c>
      <c r="H1115" s="172" t="s">
        <v>17</v>
      </c>
      <c r="I1115" s="175">
        <v>1</v>
      </c>
      <c r="J1115" s="175" t="s">
        <v>18</v>
      </c>
      <c r="K1115" s="175" t="s">
        <v>85</v>
      </c>
      <c r="L1115" s="172" t="s">
        <v>86</v>
      </c>
    </row>
    <row r="1116" spans="1:12" x14ac:dyDescent="0.2">
      <c r="A1116" s="172" t="s">
        <v>83</v>
      </c>
      <c r="B1116" s="172" t="s">
        <v>84</v>
      </c>
      <c r="C1116" s="172" t="s">
        <v>21</v>
      </c>
      <c r="D1116" s="172" t="s">
        <v>15</v>
      </c>
      <c r="E1116" s="173">
        <v>42507</v>
      </c>
      <c r="F1116" s="174">
        <v>1.68</v>
      </c>
      <c r="G1116" s="175" t="s">
        <v>16</v>
      </c>
      <c r="H1116" s="172" t="s">
        <v>20</v>
      </c>
      <c r="I1116" s="175">
        <v>1</v>
      </c>
      <c r="J1116" s="175" t="s">
        <v>18</v>
      </c>
      <c r="K1116" s="175" t="s">
        <v>85</v>
      </c>
      <c r="L1116" s="172" t="s">
        <v>86</v>
      </c>
    </row>
    <row r="1117" spans="1:12" x14ac:dyDescent="0.2">
      <c r="A1117" s="172" t="s">
        <v>83</v>
      </c>
      <c r="B1117" s="172" t="s">
        <v>84</v>
      </c>
      <c r="C1117" s="172" t="s">
        <v>21</v>
      </c>
      <c r="D1117" s="172" t="s">
        <v>15</v>
      </c>
      <c r="E1117" s="173">
        <v>42507</v>
      </c>
      <c r="F1117" s="174">
        <v>7.9863838999999999</v>
      </c>
      <c r="G1117" s="175" t="s">
        <v>19</v>
      </c>
      <c r="H1117" s="172" t="s">
        <v>20</v>
      </c>
      <c r="I1117" s="175">
        <v>1</v>
      </c>
      <c r="J1117" s="175" t="s">
        <v>18</v>
      </c>
      <c r="K1117" s="175" t="s">
        <v>85</v>
      </c>
      <c r="L1117" s="172" t="s">
        <v>86</v>
      </c>
    </row>
    <row r="1118" spans="1:12" x14ac:dyDescent="0.2">
      <c r="A1118" s="172" t="s">
        <v>83</v>
      </c>
      <c r="B1118" s="172" t="s">
        <v>84</v>
      </c>
      <c r="C1118" s="172" t="s">
        <v>21</v>
      </c>
      <c r="D1118" s="172" t="s">
        <v>15</v>
      </c>
      <c r="E1118" s="173">
        <v>42500</v>
      </c>
      <c r="F1118" s="174">
        <v>3.02</v>
      </c>
      <c r="G1118" s="175" t="s">
        <v>16</v>
      </c>
      <c r="H1118" s="172" t="s">
        <v>17</v>
      </c>
      <c r="I1118" s="175">
        <v>1</v>
      </c>
      <c r="J1118" s="175" t="s">
        <v>18</v>
      </c>
      <c r="K1118" s="175" t="s">
        <v>85</v>
      </c>
      <c r="L1118" s="172" t="s">
        <v>86</v>
      </c>
    </row>
    <row r="1119" spans="1:12" x14ac:dyDescent="0.2">
      <c r="A1119" s="172" t="s">
        <v>83</v>
      </c>
      <c r="B1119" s="172" t="s">
        <v>84</v>
      </c>
      <c r="C1119" s="172" t="s">
        <v>21</v>
      </c>
      <c r="D1119" s="172" t="s">
        <v>15</v>
      </c>
      <c r="E1119" s="173">
        <v>42500</v>
      </c>
      <c r="F1119" s="174">
        <v>16.900342800000001</v>
      </c>
      <c r="G1119" s="175" t="s">
        <v>19</v>
      </c>
      <c r="H1119" s="172" t="s">
        <v>17</v>
      </c>
      <c r="I1119" s="175">
        <v>1</v>
      </c>
      <c r="J1119" s="175" t="s">
        <v>18</v>
      </c>
      <c r="K1119" s="175" t="s">
        <v>85</v>
      </c>
      <c r="L1119" s="172" t="s">
        <v>86</v>
      </c>
    </row>
    <row r="1120" spans="1:12" x14ac:dyDescent="0.2">
      <c r="A1120" s="172" t="s">
        <v>83</v>
      </c>
      <c r="B1120" s="172" t="s">
        <v>84</v>
      </c>
      <c r="C1120" s="172" t="s">
        <v>21</v>
      </c>
      <c r="D1120" s="172" t="s">
        <v>15</v>
      </c>
      <c r="E1120" s="173">
        <v>42500</v>
      </c>
      <c r="F1120" s="174">
        <v>1.21</v>
      </c>
      <c r="G1120" s="175" t="s">
        <v>16</v>
      </c>
      <c r="H1120" s="172" t="s">
        <v>20</v>
      </c>
      <c r="I1120" s="175">
        <v>1</v>
      </c>
      <c r="J1120" s="175" t="s">
        <v>18</v>
      </c>
      <c r="K1120" s="175" t="s">
        <v>85</v>
      </c>
      <c r="L1120" s="172" t="s">
        <v>86</v>
      </c>
    </row>
    <row r="1121" spans="1:12" x14ac:dyDescent="0.2">
      <c r="A1121" s="172" t="s">
        <v>83</v>
      </c>
      <c r="B1121" s="172" t="s">
        <v>84</v>
      </c>
      <c r="C1121" s="172" t="s">
        <v>21</v>
      </c>
      <c r="D1121" s="172" t="s">
        <v>15</v>
      </c>
      <c r="E1121" s="173">
        <v>42500</v>
      </c>
      <c r="F1121" s="174">
        <v>6.7713293999999999</v>
      </c>
      <c r="G1121" s="175" t="s">
        <v>19</v>
      </c>
      <c r="H1121" s="172" t="s">
        <v>20</v>
      </c>
      <c r="I1121" s="175">
        <v>1</v>
      </c>
      <c r="J1121" s="175" t="s">
        <v>18</v>
      </c>
      <c r="K1121" s="175" t="s">
        <v>85</v>
      </c>
      <c r="L1121" s="172" t="s">
        <v>86</v>
      </c>
    </row>
    <row r="1122" spans="1:12" x14ac:dyDescent="0.2">
      <c r="A1122" s="172" t="s">
        <v>83</v>
      </c>
      <c r="B1122" s="172" t="s">
        <v>84</v>
      </c>
      <c r="C1122" s="172" t="s">
        <v>21</v>
      </c>
      <c r="D1122" s="172" t="s">
        <v>15</v>
      </c>
      <c r="E1122" s="173">
        <v>42493</v>
      </c>
      <c r="F1122" s="174">
        <v>2.8</v>
      </c>
      <c r="G1122" s="175" t="s">
        <v>16</v>
      </c>
      <c r="H1122" s="172" t="s">
        <v>17</v>
      </c>
      <c r="I1122" s="175">
        <v>1</v>
      </c>
      <c r="J1122" s="175" t="s">
        <v>18</v>
      </c>
      <c r="K1122" s="175" t="s">
        <v>85</v>
      </c>
      <c r="L1122" s="172" t="s">
        <v>86</v>
      </c>
    </row>
    <row r="1123" spans="1:12" x14ac:dyDescent="0.2">
      <c r="A1123" s="172" t="s">
        <v>83</v>
      </c>
      <c r="B1123" s="172" t="s">
        <v>84</v>
      </c>
      <c r="C1123" s="172" t="s">
        <v>21</v>
      </c>
      <c r="D1123" s="172" t="s">
        <v>15</v>
      </c>
      <c r="E1123" s="173">
        <v>42493</v>
      </c>
      <c r="F1123" s="174">
        <v>18.751656000000001</v>
      </c>
      <c r="G1123" s="175" t="s">
        <v>19</v>
      </c>
      <c r="H1123" s="172" t="s">
        <v>17</v>
      </c>
      <c r="I1123" s="175">
        <v>1</v>
      </c>
      <c r="J1123" s="175" t="s">
        <v>18</v>
      </c>
      <c r="K1123" s="175" t="s">
        <v>85</v>
      </c>
      <c r="L1123" s="172" t="s">
        <v>86</v>
      </c>
    </row>
    <row r="1124" spans="1:12" x14ac:dyDescent="0.2">
      <c r="A1124" s="172" t="s">
        <v>83</v>
      </c>
      <c r="B1124" s="172" t="s">
        <v>84</v>
      </c>
      <c r="C1124" s="172" t="s">
        <v>21</v>
      </c>
      <c r="D1124" s="172" t="s">
        <v>15</v>
      </c>
      <c r="E1124" s="173">
        <v>42493</v>
      </c>
      <c r="F1124" s="174">
        <v>1.37</v>
      </c>
      <c r="G1124" s="175" t="s">
        <v>16</v>
      </c>
      <c r="H1124" s="172" t="s">
        <v>20</v>
      </c>
      <c r="I1124" s="175">
        <v>1</v>
      </c>
      <c r="J1124" s="175" t="s">
        <v>18</v>
      </c>
      <c r="K1124" s="175" t="s">
        <v>85</v>
      </c>
      <c r="L1124" s="172" t="s">
        <v>86</v>
      </c>
    </row>
    <row r="1125" spans="1:12" x14ac:dyDescent="0.2">
      <c r="A1125" s="172" t="s">
        <v>83</v>
      </c>
      <c r="B1125" s="172" t="s">
        <v>84</v>
      </c>
      <c r="C1125" s="172" t="s">
        <v>21</v>
      </c>
      <c r="D1125" s="172" t="s">
        <v>15</v>
      </c>
      <c r="E1125" s="173">
        <v>42493</v>
      </c>
      <c r="F1125" s="174">
        <v>9.1749174</v>
      </c>
      <c r="G1125" s="175" t="s">
        <v>19</v>
      </c>
      <c r="H1125" s="172" t="s">
        <v>20</v>
      </c>
      <c r="I1125" s="175">
        <v>1</v>
      </c>
      <c r="J1125" s="175" t="s">
        <v>18</v>
      </c>
      <c r="K1125" s="175" t="s">
        <v>85</v>
      </c>
      <c r="L1125" s="172" t="s">
        <v>86</v>
      </c>
    </row>
    <row r="1126" spans="1:12" x14ac:dyDescent="0.2">
      <c r="A1126" s="172" t="s">
        <v>83</v>
      </c>
      <c r="B1126" s="172" t="s">
        <v>84</v>
      </c>
      <c r="C1126" s="172" t="s">
        <v>21</v>
      </c>
      <c r="D1126" s="172" t="s">
        <v>15</v>
      </c>
      <c r="E1126" s="173">
        <v>42486</v>
      </c>
      <c r="F1126" s="174">
        <v>2.36</v>
      </c>
      <c r="G1126" s="175" t="s">
        <v>16</v>
      </c>
      <c r="H1126" s="172" t="s">
        <v>17</v>
      </c>
      <c r="I1126" s="175">
        <v>1</v>
      </c>
      <c r="J1126" s="175" t="s">
        <v>18</v>
      </c>
      <c r="K1126" s="175" t="s">
        <v>85</v>
      </c>
      <c r="L1126" s="172" t="s">
        <v>86</v>
      </c>
    </row>
    <row r="1127" spans="1:12" x14ac:dyDescent="0.2">
      <c r="A1127" s="172" t="s">
        <v>83</v>
      </c>
      <c r="B1127" s="172" t="s">
        <v>84</v>
      </c>
      <c r="C1127" s="172" t="s">
        <v>21</v>
      </c>
      <c r="D1127" s="172" t="s">
        <v>15</v>
      </c>
      <c r="E1127" s="173">
        <v>42486</v>
      </c>
      <c r="F1127" s="174">
        <v>11.1796031</v>
      </c>
      <c r="G1127" s="175" t="s">
        <v>19</v>
      </c>
      <c r="H1127" s="172" t="s">
        <v>17</v>
      </c>
      <c r="I1127" s="175">
        <v>1</v>
      </c>
      <c r="J1127" s="175" t="s">
        <v>18</v>
      </c>
      <c r="K1127" s="175" t="s">
        <v>85</v>
      </c>
      <c r="L1127" s="172" t="s">
        <v>86</v>
      </c>
    </row>
    <row r="1128" spans="1:12" x14ac:dyDescent="0.2">
      <c r="A1128" s="172" t="s">
        <v>83</v>
      </c>
      <c r="B1128" s="172" t="s">
        <v>84</v>
      </c>
      <c r="C1128" s="172" t="s">
        <v>21</v>
      </c>
      <c r="D1128" s="172" t="s">
        <v>15</v>
      </c>
      <c r="E1128" s="173">
        <v>42486</v>
      </c>
      <c r="F1128" s="174">
        <v>1.93</v>
      </c>
      <c r="G1128" s="175" t="s">
        <v>16</v>
      </c>
      <c r="H1128" s="172" t="s">
        <v>20</v>
      </c>
      <c r="I1128" s="175">
        <v>1</v>
      </c>
      <c r="J1128" s="175" t="s">
        <v>18</v>
      </c>
      <c r="K1128" s="175" t="s">
        <v>85</v>
      </c>
      <c r="L1128" s="172" t="s">
        <v>86</v>
      </c>
    </row>
    <row r="1129" spans="1:12" x14ac:dyDescent="0.2">
      <c r="A1129" s="172" t="s">
        <v>83</v>
      </c>
      <c r="B1129" s="172" t="s">
        <v>84</v>
      </c>
      <c r="C1129" s="172" t="s">
        <v>21</v>
      </c>
      <c r="D1129" s="172" t="s">
        <v>15</v>
      </c>
      <c r="E1129" s="173">
        <v>42486</v>
      </c>
      <c r="F1129" s="174">
        <v>9.1426415999999993</v>
      </c>
      <c r="G1129" s="175" t="s">
        <v>19</v>
      </c>
      <c r="H1129" s="172" t="s">
        <v>20</v>
      </c>
      <c r="I1129" s="175">
        <v>1</v>
      </c>
      <c r="J1129" s="175" t="s">
        <v>18</v>
      </c>
      <c r="K1129" s="175" t="s">
        <v>85</v>
      </c>
      <c r="L1129" s="172" t="s">
        <v>86</v>
      </c>
    </row>
    <row r="1130" spans="1:12" x14ac:dyDescent="0.2">
      <c r="A1130" s="172" t="s">
        <v>83</v>
      </c>
      <c r="B1130" s="172" t="s">
        <v>84</v>
      </c>
      <c r="C1130" s="172" t="s">
        <v>21</v>
      </c>
      <c r="D1130" s="172" t="s">
        <v>15</v>
      </c>
      <c r="E1130" s="173">
        <v>42479</v>
      </c>
      <c r="F1130" s="174">
        <v>2.83</v>
      </c>
      <c r="G1130" s="175" t="s">
        <v>16</v>
      </c>
      <c r="H1130" s="172" t="s">
        <v>17</v>
      </c>
      <c r="I1130" s="175">
        <v>1</v>
      </c>
      <c r="J1130" s="175" t="s">
        <v>18</v>
      </c>
      <c r="K1130" s="175" t="s">
        <v>85</v>
      </c>
      <c r="L1130" s="172" t="s">
        <v>86</v>
      </c>
    </row>
    <row r="1131" spans="1:12" x14ac:dyDescent="0.2">
      <c r="A1131" s="172" t="s">
        <v>83</v>
      </c>
      <c r="B1131" s="172" t="s">
        <v>84</v>
      </c>
      <c r="C1131" s="172" t="s">
        <v>21</v>
      </c>
      <c r="D1131" s="172" t="s">
        <v>15</v>
      </c>
      <c r="E1131" s="173">
        <v>42479</v>
      </c>
      <c r="F1131" s="174">
        <v>13.948900099999999</v>
      </c>
      <c r="G1131" s="175" t="s">
        <v>19</v>
      </c>
      <c r="H1131" s="172" t="s">
        <v>17</v>
      </c>
      <c r="I1131" s="175">
        <v>1</v>
      </c>
      <c r="J1131" s="175" t="s">
        <v>18</v>
      </c>
      <c r="K1131" s="175" t="s">
        <v>85</v>
      </c>
      <c r="L1131" s="172" t="s">
        <v>86</v>
      </c>
    </row>
    <row r="1132" spans="1:12" x14ac:dyDescent="0.2">
      <c r="A1132" s="172" t="s">
        <v>83</v>
      </c>
      <c r="B1132" s="172" t="s">
        <v>84</v>
      </c>
      <c r="C1132" s="172" t="s">
        <v>21</v>
      </c>
      <c r="D1132" s="172" t="s">
        <v>15</v>
      </c>
      <c r="E1132" s="173">
        <v>42479</v>
      </c>
      <c r="F1132" s="174">
        <v>1.73</v>
      </c>
      <c r="G1132" s="175" t="s">
        <v>16</v>
      </c>
      <c r="H1132" s="172" t="s">
        <v>20</v>
      </c>
      <c r="I1132" s="175">
        <v>1</v>
      </c>
      <c r="J1132" s="175" t="s">
        <v>18</v>
      </c>
      <c r="K1132" s="175" t="s">
        <v>85</v>
      </c>
      <c r="L1132" s="172" t="s">
        <v>86</v>
      </c>
    </row>
    <row r="1133" spans="1:12" x14ac:dyDescent="0.2">
      <c r="A1133" s="172" t="s">
        <v>83</v>
      </c>
      <c r="B1133" s="172" t="s">
        <v>84</v>
      </c>
      <c r="C1133" s="172" t="s">
        <v>21</v>
      </c>
      <c r="D1133" s="172" t="s">
        <v>15</v>
      </c>
      <c r="E1133" s="173">
        <v>42479</v>
      </c>
      <c r="F1133" s="174">
        <v>8.5270662000000002</v>
      </c>
      <c r="G1133" s="175" t="s">
        <v>19</v>
      </c>
      <c r="H1133" s="172" t="s">
        <v>20</v>
      </c>
      <c r="I1133" s="175">
        <v>1</v>
      </c>
      <c r="J1133" s="175" t="s">
        <v>18</v>
      </c>
      <c r="K1133" s="175" t="s">
        <v>85</v>
      </c>
      <c r="L1133" s="172" t="s">
        <v>86</v>
      </c>
    </row>
    <row r="1134" spans="1:12" x14ac:dyDescent="0.2">
      <c r="A1134" s="172" t="s">
        <v>83</v>
      </c>
      <c r="B1134" s="172" t="s">
        <v>84</v>
      </c>
      <c r="C1134" s="172" t="s">
        <v>21</v>
      </c>
      <c r="D1134" s="172" t="s">
        <v>15</v>
      </c>
      <c r="E1134" s="173">
        <v>42473</v>
      </c>
      <c r="F1134" s="174">
        <v>2.1</v>
      </c>
      <c r="G1134" s="175" t="s">
        <v>16</v>
      </c>
      <c r="H1134" s="172" t="s">
        <v>17</v>
      </c>
      <c r="I1134" s="175">
        <v>1</v>
      </c>
      <c r="J1134" s="175" t="s">
        <v>18</v>
      </c>
      <c r="K1134" s="175" t="s">
        <v>85</v>
      </c>
      <c r="L1134" s="172" t="s">
        <v>86</v>
      </c>
    </row>
    <row r="1135" spans="1:12" x14ac:dyDescent="0.2">
      <c r="A1135" s="172" t="s">
        <v>83</v>
      </c>
      <c r="B1135" s="172" t="s">
        <v>84</v>
      </c>
      <c r="C1135" s="172" t="s">
        <v>21</v>
      </c>
      <c r="D1135" s="172" t="s">
        <v>15</v>
      </c>
      <c r="E1135" s="173">
        <v>42473</v>
      </c>
      <c r="F1135" s="174">
        <v>11.681838000000001</v>
      </c>
      <c r="G1135" s="175" t="s">
        <v>19</v>
      </c>
      <c r="H1135" s="172" t="s">
        <v>17</v>
      </c>
      <c r="I1135" s="175">
        <v>1</v>
      </c>
      <c r="J1135" s="175" t="s">
        <v>18</v>
      </c>
      <c r="K1135" s="175" t="s">
        <v>85</v>
      </c>
      <c r="L1135" s="172" t="s">
        <v>86</v>
      </c>
    </row>
    <row r="1136" spans="1:12" x14ac:dyDescent="0.2">
      <c r="A1136" s="172" t="s">
        <v>83</v>
      </c>
      <c r="B1136" s="172" t="s">
        <v>84</v>
      </c>
      <c r="C1136" s="172" t="s">
        <v>21</v>
      </c>
      <c r="D1136" s="172" t="s">
        <v>15</v>
      </c>
      <c r="E1136" s="173">
        <v>42473</v>
      </c>
      <c r="F1136" s="174">
        <v>1.47</v>
      </c>
      <c r="G1136" s="175" t="s">
        <v>16</v>
      </c>
      <c r="H1136" s="172" t="s">
        <v>20</v>
      </c>
      <c r="I1136" s="175">
        <v>1</v>
      </c>
      <c r="J1136" s="175" t="s">
        <v>18</v>
      </c>
      <c r="K1136" s="175" t="s">
        <v>85</v>
      </c>
      <c r="L1136" s="172" t="s">
        <v>86</v>
      </c>
    </row>
    <row r="1137" spans="1:12" x14ac:dyDescent="0.2">
      <c r="A1137" s="172" t="s">
        <v>83</v>
      </c>
      <c r="B1137" s="172" t="s">
        <v>84</v>
      </c>
      <c r="C1137" s="172" t="s">
        <v>21</v>
      </c>
      <c r="D1137" s="172" t="s">
        <v>15</v>
      </c>
      <c r="E1137" s="173">
        <v>42473</v>
      </c>
      <c r="F1137" s="174">
        <v>8.1772866000000004</v>
      </c>
      <c r="G1137" s="175" t="s">
        <v>19</v>
      </c>
      <c r="H1137" s="172" t="s">
        <v>20</v>
      </c>
      <c r="I1137" s="175">
        <v>1</v>
      </c>
      <c r="J1137" s="175" t="s">
        <v>18</v>
      </c>
      <c r="K1137" s="175" t="s">
        <v>85</v>
      </c>
      <c r="L1137" s="172" t="s">
        <v>86</v>
      </c>
    </row>
    <row r="1138" spans="1:12" x14ac:dyDescent="0.2">
      <c r="A1138" s="172" t="s">
        <v>83</v>
      </c>
      <c r="B1138" s="172" t="s">
        <v>84</v>
      </c>
      <c r="C1138" s="172" t="s">
        <v>21</v>
      </c>
      <c r="D1138" s="172" t="s">
        <v>15</v>
      </c>
      <c r="E1138" s="173">
        <v>42465</v>
      </c>
      <c r="F1138" s="174">
        <v>2.48</v>
      </c>
      <c r="G1138" s="175" t="s">
        <v>16</v>
      </c>
      <c r="H1138" s="172" t="s">
        <v>17</v>
      </c>
      <c r="I1138" s="175">
        <v>1</v>
      </c>
      <c r="J1138" s="175" t="s">
        <v>18</v>
      </c>
      <c r="K1138" s="175" t="s">
        <v>85</v>
      </c>
      <c r="L1138" s="172" t="s">
        <v>86</v>
      </c>
    </row>
    <row r="1139" spans="1:12" x14ac:dyDescent="0.2">
      <c r="A1139" s="172" t="s">
        <v>83</v>
      </c>
      <c r="B1139" s="172" t="s">
        <v>84</v>
      </c>
      <c r="C1139" s="172" t="s">
        <v>21</v>
      </c>
      <c r="D1139" s="172" t="s">
        <v>15</v>
      </c>
      <c r="E1139" s="173">
        <v>42465</v>
      </c>
      <c r="F1139" s="174">
        <v>15.9053808</v>
      </c>
      <c r="G1139" s="175" t="s">
        <v>19</v>
      </c>
      <c r="H1139" s="172" t="s">
        <v>17</v>
      </c>
      <c r="I1139" s="175">
        <v>1</v>
      </c>
      <c r="J1139" s="175" t="s">
        <v>18</v>
      </c>
      <c r="K1139" s="175" t="s">
        <v>85</v>
      </c>
      <c r="L1139" s="172" t="s">
        <v>86</v>
      </c>
    </row>
    <row r="1140" spans="1:12" x14ac:dyDescent="0.2">
      <c r="A1140" s="172" t="s">
        <v>83</v>
      </c>
      <c r="B1140" s="172" t="s">
        <v>84</v>
      </c>
      <c r="C1140" s="172" t="s">
        <v>21</v>
      </c>
      <c r="D1140" s="172" t="s">
        <v>15</v>
      </c>
      <c r="E1140" s="173">
        <v>42465</v>
      </c>
      <c r="F1140" s="174">
        <v>1.21</v>
      </c>
      <c r="G1140" s="175" t="s">
        <v>16</v>
      </c>
      <c r="H1140" s="172" t="s">
        <v>20</v>
      </c>
      <c r="I1140" s="175">
        <v>1</v>
      </c>
      <c r="J1140" s="175" t="s">
        <v>18</v>
      </c>
      <c r="K1140" s="175" t="s">
        <v>85</v>
      </c>
      <c r="L1140" s="172" t="s">
        <v>86</v>
      </c>
    </row>
    <row r="1141" spans="1:12" x14ac:dyDescent="0.2">
      <c r="A1141" s="172" t="s">
        <v>83</v>
      </c>
      <c r="B1141" s="172" t="s">
        <v>84</v>
      </c>
      <c r="C1141" s="172" t="s">
        <v>21</v>
      </c>
      <c r="D1141" s="172" t="s">
        <v>15</v>
      </c>
      <c r="E1141" s="173">
        <v>42465</v>
      </c>
      <c r="F1141" s="174">
        <v>7.7602865999999997</v>
      </c>
      <c r="G1141" s="175" t="s">
        <v>19</v>
      </c>
      <c r="H1141" s="172" t="s">
        <v>20</v>
      </c>
      <c r="I1141" s="175">
        <v>1</v>
      </c>
      <c r="J1141" s="175" t="s">
        <v>18</v>
      </c>
      <c r="K1141" s="175" t="s">
        <v>85</v>
      </c>
      <c r="L1141" s="172" t="s">
        <v>86</v>
      </c>
    </row>
    <row r="1142" spans="1:12" x14ac:dyDescent="0.2">
      <c r="A1142" s="172" t="s">
        <v>83</v>
      </c>
      <c r="B1142" s="172" t="s">
        <v>84</v>
      </c>
      <c r="C1142" s="172" t="s">
        <v>21</v>
      </c>
      <c r="D1142" s="172" t="s">
        <v>15</v>
      </c>
      <c r="E1142" s="173">
        <v>42459</v>
      </c>
      <c r="F1142" s="174">
        <v>1.33</v>
      </c>
      <c r="G1142" s="175" t="s">
        <v>16</v>
      </c>
      <c r="H1142" s="172" t="s">
        <v>17</v>
      </c>
      <c r="I1142" s="175">
        <v>1</v>
      </c>
      <c r="J1142" s="175" t="s">
        <v>18</v>
      </c>
      <c r="K1142" s="175" t="s">
        <v>85</v>
      </c>
      <c r="L1142" s="172" t="s">
        <v>86</v>
      </c>
    </row>
    <row r="1143" spans="1:12" x14ac:dyDescent="0.2">
      <c r="A1143" s="172" t="s">
        <v>83</v>
      </c>
      <c r="B1143" s="172" t="s">
        <v>84</v>
      </c>
      <c r="C1143" s="172" t="s">
        <v>21</v>
      </c>
      <c r="D1143" s="172" t="s">
        <v>15</v>
      </c>
      <c r="E1143" s="173">
        <v>42459</v>
      </c>
      <c r="F1143" s="174">
        <v>9.3950934000000004</v>
      </c>
      <c r="G1143" s="175" t="s">
        <v>19</v>
      </c>
      <c r="H1143" s="172" t="s">
        <v>17</v>
      </c>
      <c r="I1143" s="175">
        <v>1</v>
      </c>
      <c r="J1143" s="175" t="s">
        <v>18</v>
      </c>
      <c r="K1143" s="175" t="s">
        <v>85</v>
      </c>
      <c r="L1143" s="172" t="s">
        <v>86</v>
      </c>
    </row>
    <row r="1144" spans="1:12" x14ac:dyDescent="0.2">
      <c r="A1144" s="172" t="s">
        <v>83</v>
      </c>
      <c r="B1144" s="172" t="s">
        <v>84</v>
      </c>
      <c r="C1144" s="172" t="s">
        <v>21</v>
      </c>
      <c r="D1144" s="172" t="s">
        <v>15</v>
      </c>
      <c r="E1144" s="173">
        <v>42458</v>
      </c>
      <c r="F1144" s="174">
        <v>1.1100000000000001</v>
      </c>
      <c r="G1144" s="175" t="s">
        <v>16</v>
      </c>
      <c r="H1144" s="172" t="s">
        <v>20</v>
      </c>
      <c r="I1144" s="175">
        <v>1</v>
      </c>
      <c r="J1144" s="175" t="s">
        <v>18</v>
      </c>
      <c r="K1144" s="175" t="s">
        <v>85</v>
      </c>
      <c r="L1144" s="172" t="s">
        <v>86</v>
      </c>
    </row>
    <row r="1145" spans="1:12" x14ac:dyDescent="0.2">
      <c r="A1145" s="172" t="s">
        <v>83</v>
      </c>
      <c r="B1145" s="172" t="s">
        <v>84</v>
      </c>
      <c r="C1145" s="172" t="s">
        <v>21</v>
      </c>
      <c r="D1145" s="172" t="s">
        <v>15</v>
      </c>
      <c r="E1145" s="173">
        <v>42458</v>
      </c>
      <c r="F1145" s="174">
        <v>7.7484438000000004</v>
      </c>
      <c r="G1145" s="175" t="s">
        <v>19</v>
      </c>
      <c r="H1145" s="172" t="s">
        <v>20</v>
      </c>
      <c r="I1145" s="175">
        <v>1</v>
      </c>
      <c r="J1145" s="175" t="s">
        <v>18</v>
      </c>
      <c r="K1145" s="175" t="s">
        <v>85</v>
      </c>
      <c r="L1145" s="172" t="s">
        <v>86</v>
      </c>
    </row>
    <row r="1146" spans="1:12" x14ac:dyDescent="0.2">
      <c r="A1146" s="172" t="s">
        <v>83</v>
      </c>
      <c r="B1146" s="172" t="s">
        <v>84</v>
      </c>
      <c r="C1146" s="172" t="s">
        <v>21</v>
      </c>
      <c r="D1146" s="172" t="s">
        <v>15</v>
      </c>
      <c r="E1146" s="173">
        <v>42451</v>
      </c>
      <c r="F1146" s="174">
        <v>1.71</v>
      </c>
      <c r="G1146" s="175" t="s">
        <v>16</v>
      </c>
      <c r="H1146" s="172" t="s">
        <v>17</v>
      </c>
      <c r="I1146" s="175">
        <v>1</v>
      </c>
      <c r="J1146" s="175" t="s">
        <v>18</v>
      </c>
      <c r="K1146" s="175" t="s">
        <v>85</v>
      </c>
      <c r="L1146" s="172" t="s">
        <v>86</v>
      </c>
    </row>
    <row r="1147" spans="1:12" x14ac:dyDescent="0.2">
      <c r="A1147" s="172" t="s">
        <v>83</v>
      </c>
      <c r="B1147" s="172" t="s">
        <v>84</v>
      </c>
      <c r="C1147" s="172" t="s">
        <v>21</v>
      </c>
      <c r="D1147" s="172" t="s">
        <v>15</v>
      </c>
      <c r="E1147" s="173">
        <v>42451</v>
      </c>
      <c r="F1147" s="174">
        <v>11.4233814</v>
      </c>
      <c r="G1147" s="175" t="s">
        <v>19</v>
      </c>
      <c r="H1147" s="172" t="s">
        <v>17</v>
      </c>
      <c r="I1147" s="175">
        <v>1</v>
      </c>
      <c r="J1147" s="175" t="s">
        <v>18</v>
      </c>
      <c r="K1147" s="175" t="s">
        <v>85</v>
      </c>
      <c r="L1147" s="172" t="s">
        <v>86</v>
      </c>
    </row>
    <row r="1148" spans="1:12" x14ac:dyDescent="0.2">
      <c r="A1148" s="172" t="s">
        <v>83</v>
      </c>
      <c r="B1148" s="172" t="s">
        <v>84</v>
      </c>
      <c r="C1148" s="172" t="s">
        <v>21</v>
      </c>
      <c r="D1148" s="172" t="s">
        <v>15</v>
      </c>
      <c r="E1148" s="173">
        <v>42451</v>
      </c>
      <c r="F1148" s="174">
        <v>1.1599999999999999</v>
      </c>
      <c r="G1148" s="175" t="s">
        <v>16</v>
      </c>
      <c r="H1148" s="172" t="s">
        <v>20</v>
      </c>
      <c r="I1148" s="175">
        <v>1</v>
      </c>
      <c r="J1148" s="175" t="s">
        <v>18</v>
      </c>
      <c r="K1148" s="175" t="s">
        <v>85</v>
      </c>
      <c r="L1148" s="172" t="s">
        <v>86</v>
      </c>
    </row>
    <row r="1149" spans="1:12" x14ac:dyDescent="0.2">
      <c r="A1149" s="172" t="s">
        <v>83</v>
      </c>
      <c r="B1149" s="172" t="s">
        <v>84</v>
      </c>
      <c r="C1149" s="172" t="s">
        <v>21</v>
      </c>
      <c r="D1149" s="172" t="s">
        <v>15</v>
      </c>
      <c r="E1149" s="173">
        <v>42451</v>
      </c>
      <c r="F1149" s="174">
        <v>7.7491943000000001</v>
      </c>
      <c r="G1149" s="175" t="s">
        <v>19</v>
      </c>
      <c r="H1149" s="172" t="s">
        <v>20</v>
      </c>
      <c r="I1149" s="175">
        <v>1</v>
      </c>
      <c r="J1149" s="175" t="s">
        <v>18</v>
      </c>
      <c r="K1149" s="175" t="s">
        <v>85</v>
      </c>
      <c r="L1149" s="172" t="s">
        <v>86</v>
      </c>
    </row>
    <row r="1150" spans="1:12" x14ac:dyDescent="0.2">
      <c r="A1150" s="172" t="s">
        <v>83</v>
      </c>
      <c r="B1150" s="172" t="s">
        <v>84</v>
      </c>
      <c r="C1150" s="172" t="s">
        <v>21</v>
      </c>
      <c r="D1150" s="172" t="s">
        <v>15</v>
      </c>
      <c r="E1150" s="173">
        <v>42444</v>
      </c>
      <c r="F1150" s="174">
        <v>2.23</v>
      </c>
      <c r="G1150" s="175" t="s">
        <v>16</v>
      </c>
      <c r="H1150" s="172" t="s">
        <v>17</v>
      </c>
      <c r="I1150" s="175">
        <v>1</v>
      </c>
      <c r="J1150" s="175" t="s">
        <v>18</v>
      </c>
      <c r="K1150" s="175" t="s">
        <v>85</v>
      </c>
      <c r="L1150" s="172" t="s">
        <v>86</v>
      </c>
    </row>
    <row r="1151" spans="1:12" x14ac:dyDescent="0.2">
      <c r="A1151" s="172" t="s">
        <v>83</v>
      </c>
      <c r="B1151" s="172" t="s">
        <v>84</v>
      </c>
      <c r="C1151" s="172" t="s">
        <v>21</v>
      </c>
      <c r="D1151" s="172" t="s">
        <v>15</v>
      </c>
      <c r="E1151" s="173">
        <v>42444</v>
      </c>
      <c r="F1151" s="174">
        <v>14.5809888</v>
      </c>
      <c r="G1151" s="175" t="s">
        <v>19</v>
      </c>
      <c r="H1151" s="172" t="s">
        <v>17</v>
      </c>
      <c r="I1151" s="175">
        <v>1</v>
      </c>
      <c r="J1151" s="175" t="s">
        <v>18</v>
      </c>
      <c r="K1151" s="175" t="s">
        <v>85</v>
      </c>
      <c r="L1151" s="172" t="s">
        <v>86</v>
      </c>
    </row>
    <row r="1152" spans="1:12" x14ac:dyDescent="0.2">
      <c r="A1152" s="172" t="s">
        <v>83</v>
      </c>
      <c r="B1152" s="172" t="s">
        <v>84</v>
      </c>
      <c r="C1152" s="172" t="s">
        <v>21</v>
      </c>
      <c r="D1152" s="172" t="s">
        <v>15</v>
      </c>
      <c r="E1152" s="173">
        <v>42444</v>
      </c>
      <c r="F1152" s="174">
        <v>1.39</v>
      </c>
      <c r="G1152" s="175" t="s">
        <v>16</v>
      </c>
      <c r="H1152" s="172" t="s">
        <v>20</v>
      </c>
      <c r="I1152" s="175">
        <v>1</v>
      </c>
      <c r="J1152" s="175" t="s">
        <v>18</v>
      </c>
      <c r="K1152" s="175" t="s">
        <v>85</v>
      </c>
      <c r="L1152" s="172" t="s">
        <v>86</v>
      </c>
    </row>
    <row r="1153" spans="1:12" x14ac:dyDescent="0.2">
      <c r="A1153" s="172" t="s">
        <v>83</v>
      </c>
      <c r="B1153" s="172" t="s">
        <v>84</v>
      </c>
      <c r="C1153" s="172" t="s">
        <v>21</v>
      </c>
      <c r="D1153" s="172" t="s">
        <v>15</v>
      </c>
      <c r="E1153" s="173">
        <v>42444</v>
      </c>
      <c r="F1153" s="174">
        <v>9.0885984000000004</v>
      </c>
      <c r="G1153" s="175" t="s">
        <v>19</v>
      </c>
      <c r="H1153" s="172" t="s">
        <v>20</v>
      </c>
      <c r="I1153" s="175">
        <v>1</v>
      </c>
      <c r="J1153" s="175" t="s">
        <v>18</v>
      </c>
      <c r="K1153" s="175" t="s">
        <v>85</v>
      </c>
      <c r="L1153" s="172" t="s">
        <v>86</v>
      </c>
    </row>
    <row r="1154" spans="1:12" x14ac:dyDescent="0.2">
      <c r="A1154" s="172" t="s">
        <v>83</v>
      </c>
      <c r="B1154" s="172" t="s">
        <v>84</v>
      </c>
      <c r="C1154" s="172" t="s">
        <v>21</v>
      </c>
      <c r="D1154" s="172" t="s">
        <v>15</v>
      </c>
      <c r="E1154" s="173">
        <v>42437</v>
      </c>
      <c r="F1154" s="174">
        <v>2.29</v>
      </c>
      <c r="G1154" s="175" t="s">
        <v>16</v>
      </c>
      <c r="H1154" s="172" t="s">
        <v>17</v>
      </c>
      <c r="I1154" s="175">
        <v>1</v>
      </c>
      <c r="J1154" s="175" t="s">
        <v>18</v>
      </c>
      <c r="K1154" s="175" t="s">
        <v>85</v>
      </c>
      <c r="L1154" s="172" t="s">
        <v>86</v>
      </c>
    </row>
    <row r="1155" spans="1:12" x14ac:dyDescent="0.2">
      <c r="A1155" s="172" t="s">
        <v>83</v>
      </c>
      <c r="B1155" s="172" t="s">
        <v>84</v>
      </c>
      <c r="C1155" s="172" t="s">
        <v>21</v>
      </c>
      <c r="D1155" s="172" t="s">
        <v>15</v>
      </c>
      <c r="E1155" s="173">
        <v>42437</v>
      </c>
      <c r="F1155" s="174">
        <v>15.5653589</v>
      </c>
      <c r="G1155" s="175" t="s">
        <v>19</v>
      </c>
      <c r="H1155" s="172" t="s">
        <v>17</v>
      </c>
      <c r="I1155" s="175">
        <v>1</v>
      </c>
      <c r="J1155" s="175" t="s">
        <v>18</v>
      </c>
      <c r="K1155" s="175" t="s">
        <v>85</v>
      </c>
      <c r="L1155" s="172" t="s">
        <v>86</v>
      </c>
    </row>
    <row r="1156" spans="1:12" x14ac:dyDescent="0.2">
      <c r="A1156" s="172" t="s">
        <v>83</v>
      </c>
      <c r="B1156" s="172" t="s">
        <v>84</v>
      </c>
      <c r="C1156" s="172" t="s">
        <v>21</v>
      </c>
      <c r="D1156" s="172" t="s">
        <v>15</v>
      </c>
      <c r="E1156" s="173">
        <v>42437</v>
      </c>
      <c r="F1156" s="174">
        <v>1.21</v>
      </c>
      <c r="G1156" s="175" t="s">
        <v>16</v>
      </c>
      <c r="H1156" s="172" t="s">
        <v>20</v>
      </c>
      <c r="I1156" s="175">
        <v>1</v>
      </c>
      <c r="J1156" s="175" t="s">
        <v>18</v>
      </c>
      <c r="K1156" s="175" t="s">
        <v>85</v>
      </c>
      <c r="L1156" s="172" t="s">
        <v>86</v>
      </c>
    </row>
    <row r="1157" spans="1:12" x14ac:dyDescent="0.2">
      <c r="A1157" s="172" t="s">
        <v>83</v>
      </c>
      <c r="B1157" s="172" t="s">
        <v>84</v>
      </c>
      <c r="C1157" s="172" t="s">
        <v>21</v>
      </c>
      <c r="D1157" s="172" t="s">
        <v>15</v>
      </c>
      <c r="E1157" s="173">
        <v>42437</v>
      </c>
      <c r="F1157" s="174">
        <v>8.2244908999999993</v>
      </c>
      <c r="G1157" s="175" t="s">
        <v>19</v>
      </c>
      <c r="H1157" s="172" t="s">
        <v>20</v>
      </c>
      <c r="I1157" s="175">
        <v>1</v>
      </c>
      <c r="J1157" s="175" t="s">
        <v>18</v>
      </c>
      <c r="K1157" s="175" t="s">
        <v>85</v>
      </c>
      <c r="L1157" s="172" t="s">
        <v>86</v>
      </c>
    </row>
    <row r="1158" spans="1:12" x14ac:dyDescent="0.2">
      <c r="A1158" s="172" t="s">
        <v>83</v>
      </c>
      <c r="B1158" s="172" t="s">
        <v>84</v>
      </c>
      <c r="C1158" s="172" t="s">
        <v>21</v>
      </c>
      <c r="D1158" s="172" t="s">
        <v>15</v>
      </c>
      <c r="E1158" s="173">
        <v>42430</v>
      </c>
      <c r="F1158" s="174">
        <v>1.52</v>
      </c>
      <c r="G1158" s="175" t="s">
        <v>16</v>
      </c>
      <c r="H1158" s="172" t="s">
        <v>17</v>
      </c>
      <c r="I1158" s="175">
        <v>1</v>
      </c>
      <c r="J1158" s="175" t="s">
        <v>18</v>
      </c>
      <c r="K1158" s="175" t="s">
        <v>85</v>
      </c>
      <c r="L1158" s="172" t="s">
        <v>86</v>
      </c>
    </row>
    <row r="1159" spans="1:12" x14ac:dyDescent="0.2">
      <c r="A1159" s="172" t="s">
        <v>83</v>
      </c>
      <c r="B1159" s="172" t="s">
        <v>84</v>
      </c>
      <c r="C1159" s="172" t="s">
        <v>21</v>
      </c>
      <c r="D1159" s="172" t="s">
        <v>15</v>
      </c>
      <c r="E1159" s="173">
        <v>42430</v>
      </c>
      <c r="F1159" s="174">
        <v>10.940078400000001</v>
      </c>
      <c r="G1159" s="175" t="s">
        <v>19</v>
      </c>
      <c r="H1159" s="172" t="s">
        <v>17</v>
      </c>
      <c r="I1159" s="175">
        <v>1</v>
      </c>
      <c r="J1159" s="175" t="s">
        <v>18</v>
      </c>
      <c r="K1159" s="175" t="s">
        <v>85</v>
      </c>
      <c r="L1159" s="172" t="s">
        <v>86</v>
      </c>
    </row>
    <row r="1160" spans="1:12" x14ac:dyDescent="0.2">
      <c r="A1160" s="172" t="s">
        <v>83</v>
      </c>
      <c r="B1160" s="172" t="s">
        <v>84</v>
      </c>
      <c r="C1160" s="172" t="s">
        <v>21</v>
      </c>
      <c r="D1160" s="172" t="s">
        <v>15</v>
      </c>
      <c r="E1160" s="173">
        <v>42430</v>
      </c>
      <c r="F1160" s="174">
        <v>0.82599999999999996</v>
      </c>
      <c r="G1160" s="175" t="s">
        <v>16</v>
      </c>
      <c r="H1160" s="172" t="s">
        <v>20</v>
      </c>
      <c r="I1160" s="175">
        <v>1</v>
      </c>
      <c r="J1160" s="175" t="s">
        <v>18</v>
      </c>
      <c r="K1160" s="175" t="s">
        <v>85</v>
      </c>
      <c r="L1160" s="172" t="s">
        <v>86</v>
      </c>
    </row>
    <row r="1161" spans="1:12" x14ac:dyDescent="0.2">
      <c r="A1161" s="172" t="s">
        <v>83</v>
      </c>
      <c r="B1161" s="172" t="s">
        <v>84</v>
      </c>
      <c r="C1161" s="172" t="s">
        <v>21</v>
      </c>
      <c r="D1161" s="172" t="s">
        <v>15</v>
      </c>
      <c r="E1161" s="173">
        <v>42430</v>
      </c>
      <c r="F1161" s="174">
        <v>5.9450688999999999</v>
      </c>
      <c r="G1161" s="175" t="s">
        <v>19</v>
      </c>
      <c r="H1161" s="172" t="s">
        <v>20</v>
      </c>
      <c r="I1161" s="175">
        <v>1</v>
      </c>
      <c r="J1161" s="175" t="s">
        <v>18</v>
      </c>
      <c r="K1161" s="175" t="s">
        <v>85</v>
      </c>
      <c r="L1161" s="172" t="s">
        <v>86</v>
      </c>
    </row>
    <row r="1162" spans="1:12" x14ac:dyDescent="0.2">
      <c r="A1162" s="172" t="s">
        <v>83</v>
      </c>
      <c r="B1162" s="172" t="s">
        <v>84</v>
      </c>
      <c r="C1162" s="172" t="s">
        <v>21</v>
      </c>
      <c r="D1162" s="172" t="s">
        <v>15</v>
      </c>
      <c r="E1162" s="173">
        <v>42423</v>
      </c>
      <c r="F1162" s="174">
        <v>1.02</v>
      </c>
      <c r="G1162" s="175" t="s">
        <v>16</v>
      </c>
      <c r="H1162" s="172" t="s">
        <v>17</v>
      </c>
      <c r="I1162" s="175">
        <v>1</v>
      </c>
      <c r="J1162" s="175" t="s">
        <v>18</v>
      </c>
      <c r="K1162" s="175" t="s">
        <v>85</v>
      </c>
      <c r="L1162" s="172" t="s">
        <v>86</v>
      </c>
    </row>
    <row r="1163" spans="1:12" x14ac:dyDescent="0.2">
      <c r="A1163" s="172" t="s">
        <v>83</v>
      </c>
      <c r="B1163" s="172" t="s">
        <v>84</v>
      </c>
      <c r="C1163" s="172" t="s">
        <v>21</v>
      </c>
      <c r="D1163" s="172" t="s">
        <v>15</v>
      </c>
      <c r="E1163" s="173">
        <v>42423</v>
      </c>
      <c r="F1163" s="174">
        <v>8.7620039999999992</v>
      </c>
      <c r="G1163" s="175" t="s">
        <v>19</v>
      </c>
      <c r="H1163" s="172" t="s">
        <v>17</v>
      </c>
      <c r="I1163" s="175">
        <v>1</v>
      </c>
      <c r="J1163" s="175" t="s">
        <v>18</v>
      </c>
      <c r="K1163" s="175" t="s">
        <v>85</v>
      </c>
      <c r="L1163" s="172" t="s">
        <v>86</v>
      </c>
    </row>
    <row r="1164" spans="1:12" x14ac:dyDescent="0.2">
      <c r="A1164" s="172" t="s">
        <v>83</v>
      </c>
      <c r="B1164" s="172" t="s">
        <v>84</v>
      </c>
      <c r="C1164" s="172" t="s">
        <v>21</v>
      </c>
      <c r="D1164" s="172" t="s">
        <v>15</v>
      </c>
      <c r="E1164" s="173">
        <v>42423</v>
      </c>
      <c r="F1164" s="174">
        <v>0.65700000000000003</v>
      </c>
      <c r="G1164" s="175" t="s">
        <v>16</v>
      </c>
      <c r="H1164" s="172" t="s">
        <v>20</v>
      </c>
      <c r="I1164" s="175">
        <v>1</v>
      </c>
      <c r="J1164" s="175" t="s">
        <v>18</v>
      </c>
      <c r="K1164" s="175" t="s">
        <v>85</v>
      </c>
      <c r="L1164" s="172" t="s">
        <v>86</v>
      </c>
    </row>
    <row r="1165" spans="1:12" x14ac:dyDescent="0.2">
      <c r="A1165" s="172" t="s">
        <v>83</v>
      </c>
      <c r="B1165" s="172" t="s">
        <v>84</v>
      </c>
      <c r="C1165" s="172" t="s">
        <v>21</v>
      </c>
      <c r="D1165" s="172" t="s">
        <v>15</v>
      </c>
      <c r="E1165" s="173">
        <v>42423</v>
      </c>
      <c r="F1165" s="174">
        <v>5.6437613999999998</v>
      </c>
      <c r="G1165" s="175" t="s">
        <v>19</v>
      </c>
      <c r="H1165" s="172" t="s">
        <v>20</v>
      </c>
      <c r="I1165" s="175">
        <v>1</v>
      </c>
      <c r="J1165" s="175" t="s">
        <v>18</v>
      </c>
      <c r="K1165" s="175" t="s">
        <v>85</v>
      </c>
      <c r="L1165" s="172" t="s">
        <v>86</v>
      </c>
    </row>
    <row r="1166" spans="1:12" x14ac:dyDescent="0.2">
      <c r="A1166" s="172" t="s">
        <v>83</v>
      </c>
      <c r="B1166" s="172" t="s">
        <v>84</v>
      </c>
      <c r="C1166" s="172" t="s">
        <v>21</v>
      </c>
      <c r="D1166" s="172" t="s">
        <v>15</v>
      </c>
      <c r="E1166" s="173">
        <v>42416</v>
      </c>
      <c r="F1166" s="174">
        <v>2.96</v>
      </c>
      <c r="G1166" s="175" t="s">
        <v>16</v>
      </c>
      <c r="H1166" s="172" t="s">
        <v>17</v>
      </c>
      <c r="I1166" s="175">
        <v>1</v>
      </c>
      <c r="J1166" s="175" t="s">
        <v>18</v>
      </c>
      <c r="K1166" s="175" t="s">
        <v>85</v>
      </c>
      <c r="L1166" s="172" t="s">
        <v>86</v>
      </c>
    </row>
    <row r="1167" spans="1:12" x14ac:dyDescent="0.2">
      <c r="A1167" s="172" t="s">
        <v>83</v>
      </c>
      <c r="B1167" s="172" t="s">
        <v>84</v>
      </c>
      <c r="C1167" s="172" t="s">
        <v>21</v>
      </c>
      <c r="D1167" s="172" t="s">
        <v>15</v>
      </c>
      <c r="E1167" s="173">
        <v>42416</v>
      </c>
      <c r="F1167" s="174">
        <v>13.0837919</v>
      </c>
      <c r="G1167" s="175" t="s">
        <v>19</v>
      </c>
      <c r="H1167" s="172" t="s">
        <v>17</v>
      </c>
      <c r="I1167" s="175">
        <v>1</v>
      </c>
      <c r="J1167" s="175" t="s">
        <v>18</v>
      </c>
      <c r="K1167" s="175" t="s">
        <v>85</v>
      </c>
      <c r="L1167" s="172" t="s">
        <v>86</v>
      </c>
    </row>
    <row r="1168" spans="1:12" x14ac:dyDescent="0.2">
      <c r="A1168" s="172" t="s">
        <v>83</v>
      </c>
      <c r="B1168" s="172" t="s">
        <v>84</v>
      </c>
      <c r="C1168" s="172" t="s">
        <v>21</v>
      </c>
      <c r="D1168" s="172" t="s">
        <v>15</v>
      </c>
      <c r="E1168" s="173">
        <v>42416</v>
      </c>
      <c r="F1168" s="174">
        <v>1.54</v>
      </c>
      <c r="G1168" s="175" t="s">
        <v>16</v>
      </c>
      <c r="H1168" s="172" t="s">
        <v>20</v>
      </c>
      <c r="I1168" s="175">
        <v>1</v>
      </c>
      <c r="J1168" s="175" t="s">
        <v>18</v>
      </c>
      <c r="K1168" s="175" t="s">
        <v>85</v>
      </c>
      <c r="L1168" s="172" t="s">
        <v>86</v>
      </c>
    </row>
    <row r="1169" spans="1:12" x14ac:dyDescent="0.2">
      <c r="A1169" s="172" t="s">
        <v>83</v>
      </c>
      <c r="B1169" s="172" t="s">
        <v>84</v>
      </c>
      <c r="C1169" s="172" t="s">
        <v>21</v>
      </c>
      <c r="D1169" s="172" t="s">
        <v>15</v>
      </c>
      <c r="E1169" s="173">
        <v>42416</v>
      </c>
      <c r="F1169" s="174">
        <v>6.8071080000000004</v>
      </c>
      <c r="G1169" s="175" t="s">
        <v>19</v>
      </c>
      <c r="H1169" s="172" t="s">
        <v>20</v>
      </c>
      <c r="I1169" s="175">
        <v>1</v>
      </c>
      <c r="J1169" s="175" t="s">
        <v>18</v>
      </c>
      <c r="K1169" s="175" t="s">
        <v>85</v>
      </c>
      <c r="L1169" s="172" t="s">
        <v>86</v>
      </c>
    </row>
    <row r="1170" spans="1:12" x14ac:dyDescent="0.2">
      <c r="A1170" s="172" t="s">
        <v>83</v>
      </c>
      <c r="B1170" s="172" t="s">
        <v>84</v>
      </c>
      <c r="C1170" s="172" t="s">
        <v>21</v>
      </c>
      <c r="D1170" s="172" t="s">
        <v>15</v>
      </c>
      <c r="E1170" s="173">
        <v>42409</v>
      </c>
      <c r="F1170" s="174">
        <v>2.57</v>
      </c>
      <c r="G1170" s="175" t="s">
        <v>16</v>
      </c>
      <c r="H1170" s="172" t="s">
        <v>17</v>
      </c>
      <c r="I1170" s="175">
        <v>1</v>
      </c>
      <c r="J1170" s="175" t="s">
        <v>18</v>
      </c>
      <c r="K1170" s="175" t="s">
        <v>85</v>
      </c>
      <c r="L1170" s="172" t="s">
        <v>86</v>
      </c>
    </row>
    <row r="1171" spans="1:12" x14ac:dyDescent="0.2">
      <c r="A1171" s="172" t="s">
        <v>83</v>
      </c>
      <c r="B1171" s="172" t="s">
        <v>84</v>
      </c>
      <c r="C1171" s="172" t="s">
        <v>21</v>
      </c>
      <c r="D1171" s="172" t="s">
        <v>15</v>
      </c>
      <c r="E1171" s="173">
        <v>42409</v>
      </c>
      <c r="F1171" s="174">
        <v>12.1529645</v>
      </c>
      <c r="G1171" s="175" t="s">
        <v>19</v>
      </c>
      <c r="H1171" s="172" t="s">
        <v>17</v>
      </c>
      <c r="I1171" s="175">
        <v>1</v>
      </c>
      <c r="J1171" s="175" t="s">
        <v>18</v>
      </c>
      <c r="K1171" s="175" t="s">
        <v>85</v>
      </c>
      <c r="L1171" s="172" t="s">
        <v>86</v>
      </c>
    </row>
    <row r="1172" spans="1:12" x14ac:dyDescent="0.2">
      <c r="A1172" s="172" t="s">
        <v>83</v>
      </c>
      <c r="B1172" s="172" t="s">
        <v>84</v>
      </c>
      <c r="C1172" s="172" t="s">
        <v>21</v>
      </c>
      <c r="D1172" s="172" t="s">
        <v>15</v>
      </c>
      <c r="E1172" s="173">
        <v>42409</v>
      </c>
      <c r="F1172" s="174">
        <v>1.47</v>
      </c>
      <c r="G1172" s="175" t="s">
        <v>16</v>
      </c>
      <c r="H1172" s="172" t="s">
        <v>20</v>
      </c>
      <c r="I1172" s="175">
        <v>1</v>
      </c>
      <c r="J1172" s="175" t="s">
        <v>18</v>
      </c>
      <c r="K1172" s="175" t="s">
        <v>85</v>
      </c>
      <c r="L1172" s="172" t="s">
        <v>86</v>
      </c>
    </row>
    <row r="1173" spans="1:12" x14ac:dyDescent="0.2">
      <c r="A1173" s="172" t="s">
        <v>83</v>
      </c>
      <c r="B1173" s="172" t="s">
        <v>84</v>
      </c>
      <c r="C1173" s="172" t="s">
        <v>21</v>
      </c>
      <c r="D1173" s="172" t="s">
        <v>15</v>
      </c>
      <c r="E1173" s="173">
        <v>42409</v>
      </c>
      <c r="F1173" s="174">
        <v>6.9513065999999997</v>
      </c>
      <c r="G1173" s="175" t="s">
        <v>19</v>
      </c>
      <c r="H1173" s="172" t="s">
        <v>20</v>
      </c>
      <c r="I1173" s="175">
        <v>1</v>
      </c>
      <c r="J1173" s="175" t="s">
        <v>18</v>
      </c>
      <c r="K1173" s="175" t="s">
        <v>85</v>
      </c>
      <c r="L1173" s="172" t="s">
        <v>86</v>
      </c>
    </row>
    <row r="1174" spans="1:12" x14ac:dyDescent="0.2">
      <c r="A1174" s="172" t="s">
        <v>83</v>
      </c>
      <c r="B1174" s="172" t="s">
        <v>84</v>
      </c>
      <c r="C1174" s="172" t="s">
        <v>21</v>
      </c>
      <c r="D1174" s="172" t="s">
        <v>15</v>
      </c>
      <c r="E1174" s="173">
        <v>42402</v>
      </c>
      <c r="F1174" s="177">
        <v>5.12</v>
      </c>
      <c r="G1174" s="175" t="s">
        <v>16</v>
      </c>
      <c r="H1174" s="172" t="s">
        <v>17</v>
      </c>
      <c r="I1174" s="175">
        <v>1</v>
      </c>
      <c r="J1174" s="175" t="s">
        <v>18</v>
      </c>
      <c r="K1174" s="175" t="s">
        <v>85</v>
      </c>
      <c r="L1174" s="172" t="s">
        <v>86</v>
      </c>
    </row>
    <row r="1175" spans="1:12" x14ac:dyDescent="0.2">
      <c r="A1175" s="172" t="s">
        <v>83</v>
      </c>
      <c r="B1175" s="172" t="s">
        <v>84</v>
      </c>
      <c r="C1175" s="172" t="s">
        <v>21</v>
      </c>
      <c r="D1175" s="172" t="s">
        <v>15</v>
      </c>
      <c r="E1175" s="173">
        <v>42402</v>
      </c>
      <c r="F1175" s="179">
        <v>31.641292799999999</v>
      </c>
      <c r="G1175" s="181" t="s">
        <v>19</v>
      </c>
      <c r="H1175" s="182" t="s">
        <v>17</v>
      </c>
      <c r="I1175" s="175">
        <v>1</v>
      </c>
      <c r="J1175" s="175" t="s">
        <v>18</v>
      </c>
      <c r="K1175" s="175" t="s">
        <v>85</v>
      </c>
      <c r="L1175" s="172" t="s">
        <v>86</v>
      </c>
    </row>
    <row r="1176" spans="1:12" x14ac:dyDescent="0.2">
      <c r="A1176" s="172" t="s">
        <v>83</v>
      </c>
      <c r="B1176" s="172" t="s">
        <v>84</v>
      </c>
      <c r="C1176" s="172" t="s">
        <v>21</v>
      </c>
      <c r="D1176" s="172" t="s">
        <v>15</v>
      </c>
      <c r="E1176" s="173">
        <v>42402</v>
      </c>
      <c r="F1176" s="177">
        <v>1.34</v>
      </c>
      <c r="G1176" s="175" t="s">
        <v>16</v>
      </c>
      <c r="H1176" s="172" t="s">
        <v>20</v>
      </c>
      <c r="I1176" s="175">
        <v>1</v>
      </c>
      <c r="J1176" s="175" t="s">
        <v>18</v>
      </c>
      <c r="K1176" s="175" t="s">
        <v>85</v>
      </c>
      <c r="L1176" s="172" t="s">
        <v>86</v>
      </c>
    </row>
    <row r="1177" spans="1:12" x14ac:dyDescent="0.2">
      <c r="A1177" s="172" t="s">
        <v>83</v>
      </c>
      <c r="B1177" s="172" t="s">
        <v>84</v>
      </c>
      <c r="C1177" s="172" t="s">
        <v>21</v>
      </c>
      <c r="D1177" s="172" t="s">
        <v>15</v>
      </c>
      <c r="E1177" s="173">
        <v>42402</v>
      </c>
      <c r="F1177" s="177">
        <v>8.2811196000000002</v>
      </c>
      <c r="G1177" s="175" t="s">
        <v>19</v>
      </c>
      <c r="H1177" s="172" t="s">
        <v>20</v>
      </c>
      <c r="I1177" s="175">
        <v>1</v>
      </c>
      <c r="J1177" s="175" t="s">
        <v>18</v>
      </c>
      <c r="K1177" s="175" t="s">
        <v>85</v>
      </c>
      <c r="L1177" s="172" t="s">
        <v>86</v>
      </c>
    </row>
    <row r="1178" spans="1:12" x14ac:dyDescent="0.2">
      <c r="A1178" s="172" t="s">
        <v>83</v>
      </c>
      <c r="B1178" s="172" t="s">
        <v>84</v>
      </c>
      <c r="C1178" s="172" t="s">
        <v>21</v>
      </c>
      <c r="D1178" s="172" t="s">
        <v>15</v>
      </c>
      <c r="E1178" s="173">
        <v>42395</v>
      </c>
      <c r="F1178" s="174">
        <v>2.36</v>
      </c>
      <c r="G1178" s="175" t="s">
        <v>16</v>
      </c>
      <c r="H1178" s="172" t="s">
        <v>17</v>
      </c>
      <c r="I1178" s="175">
        <v>1</v>
      </c>
      <c r="J1178" s="175" t="s">
        <v>18</v>
      </c>
      <c r="K1178" s="175" t="s">
        <v>85</v>
      </c>
      <c r="L1178" s="172" t="s">
        <v>86</v>
      </c>
    </row>
    <row r="1179" spans="1:12" x14ac:dyDescent="0.2">
      <c r="A1179" s="172" t="s">
        <v>83</v>
      </c>
      <c r="B1179" s="172" t="s">
        <v>84</v>
      </c>
      <c r="C1179" s="172" t="s">
        <v>21</v>
      </c>
      <c r="D1179" s="172" t="s">
        <v>15</v>
      </c>
      <c r="E1179" s="173">
        <v>42395</v>
      </c>
      <c r="F1179" s="174">
        <v>12.7541952</v>
      </c>
      <c r="G1179" s="175" t="s">
        <v>19</v>
      </c>
      <c r="H1179" s="172" t="s">
        <v>17</v>
      </c>
      <c r="I1179" s="175">
        <v>1</v>
      </c>
      <c r="J1179" s="175" t="s">
        <v>18</v>
      </c>
      <c r="K1179" s="175" t="s">
        <v>85</v>
      </c>
      <c r="L1179" s="172" t="s">
        <v>86</v>
      </c>
    </row>
    <row r="1180" spans="1:12" x14ac:dyDescent="0.2">
      <c r="A1180" s="172" t="s">
        <v>83</v>
      </c>
      <c r="B1180" s="172" t="s">
        <v>84</v>
      </c>
      <c r="C1180" s="172" t="s">
        <v>21</v>
      </c>
      <c r="D1180" s="172" t="s">
        <v>15</v>
      </c>
      <c r="E1180" s="173">
        <v>42395</v>
      </c>
      <c r="F1180" s="174">
        <v>1.24</v>
      </c>
      <c r="G1180" s="175" t="s">
        <v>16</v>
      </c>
      <c r="H1180" s="172" t="s">
        <v>20</v>
      </c>
      <c r="I1180" s="175">
        <v>1</v>
      </c>
      <c r="J1180" s="175" t="s">
        <v>18</v>
      </c>
      <c r="K1180" s="175" t="s">
        <v>85</v>
      </c>
      <c r="L1180" s="172" t="s">
        <v>86</v>
      </c>
    </row>
    <row r="1181" spans="1:12" x14ac:dyDescent="0.2">
      <c r="A1181" s="172" t="s">
        <v>83</v>
      </c>
      <c r="B1181" s="172" t="s">
        <v>84</v>
      </c>
      <c r="C1181" s="172" t="s">
        <v>21</v>
      </c>
      <c r="D1181" s="172" t="s">
        <v>15</v>
      </c>
      <c r="E1181" s="173">
        <v>42395</v>
      </c>
      <c r="F1181" s="174">
        <v>6.7013568000000001</v>
      </c>
      <c r="G1181" s="175" t="s">
        <v>19</v>
      </c>
      <c r="H1181" s="172" t="s">
        <v>20</v>
      </c>
      <c r="I1181" s="175">
        <v>1</v>
      </c>
      <c r="J1181" s="175" t="s">
        <v>18</v>
      </c>
      <c r="K1181" s="175" t="s">
        <v>85</v>
      </c>
      <c r="L1181" s="172" t="s">
        <v>86</v>
      </c>
    </row>
    <row r="1182" spans="1:12" x14ac:dyDescent="0.2">
      <c r="A1182" s="172" t="s">
        <v>83</v>
      </c>
      <c r="B1182" s="172" t="s">
        <v>84</v>
      </c>
      <c r="C1182" s="172" t="s">
        <v>21</v>
      </c>
      <c r="D1182" s="172" t="s">
        <v>15</v>
      </c>
      <c r="E1182" s="173">
        <v>42388</v>
      </c>
      <c r="F1182" s="174">
        <v>1.46</v>
      </c>
      <c r="G1182" s="175" t="s">
        <v>16</v>
      </c>
      <c r="H1182" s="172" t="s">
        <v>17</v>
      </c>
      <c r="I1182" s="175">
        <v>1</v>
      </c>
      <c r="J1182" s="175" t="s">
        <v>18</v>
      </c>
      <c r="K1182" s="175" t="s">
        <v>85</v>
      </c>
      <c r="L1182" s="172" t="s">
        <v>86</v>
      </c>
    </row>
    <row r="1183" spans="1:12" x14ac:dyDescent="0.2">
      <c r="A1183" s="172" t="s">
        <v>83</v>
      </c>
      <c r="B1183" s="172" t="s">
        <v>84</v>
      </c>
      <c r="C1183" s="172" t="s">
        <v>21</v>
      </c>
      <c r="D1183" s="172" t="s">
        <v>15</v>
      </c>
      <c r="E1183" s="173">
        <v>42388</v>
      </c>
      <c r="F1183" s="174">
        <v>9.1566527999999998</v>
      </c>
      <c r="G1183" s="175" t="s">
        <v>19</v>
      </c>
      <c r="H1183" s="172" t="s">
        <v>17</v>
      </c>
      <c r="I1183" s="175">
        <v>1</v>
      </c>
      <c r="J1183" s="175" t="s">
        <v>18</v>
      </c>
      <c r="K1183" s="175" t="s">
        <v>85</v>
      </c>
      <c r="L1183" s="172" t="s">
        <v>86</v>
      </c>
    </row>
    <row r="1184" spans="1:12" x14ac:dyDescent="0.2">
      <c r="A1184" s="172" t="s">
        <v>83</v>
      </c>
      <c r="B1184" s="172" t="s">
        <v>84</v>
      </c>
      <c r="C1184" s="172" t="s">
        <v>21</v>
      </c>
      <c r="D1184" s="172" t="s">
        <v>15</v>
      </c>
      <c r="E1184" s="173">
        <v>42388</v>
      </c>
      <c r="F1184" s="174">
        <v>1.1299999999999999</v>
      </c>
      <c r="G1184" s="175" t="s">
        <v>16</v>
      </c>
      <c r="H1184" s="172" t="s">
        <v>20</v>
      </c>
      <c r="I1184" s="175">
        <v>1</v>
      </c>
      <c r="J1184" s="175" t="s">
        <v>18</v>
      </c>
      <c r="K1184" s="175" t="s">
        <v>85</v>
      </c>
      <c r="L1184" s="172" t="s">
        <v>86</v>
      </c>
    </row>
    <row r="1185" spans="1:12" x14ac:dyDescent="0.2">
      <c r="A1185" s="172" t="s">
        <v>83</v>
      </c>
      <c r="B1185" s="172" t="s">
        <v>84</v>
      </c>
      <c r="C1185" s="172" t="s">
        <v>21</v>
      </c>
      <c r="D1185" s="172" t="s">
        <v>15</v>
      </c>
      <c r="E1185" s="173">
        <v>42388</v>
      </c>
      <c r="F1185" s="174">
        <v>7.0869983999999997</v>
      </c>
      <c r="G1185" s="175" t="s">
        <v>19</v>
      </c>
      <c r="H1185" s="172" t="s">
        <v>20</v>
      </c>
      <c r="I1185" s="175">
        <v>1</v>
      </c>
      <c r="J1185" s="175" t="s">
        <v>18</v>
      </c>
      <c r="K1185" s="175" t="s">
        <v>85</v>
      </c>
      <c r="L1185" s="172" t="s">
        <v>86</v>
      </c>
    </row>
    <row r="1186" spans="1:12" x14ac:dyDescent="0.2">
      <c r="A1186" s="172" t="s">
        <v>83</v>
      </c>
      <c r="B1186" s="172" t="s">
        <v>84</v>
      </c>
      <c r="C1186" s="172" t="s">
        <v>21</v>
      </c>
      <c r="D1186" s="172" t="s">
        <v>15</v>
      </c>
      <c r="E1186" s="173">
        <v>42381</v>
      </c>
      <c r="F1186" s="174">
        <v>1.96</v>
      </c>
      <c r="G1186" s="175" t="s">
        <v>16</v>
      </c>
      <c r="H1186" s="172" t="s">
        <v>17</v>
      </c>
      <c r="I1186" s="175">
        <v>1</v>
      </c>
      <c r="J1186" s="175" t="s">
        <v>18</v>
      </c>
      <c r="K1186" s="175" t="s">
        <v>85</v>
      </c>
      <c r="L1186" s="172" t="s">
        <v>86</v>
      </c>
    </row>
    <row r="1187" spans="1:12" x14ac:dyDescent="0.2">
      <c r="A1187" s="172" t="s">
        <v>83</v>
      </c>
      <c r="B1187" s="172" t="s">
        <v>84</v>
      </c>
      <c r="C1187" s="172" t="s">
        <v>21</v>
      </c>
      <c r="D1187" s="172" t="s">
        <v>15</v>
      </c>
      <c r="E1187" s="173">
        <v>42381</v>
      </c>
      <c r="F1187" s="174">
        <v>15.1694592</v>
      </c>
      <c r="G1187" s="175" t="s">
        <v>19</v>
      </c>
      <c r="H1187" s="172" t="s">
        <v>17</v>
      </c>
      <c r="I1187" s="175">
        <v>1</v>
      </c>
      <c r="J1187" s="175" t="s">
        <v>18</v>
      </c>
      <c r="K1187" s="175" t="s">
        <v>85</v>
      </c>
      <c r="L1187" s="172" t="s">
        <v>86</v>
      </c>
    </row>
    <row r="1188" spans="1:12" x14ac:dyDescent="0.2">
      <c r="A1188" s="172" t="s">
        <v>83</v>
      </c>
      <c r="B1188" s="172" t="s">
        <v>84</v>
      </c>
      <c r="C1188" s="172" t="s">
        <v>21</v>
      </c>
      <c r="D1188" s="172" t="s">
        <v>15</v>
      </c>
      <c r="E1188" s="173">
        <v>42381</v>
      </c>
      <c r="F1188" s="174">
        <v>0.80300000000000005</v>
      </c>
      <c r="G1188" s="175" t="s">
        <v>16</v>
      </c>
      <c r="H1188" s="172" t="s">
        <v>20</v>
      </c>
      <c r="I1188" s="175">
        <v>1</v>
      </c>
      <c r="J1188" s="175" t="s">
        <v>18</v>
      </c>
      <c r="K1188" s="175" t="s">
        <v>85</v>
      </c>
      <c r="L1188" s="172" t="s">
        <v>86</v>
      </c>
    </row>
    <row r="1189" spans="1:12" x14ac:dyDescent="0.2">
      <c r="A1189" s="172" t="s">
        <v>83</v>
      </c>
      <c r="B1189" s="172" t="s">
        <v>84</v>
      </c>
      <c r="C1189" s="172" t="s">
        <v>21</v>
      </c>
      <c r="D1189" s="172" t="s">
        <v>15</v>
      </c>
      <c r="E1189" s="173">
        <v>42381</v>
      </c>
      <c r="F1189" s="174">
        <v>6.2148345000000003</v>
      </c>
      <c r="G1189" s="175" t="s">
        <v>19</v>
      </c>
      <c r="H1189" s="172" t="s">
        <v>20</v>
      </c>
      <c r="I1189" s="175">
        <v>1</v>
      </c>
      <c r="J1189" s="175" t="s">
        <v>18</v>
      </c>
      <c r="K1189" s="175" t="s">
        <v>85</v>
      </c>
      <c r="L1189" s="172" t="s">
        <v>86</v>
      </c>
    </row>
    <row r="1190" spans="1:12" x14ac:dyDescent="0.2">
      <c r="A1190" s="172" t="s">
        <v>83</v>
      </c>
      <c r="B1190" s="172" t="s">
        <v>84</v>
      </c>
      <c r="C1190" s="172" t="s">
        <v>21</v>
      </c>
      <c r="D1190" s="172" t="s">
        <v>15</v>
      </c>
      <c r="E1190" s="173">
        <v>42374</v>
      </c>
      <c r="F1190" s="174">
        <v>1.93</v>
      </c>
      <c r="G1190" s="175" t="s">
        <v>16</v>
      </c>
      <c r="H1190" s="172" t="s">
        <v>17</v>
      </c>
      <c r="I1190" s="175">
        <v>1</v>
      </c>
      <c r="J1190" s="175" t="s">
        <v>18</v>
      </c>
      <c r="K1190" s="175" t="s">
        <v>85</v>
      </c>
      <c r="L1190" s="172" t="s">
        <v>86</v>
      </c>
    </row>
    <row r="1191" spans="1:12" x14ac:dyDescent="0.2">
      <c r="A1191" s="172" t="s">
        <v>83</v>
      </c>
      <c r="B1191" s="172" t="s">
        <v>84</v>
      </c>
      <c r="C1191" s="172" t="s">
        <v>21</v>
      </c>
      <c r="D1191" s="172" t="s">
        <v>15</v>
      </c>
      <c r="E1191" s="173">
        <v>42374</v>
      </c>
      <c r="F1191" s="174">
        <v>14.1646559</v>
      </c>
      <c r="G1191" s="175" t="s">
        <v>19</v>
      </c>
      <c r="H1191" s="172" t="s">
        <v>17</v>
      </c>
      <c r="I1191" s="175">
        <v>1</v>
      </c>
      <c r="J1191" s="175" t="s">
        <v>18</v>
      </c>
      <c r="K1191" s="175" t="s">
        <v>85</v>
      </c>
      <c r="L1191" s="172" t="s">
        <v>86</v>
      </c>
    </row>
    <row r="1192" spans="1:12" x14ac:dyDescent="0.2">
      <c r="A1192" s="172" t="s">
        <v>83</v>
      </c>
      <c r="B1192" s="172" t="s">
        <v>84</v>
      </c>
      <c r="C1192" s="172" t="s">
        <v>21</v>
      </c>
      <c r="D1192" s="172" t="s">
        <v>15</v>
      </c>
      <c r="E1192" s="173">
        <v>42374</v>
      </c>
      <c r="F1192" s="174">
        <v>1.03</v>
      </c>
      <c r="G1192" s="175" t="s">
        <v>16</v>
      </c>
      <c r="H1192" s="172" t="s">
        <v>20</v>
      </c>
      <c r="I1192" s="175">
        <v>1</v>
      </c>
      <c r="J1192" s="175" t="s">
        <v>18</v>
      </c>
      <c r="K1192" s="175" t="s">
        <v>85</v>
      </c>
      <c r="L1192" s="172" t="s">
        <v>86</v>
      </c>
    </row>
    <row r="1193" spans="1:12" x14ac:dyDescent="0.2">
      <c r="A1193" s="172" t="s">
        <v>83</v>
      </c>
      <c r="B1193" s="172" t="s">
        <v>84</v>
      </c>
      <c r="C1193" s="172" t="s">
        <v>21</v>
      </c>
      <c r="D1193" s="172" t="s">
        <v>15</v>
      </c>
      <c r="E1193" s="173">
        <v>42374</v>
      </c>
      <c r="F1193" s="174">
        <v>7.5593759</v>
      </c>
      <c r="G1193" s="175" t="s">
        <v>19</v>
      </c>
      <c r="H1193" s="172" t="s">
        <v>20</v>
      </c>
      <c r="I1193" s="175">
        <v>1</v>
      </c>
      <c r="J1193" s="175" t="s">
        <v>18</v>
      </c>
      <c r="K1193" s="175" t="s">
        <v>85</v>
      </c>
      <c r="L1193" s="172" t="s">
        <v>86</v>
      </c>
    </row>
    <row r="1194" spans="1:12" x14ac:dyDescent="0.2">
      <c r="A1194" s="172" t="s">
        <v>83</v>
      </c>
      <c r="B1194" s="172" t="s">
        <v>84</v>
      </c>
      <c r="C1194" s="172" t="s">
        <v>21</v>
      </c>
      <c r="D1194" s="172" t="s">
        <v>15</v>
      </c>
      <c r="E1194" s="173">
        <v>42332</v>
      </c>
      <c r="F1194" s="174">
        <v>3.46</v>
      </c>
      <c r="G1194" s="175" t="s">
        <v>16</v>
      </c>
      <c r="H1194" s="172" t="s">
        <v>17</v>
      </c>
      <c r="I1194" s="175">
        <v>1</v>
      </c>
      <c r="J1194" s="175" t="s">
        <v>18</v>
      </c>
      <c r="K1194" s="175" t="s">
        <v>85</v>
      </c>
      <c r="L1194" s="172" t="s">
        <v>86</v>
      </c>
    </row>
    <row r="1195" spans="1:12" x14ac:dyDescent="0.2">
      <c r="A1195" s="172" t="s">
        <v>83</v>
      </c>
      <c r="B1195" s="172" t="s">
        <v>84</v>
      </c>
      <c r="C1195" s="172" t="s">
        <v>21</v>
      </c>
      <c r="D1195" s="172" t="s">
        <v>15</v>
      </c>
      <c r="E1195" s="173">
        <v>42332</v>
      </c>
      <c r="F1195" s="174">
        <v>17.1118451</v>
      </c>
      <c r="G1195" s="175" t="s">
        <v>19</v>
      </c>
      <c r="H1195" s="172" t="s">
        <v>17</v>
      </c>
      <c r="I1195" s="175">
        <v>1</v>
      </c>
      <c r="J1195" s="175" t="s">
        <v>18</v>
      </c>
      <c r="K1195" s="175" t="s">
        <v>85</v>
      </c>
      <c r="L1195" s="172" t="s">
        <v>86</v>
      </c>
    </row>
    <row r="1196" spans="1:12" x14ac:dyDescent="0.2">
      <c r="A1196" s="172" t="s">
        <v>83</v>
      </c>
      <c r="B1196" s="172" t="s">
        <v>84</v>
      </c>
      <c r="C1196" s="172" t="s">
        <v>21</v>
      </c>
      <c r="D1196" s="172" t="s">
        <v>15</v>
      </c>
      <c r="E1196" s="173">
        <v>42332</v>
      </c>
      <c r="F1196" s="174">
        <v>1.78</v>
      </c>
      <c r="G1196" s="175" t="s">
        <v>16</v>
      </c>
      <c r="H1196" s="172" t="s">
        <v>20</v>
      </c>
      <c r="I1196" s="175">
        <v>1</v>
      </c>
      <c r="J1196" s="175" t="s">
        <v>18</v>
      </c>
      <c r="K1196" s="175" t="s">
        <v>85</v>
      </c>
      <c r="L1196" s="172" t="s">
        <v>86</v>
      </c>
    </row>
    <row r="1197" spans="1:12" x14ac:dyDescent="0.2">
      <c r="A1197" s="172" t="s">
        <v>83</v>
      </c>
      <c r="B1197" s="172" t="s">
        <v>84</v>
      </c>
      <c r="C1197" s="172" t="s">
        <v>21</v>
      </c>
      <c r="D1197" s="172" t="s">
        <v>15</v>
      </c>
      <c r="E1197" s="173">
        <v>42332</v>
      </c>
      <c r="F1197" s="174">
        <v>8.8032035999999998</v>
      </c>
      <c r="G1197" s="175" t="s">
        <v>19</v>
      </c>
      <c r="H1197" s="172" t="s">
        <v>20</v>
      </c>
      <c r="I1197" s="175">
        <v>1</v>
      </c>
      <c r="J1197" s="175" t="s">
        <v>18</v>
      </c>
      <c r="K1197" s="175" t="s">
        <v>85</v>
      </c>
      <c r="L1197" s="172" t="s">
        <v>86</v>
      </c>
    </row>
    <row r="1198" spans="1:12" x14ac:dyDescent="0.2">
      <c r="A1198" s="172" t="s">
        <v>83</v>
      </c>
      <c r="B1198" s="172" t="s">
        <v>84</v>
      </c>
      <c r="C1198" s="172" t="s">
        <v>21</v>
      </c>
      <c r="D1198" s="172" t="s">
        <v>15</v>
      </c>
      <c r="E1198" s="173">
        <v>42325</v>
      </c>
      <c r="F1198" s="174">
        <v>3.13</v>
      </c>
      <c r="G1198" s="175" t="s">
        <v>16</v>
      </c>
      <c r="H1198" s="172" t="s">
        <v>17</v>
      </c>
      <c r="I1198" s="175">
        <v>1</v>
      </c>
      <c r="J1198" s="175" t="s">
        <v>18</v>
      </c>
      <c r="K1198" s="175" t="s">
        <v>85</v>
      </c>
      <c r="L1198" s="172" t="s">
        <v>86</v>
      </c>
    </row>
    <row r="1199" spans="1:12" x14ac:dyDescent="0.2">
      <c r="A1199" s="172" t="s">
        <v>83</v>
      </c>
      <c r="B1199" s="172" t="s">
        <v>84</v>
      </c>
      <c r="C1199" s="172" t="s">
        <v>21</v>
      </c>
      <c r="D1199" s="172" t="s">
        <v>15</v>
      </c>
      <c r="E1199" s="173">
        <v>42325</v>
      </c>
      <c r="F1199" s="174">
        <v>15.4014779</v>
      </c>
      <c r="G1199" s="175" t="s">
        <v>19</v>
      </c>
      <c r="H1199" s="172" t="s">
        <v>17</v>
      </c>
      <c r="I1199" s="175">
        <v>1</v>
      </c>
      <c r="J1199" s="175" t="s">
        <v>18</v>
      </c>
      <c r="K1199" s="175" t="s">
        <v>85</v>
      </c>
      <c r="L1199" s="172" t="s">
        <v>86</v>
      </c>
    </row>
    <row r="1200" spans="1:12" x14ac:dyDescent="0.2">
      <c r="A1200" s="172" t="s">
        <v>83</v>
      </c>
      <c r="B1200" s="172" t="s">
        <v>84</v>
      </c>
      <c r="C1200" s="172" t="s">
        <v>21</v>
      </c>
      <c r="D1200" s="172" t="s">
        <v>15</v>
      </c>
      <c r="E1200" s="173">
        <v>42325</v>
      </c>
      <c r="F1200" s="174">
        <v>1.97</v>
      </c>
      <c r="G1200" s="175" t="s">
        <v>16</v>
      </c>
      <c r="H1200" s="172" t="s">
        <v>20</v>
      </c>
      <c r="I1200" s="175">
        <v>1</v>
      </c>
      <c r="J1200" s="175" t="s">
        <v>18</v>
      </c>
      <c r="K1200" s="175" t="s">
        <v>85</v>
      </c>
      <c r="L1200" s="172" t="s">
        <v>86</v>
      </c>
    </row>
    <row r="1201" spans="1:12" x14ac:dyDescent="0.2">
      <c r="A1201" s="172" t="s">
        <v>83</v>
      </c>
      <c r="B1201" s="172" t="s">
        <v>84</v>
      </c>
      <c r="C1201" s="172" t="s">
        <v>21</v>
      </c>
      <c r="D1201" s="172" t="s">
        <v>15</v>
      </c>
      <c r="E1201" s="173">
        <v>42325</v>
      </c>
      <c r="F1201" s="174">
        <v>9.6935819999999993</v>
      </c>
      <c r="G1201" s="175" t="s">
        <v>19</v>
      </c>
      <c r="H1201" s="172" t="s">
        <v>20</v>
      </c>
      <c r="I1201" s="175">
        <v>1</v>
      </c>
      <c r="J1201" s="175" t="s">
        <v>18</v>
      </c>
      <c r="K1201" s="175" t="s">
        <v>85</v>
      </c>
      <c r="L1201" s="172" t="s">
        <v>86</v>
      </c>
    </row>
    <row r="1202" spans="1:12" x14ac:dyDescent="0.2">
      <c r="A1202" s="172" t="s">
        <v>83</v>
      </c>
      <c r="B1202" s="172" t="s">
        <v>84</v>
      </c>
      <c r="C1202" s="172" t="s">
        <v>21</v>
      </c>
      <c r="D1202" s="172" t="s">
        <v>15</v>
      </c>
      <c r="E1202" s="173">
        <v>42318</v>
      </c>
      <c r="F1202" s="174">
        <v>2.81</v>
      </c>
      <c r="G1202" s="175" t="s">
        <v>16</v>
      </c>
      <c r="H1202" s="172" t="s">
        <v>17</v>
      </c>
      <c r="I1202" s="175">
        <v>1</v>
      </c>
      <c r="J1202" s="175" t="s">
        <v>18</v>
      </c>
      <c r="K1202" s="175" t="s">
        <v>85</v>
      </c>
      <c r="L1202" s="172" t="s">
        <v>86</v>
      </c>
    </row>
    <row r="1203" spans="1:12" x14ac:dyDescent="0.2">
      <c r="A1203" s="172" t="s">
        <v>83</v>
      </c>
      <c r="B1203" s="172" t="s">
        <v>84</v>
      </c>
      <c r="C1203" s="172" t="s">
        <v>21</v>
      </c>
      <c r="D1203" s="172" t="s">
        <v>15</v>
      </c>
      <c r="E1203" s="173">
        <v>42318</v>
      </c>
      <c r="F1203" s="174">
        <v>11.483345999999999</v>
      </c>
      <c r="G1203" s="175" t="s">
        <v>19</v>
      </c>
      <c r="H1203" s="172" t="s">
        <v>17</v>
      </c>
      <c r="I1203" s="175">
        <v>1</v>
      </c>
      <c r="J1203" s="175" t="s">
        <v>18</v>
      </c>
      <c r="K1203" s="175" t="s">
        <v>85</v>
      </c>
      <c r="L1203" s="172" t="s">
        <v>86</v>
      </c>
    </row>
    <row r="1204" spans="1:12" x14ac:dyDescent="0.2">
      <c r="A1204" s="172" t="s">
        <v>83</v>
      </c>
      <c r="B1204" s="172" t="s">
        <v>84</v>
      </c>
      <c r="C1204" s="172" t="s">
        <v>21</v>
      </c>
      <c r="D1204" s="172" t="s">
        <v>15</v>
      </c>
      <c r="E1204" s="173">
        <v>42318</v>
      </c>
      <c r="F1204" s="174">
        <v>2.16</v>
      </c>
      <c r="G1204" s="175" t="s">
        <v>16</v>
      </c>
      <c r="H1204" s="172" t="s">
        <v>20</v>
      </c>
      <c r="I1204" s="175">
        <v>1</v>
      </c>
      <c r="J1204" s="175" t="s">
        <v>18</v>
      </c>
      <c r="K1204" s="175" t="s">
        <v>85</v>
      </c>
      <c r="L1204" s="172" t="s">
        <v>86</v>
      </c>
    </row>
    <row r="1205" spans="1:12" x14ac:dyDescent="0.2">
      <c r="A1205" s="172" t="s">
        <v>83</v>
      </c>
      <c r="B1205" s="172" t="s">
        <v>84</v>
      </c>
      <c r="C1205" s="172" t="s">
        <v>21</v>
      </c>
      <c r="D1205" s="172" t="s">
        <v>15</v>
      </c>
      <c r="E1205" s="173">
        <v>42318</v>
      </c>
      <c r="F1205" s="174">
        <v>8.8270560000000007</v>
      </c>
      <c r="G1205" s="175" t="s">
        <v>19</v>
      </c>
      <c r="H1205" s="172" t="s">
        <v>20</v>
      </c>
      <c r="I1205" s="175">
        <v>1</v>
      </c>
      <c r="J1205" s="175" t="s">
        <v>18</v>
      </c>
      <c r="K1205" s="175" t="s">
        <v>85</v>
      </c>
      <c r="L1205" s="172" t="s">
        <v>86</v>
      </c>
    </row>
    <row r="1206" spans="1:12" x14ac:dyDescent="0.2">
      <c r="A1206" s="172" t="s">
        <v>83</v>
      </c>
      <c r="B1206" s="172" t="s">
        <v>84</v>
      </c>
      <c r="C1206" s="172" t="s">
        <v>21</v>
      </c>
      <c r="D1206" s="172" t="s">
        <v>15</v>
      </c>
      <c r="E1206" s="173">
        <v>42311</v>
      </c>
      <c r="F1206" s="174">
        <v>3.25</v>
      </c>
      <c r="G1206" s="175" t="s">
        <v>16</v>
      </c>
      <c r="H1206" s="172" t="s">
        <v>17</v>
      </c>
      <c r="I1206" s="175">
        <v>1</v>
      </c>
      <c r="J1206" s="175" t="s">
        <v>18</v>
      </c>
      <c r="K1206" s="175" t="s">
        <v>85</v>
      </c>
      <c r="L1206" s="172" t="s">
        <v>86</v>
      </c>
    </row>
    <row r="1207" spans="1:12" x14ac:dyDescent="0.2">
      <c r="A1207" s="172" t="s">
        <v>83</v>
      </c>
      <c r="B1207" s="172" t="s">
        <v>84</v>
      </c>
      <c r="C1207" s="172" t="s">
        <v>21</v>
      </c>
      <c r="D1207" s="172" t="s">
        <v>15</v>
      </c>
      <c r="E1207" s="173">
        <v>42311</v>
      </c>
      <c r="F1207" s="174">
        <v>14.853540000000001</v>
      </c>
      <c r="G1207" s="175" t="s">
        <v>19</v>
      </c>
      <c r="H1207" s="172" t="s">
        <v>17</v>
      </c>
      <c r="I1207" s="175">
        <v>1</v>
      </c>
      <c r="J1207" s="175" t="s">
        <v>18</v>
      </c>
      <c r="K1207" s="175" t="s">
        <v>85</v>
      </c>
      <c r="L1207" s="172" t="s">
        <v>86</v>
      </c>
    </row>
    <row r="1208" spans="1:12" x14ac:dyDescent="0.2">
      <c r="A1208" s="172" t="s">
        <v>83</v>
      </c>
      <c r="B1208" s="172" t="s">
        <v>84</v>
      </c>
      <c r="C1208" s="172" t="s">
        <v>21</v>
      </c>
      <c r="D1208" s="172" t="s">
        <v>15</v>
      </c>
      <c r="E1208" s="173">
        <v>42311</v>
      </c>
      <c r="F1208" s="174">
        <v>1.75</v>
      </c>
      <c r="G1208" s="175" t="s">
        <v>16</v>
      </c>
      <c r="H1208" s="172" t="s">
        <v>20</v>
      </c>
      <c r="I1208" s="175">
        <v>1</v>
      </c>
      <c r="J1208" s="175" t="s">
        <v>18</v>
      </c>
      <c r="K1208" s="175" t="s">
        <v>85</v>
      </c>
      <c r="L1208" s="172" t="s">
        <v>86</v>
      </c>
    </row>
    <row r="1209" spans="1:12" x14ac:dyDescent="0.2">
      <c r="A1209" s="172" t="s">
        <v>83</v>
      </c>
      <c r="B1209" s="172" t="s">
        <v>84</v>
      </c>
      <c r="C1209" s="172" t="s">
        <v>21</v>
      </c>
      <c r="D1209" s="172" t="s">
        <v>15</v>
      </c>
      <c r="E1209" s="173">
        <v>42311</v>
      </c>
      <c r="F1209" s="174">
        <v>7.9980599999999997</v>
      </c>
      <c r="G1209" s="175" t="s">
        <v>19</v>
      </c>
      <c r="H1209" s="172" t="s">
        <v>20</v>
      </c>
      <c r="I1209" s="175">
        <v>1</v>
      </c>
      <c r="J1209" s="175" t="s">
        <v>18</v>
      </c>
      <c r="K1209" s="175" t="s">
        <v>85</v>
      </c>
      <c r="L1209" s="172" t="s">
        <v>86</v>
      </c>
    </row>
    <row r="1210" spans="1:12" x14ac:dyDescent="0.2">
      <c r="A1210" s="172" t="s">
        <v>83</v>
      </c>
      <c r="B1210" s="172" t="s">
        <v>84</v>
      </c>
      <c r="C1210" s="172" t="s">
        <v>21</v>
      </c>
      <c r="D1210" s="172" t="s">
        <v>15</v>
      </c>
      <c r="E1210" s="173">
        <v>42304</v>
      </c>
      <c r="F1210" s="174">
        <v>3.68</v>
      </c>
      <c r="G1210" s="175" t="s">
        <v>16</v>
      </c>
      <c r="H1210" s="172" t="s">
        <v>17</v>
      </c>
      <c r="I1210" s="175">
        <v>1</v>
      </c>
      <c r="J1210" s="175" t="s">
        <v>18</v>
      </c>
      <c r="K1210" s="175" t="s">
        <v>85</v>
      </c>
      <c r="L1210" s="172" t="s">
        <v>86</v>
      </c>
    </row>
    <row r="1211" spans="1:12" x14ac:dyDescent="0.2">
      <c r="A1211" s="172" t="s">
        <v>83</v>
      </c>
      <c r="B1211" s="172" t="s">
        <v>84</v>
      </c>
      <c r="C1211" s="172" t="s">
        <v>21</v>
      </c>
      <c r="D1211" s="172" t="s">
        <v>15</v>
      </c>
      <c r="E1211" s="173">
        <v>42304</v>
      </c>
      <c r="F1211" s="174">
        <v>14.3327904</v>
      </c>
      <c r="G1211" s="175" t="s">
        <v>19</v>
      </c>
      <c r="H1211" s="172" t="s">
        <v>17</v>
      </c>
      <c r="I1211" s="175">
        <v>1</v>
      </c>
      <c r="J1211" s="175" t="s">
        <v>18</v>
      </c>
      <c r="K1211" s="175" t="s">
        <v>85</v>
      </c>
      <c r="L1211" s="172" t="s">
        <v>86</v>
      </c>
    </row>
    <row r="1212" spans="1:12" x14ac:dyDescent="0.2">
      <c r="A1212" s="172" t="s">
        <v>83</v>
      </c>
      <c r="B1212" s="172" t="s">
        <v>84</v>
      </c>
      <c r="C1212" s="172" t="s">
        <v>21</v>
      </c>
      <c r="D1212" s="172" t="s">
        <v>15</v>
      </c>
      <c r="E1212" s="173">
        <v>42304</v>
      </c>
      <c r="F1212" s="174">
        <v>2.2599999999999998</v>
      </c>
      <c r="G1212" s="175" t="s">
        <v>16</v>
      </c>
      <c r="H1212" s="172" t="s">
        <v>20</v>
      </c>
      <c r="I1212" s="175">
        <v>1</v>
      </c>
      <c r="J1212" s="175" t="s">
        <v>18</v>
      </c>
      <c r="K1212" s="175" t="s">
        <v>85</v>
      </c>
      <c r="L1212" s="172" t="s">
        <v>86</v>
      </c>
    </row>
    <row r="1213" spans="1:12" x14ac:dyDescent="0.2">
      <c r="A1213" s="172" t="s">
        <v>83</v>
      </c>
      <c r="B1213" s="172" t="s">
        <v>84</v>
      </c>
      <c r="C1213" s="172" t="s">
        <v>21</v>
      </c>
      <c r="D1213" s="172" t="s">
        <v>15</v>
      </c>
      <c r="E1213" s="173">
        <v>42304</v>
      </c>
      <c r="F1213" s="174">
        <v>8.8022027999999999</v>
      </c>
      <c r="G1213" s="175" t="s">
        <v>19</v>
      </c>
      <c r="H1213" s="172" t="s">
        <v>20</v>
      </c>
      <c r="I1213" s="175">
        <v>1</v>
      </c>
      <c r="J1213" s="175" t="s">
        <v>18</v>
      </c>
      <c r="K1213" s="175" t="s">
        <v>85</v>
      </c>
      <c r="L1213" s="172" t="s">
        <v>86</v>
      </c>
    </row>
    <row r="1214" spans="1:12" x14ac:dyDescent="0.2">
      <c r="A1214" s="172" t="s">
        <v>83</v>
      </c>
      <c r="B1214" s="172" t="s">
        <v>84</v>
      </c>
      <c r="C1214" s="172" t="s">
        <v>21</v>
      </c>
      <c r="D1214" s="172" t="s">
        <v>15</v>
      </c>
      <c r="E1214" s="173">
        <v>42297</v>
      </c>
      <c r="F1214" s="174">
        <v>3.51</v>
      </c>
      <c r="G1214" s="175" t="s">
        <v>16</v>
      </c>
      <c r="H1214" s="172" t="s">
        <v>17</v>
      </c>
      <c r="I1214" s="175">
        <v>1</v>
      </c>
      <c r="J1214" s="175" t="s">
        <v>18</v>
      </c>
      <c r="K1214" s="175" t="s">
        <v>85</v>
      </c>
      <c r="L1214" s="172" t="s">
        <v>86</v>
      </c>
    </row>
    <row r="1215" spans="1:12" x14ac:dyDescent="0.2">
      <c r="A1215" s="172" t="s">
        <v>83</v>
      </c>
      <c r="B1215" s="172" t="s">
        <v>84</v>
      </c>
      <c r="C1215" s="172" t="s">
        <v>21</v>
      </c>
      <c r="D1215" s="172" t="s">
        <v>15</v>
      </c>
      <c r="E1215" s="173">
        <v>42297</v>
      </c>
      <c r="F1215" s="174">
        <v>14.139052100000001</v>
      </c>
      <c r="G1215" s="175" t="s">
        <v>19</v>
      </c>
      <c r="H1215" s="172" t="s">
        <v>17</v>
      </c>
      <c r="I1215" s="175">
        <v>1</v>
      </c>
      <c r="J1215" s="175" t="s">
        <v>18</v>
      </c>
      <c r="K1215" s="175" t="s">
        <v>85</v>
      </c>
      <c r="L1215" s="172" t="s">
        <v>86</v>
      </c>
    </row>
    <row r="1216" spans="1:12" x14ac:dyDescent="0.2">
      <c r="A1216" s="172" t="s">
        <v>83</v>
      </c>
      <c r="B1216" s="172" t="s">
        <v>84</v>
      </c>
      <c r="C1216" s="172" t="s">
        <v>21</v>
      </c>
      <c r="D1216" s="172" t="s">
        <v>15</v>
      </c>
      <c r="E1216" s="173">
        <v>42297</v>
      </c>
      <c r="F1216" s="174">
        <v>2.21</v>
      </c>
      <c r="G1216" s="175" t="s">
        <v>16</v>
      </c>
      <c r="H1216" s="172" t="s">
        <v>20</v>
      </c>
      <c r="I1216" s="175">
        <v>1</v>
      </c>
      <c r="J1216" s="175" t="s">
        <v>18</v>
      </c>
      <c r="K1216" s="175" t="s">
        <v>85</v>
      </c>
      <c r="L1216" s="172" t="s">
        <v>86</v>
      </c>
    </row>
    <row r="1217" spans="1:12" x14ac:dyDescent="0.2">
      <c r="A1217" s="172" t="s">
        <v>83</v>
      </c>
      <c r="B1217" s="172" t="s">
        <v>84</v>
      </c>
      <c r="C1217" s="172" t="s">
        <v>21</v>
      </c>
      <c r="D1217" s="172" t="s">
        <v>15</v>
      </c>
      <c r="E1217" s="173">
        <v>42297</v>
      </c>
      <c r="F1217" s="174">
        <v>8.9023661999999995</v>
      </c>
      <c r="G1217" s="175" t="s">
        <v>19</v>
      </c>
      <c r="H1217" s="172" t="s">
        <v>20</v>
      </c>
      <c r="I1217" s="175">
        <v>1</v>
      </c>
      <c r="J1217" s="175" t="s">
        <v>18</v>
      </c>
      <c r="K1217" s="175" t="s">
        <v>85</v>
      </c>
      <c r="L1217" s="172" t="s">
        <v>86</v>
      </c>
    </row>
    <row r="1218" spans="1:12" x14ac:dyDescent="0.2">
      <c r="A1218" s="172" t="s">
        <v>83</v>
      </c>
      <c r="B1218" s="172" t="s">
        <v>84</v>
      </c>
      <c r="C1218" s="172" t="s">
        <v>21</v>
      </c>
      <c r="D1218" s="172" t="s">
        <v>15</v>
      </c>
      <c r="E1218" s="173">
        <v>42290</v>
      </c>
      <c r="F1218" s="174">
        <v>2.76</v>
      </c>
      <c r="G1218" s="175" t="s">
        <v>16</v>
      </c>
      <c r="H1218" s="172" t="s">
        <v>17</v>
      </c>
      <c r="I1218" s="175">
        <v>1</v>
      </c>
      <c r="J1218" s="175" t="s">
        <v>18</v>
      </c>
      <c r="K1218" s="175" t="s">
        <v>85</v>
      </c>
      <c r="L1218" s="172" t="s">
        <v>86</v>
      </c>
    </row>
    <row r="1219" spans="1:12" x14ac:dyDescent="0.2">
      <c r="A1219" s="172" t="s">
        <v>83</v>
      </c>
      <c r="B1219" s="172" t="s">
        <v>84</v>
      </c>
      <c r="C1219" s="172" t="s">
        <v>21</v>
      </c>
      <c r="D1219" s="172" t="s">
        <v>15</v>
      </c>
      <c r="E1219" s="173">
        <v>42290</v>
      </c>
      <c r="F1219" s="174">
        <v>11.8084392</v>
      </c>
      <c r="G1219" s="175" t="s">
        <v>19</v>
      </c>
      <c r="H1219" s="172" t="s">
        <v>17</v>
      </c>
      <c r="I1219" s="175">
        <v>1</v>
      </c>
      <c r="J1219" s="175" t="s">
        <v>18</v>
      </c>
      <c r="K1219" s="175" t="s">
        <v>85</v>
      </c>
      <c r="L1219" s="172" t="s">
        <v>86</v>
      </c>
    </row>
    <row r="1220" spans="1:12" x14ac:dyDescent="0.2">
      <c r="A1220" s="172" t="s">
        <v>83</v>
      </c>
      <c r="B1220" s="172" t="s">
        <v>84</v>
      </c>
      <c r="C1220" s="172" t="s">
        <v>21</v>
      </c>
      <c r="D1220" s="172" t="s">
        <v>15</v>
      </c>
      <c r="E1220" s="173">
        <v>42290</v>
      </c>
      <c r="F1220" s="174">
        <v>1.99</v>
      </c>
      <c r="G1220" s="175" t="s">
        <v>16</v>
      </c>
      <c r="H1220" s="172" t="s">
        <v>20</v>
      </c>
      <c r="I1220" s="175">
        <v>1</v>
      </c>
      <c r="J1220" s="175" t="s">
        <v>18</v>
      </c>
      <c r="K1220" s="175" t="s">
        <v>85</v>
      </c>
      <c r="L1220" s="172" t="s">
        <v>86</v>
      </c>
    </row>
    <row r="1221" spans="1:12" x14ac:dyDescent="0.2">
      <c r="A1221" s="172" t="s">
        <v>83</v>
      </c>
      <c r="B1221" s="172" t="s">
        <v>84</v>
      </c>
      <c r="C1221" s="172" t="s">
        <v>21</v>
      </c>
      <c r="D1221" s="172" t="s">
        <v>15</v>
      </c>
      <c r="E1221" s="173">
        <v>42290</v>
      </c>
      <c r="F1221" s="174">
        <v>8.5140557999999995</v>
      </c>
      <c r="G1221" s="175" t="s">
        <v>19</v>
      </c>
      <c r="H1221" s="172" t="s">
        <v>20</v>
      </c>
      <c r="I1221" s="175">
        <v>1</v>
      </c>
      <c r="J1221" s="175" t="s">
        <v>18</v>
      </c>
      <c r="K1221" s="175" t="s">
        <v>85</v>
      </c>
      <c r="L1221" s="172" t="s">
        <v>86</v>
      </c>
    </row>
    <row r="1222" spans="1:12" x14ac:dyDescent="0.2">
      <c r="A1222" s="172" t="s">
        <v>83</v>
      </c>
      <c r="B1222" s="172" t="s">
        <v>84</v>
      </c>
      <c r="C1222" s="172" t="s">
        <v>21</v>
      </c>
      <c r="D1222" s="172" t="s">
        <v>15</v>
      </c>
      <c r="E1222" s="173">
        <v>42283</v>
      </c>
      <c r="F1222" s="174">
        <v>2.67</v>
      </c>
      <c r="G1222" s="175" t="s">
        <v>16</v>
      </c>
      <c r="H1222" s="172" t="s">
        <v>17</v>
      </c>
      <c r="I1222" s="175">
        <v>1</v>
      </c>
      <c r="J1222" s="175" t="s">
        <v>18</v>
      </c>
      <c r="K1222" s="175" t="s">
        <v>85</v>
      </c>
      <c r="L1222" s="172" t="s">
        <v>86</v>
      </c>
    </row>
    <row r="1223" spans="1:12" x14ac:dyDescent="0.2">
      <c r="A1223" s="172" t="s">
        <v>83</v>
      </c>
      <c r="B1223" s="172" t="s">
        <v>84</v>
      </c>
      <c r="C1223" s="172" t="s">
        <v>21</v>
      </c>
      <c r="D1223" s="172" t="s">
        <v>15</v>
      </c>
      <c r="E1223" s="173">
        <v>42283</v>
      </c>
      <c r="F1223" s="174">
        <v>12.781717199999999</v>
      </c>
      <c r="G1223" s="175" t="s">
        <v>19</v>
      </c>
      <c r="H1223" s="172" t="s">
        <v>17</v>
      </c>
      <c r="I1223" s="175">
        <v>1</v>
      </c>
      <c r="J1223" s="175" t="s">
        <v>18</v>
      </c>
      <c r="K1223" s="175" t="s">
        <v>85</v>
      </c>
      <c r="L1223" s="172" t="s">
        <v>86</v>
      </c>
    </row>
    <row r="1224" spans="1:12" x14ac:dyDescent="0.2">
      <c r="A1224" s="172" t="s">
        <v>83</v>
      </c>
      <c r="B1224" s="172" t="s">
        <v>84</v>
      </c>
      <c r="C1224" s="172" t="s">
        <v>21</v>
      </c>
      <c r="D1224" s="172" t="s">
        <v>15</v>
      </c>
      <c r="E1224" s="173">
        <v>42283</v>
      </c>
      <c r="F1224" s="174">
        <v>1.77</v>
      </c>
      <c r="G1224" s="175" t="s">
        <v>16</v>
      </c>
      <c r="H1224" s="172" t="s">
        <v>20</v>
      </c>
      <c r="I1224" s="175">
        <v>1</v>
      </c>
      <c r="J1224" s="175" t="s">
        <v>18</v>
      </c>
      <c r="K1224" s="175" t="s">
        <v>85</v>
      </c>
      <c r="L1224" s="172" t="s">
        <v>86</v>
      </c>
    </row>
    <row r="1225" spans="1:12" x14ac:dyDescent="0.2">
      <c r="A1225" s="172" t="s">
        <v>83</v>
      </c>
      <c r="B1225" s="172" t="s">
        <v>84</v>
      </c>
      <c r="C1225" s="172" t="s">
        <v>21</v>
      </c>
      <c r="D1225" s="172" t="s">
        <v>15</v>
      </c>
      <c r="E1225" s="173">
        <v>42283</v>
      </c>
      <c r="F1225" s="174">
        <v>8.4732731999999995</v>
      </c>
      <c r="G1225" s="175" t="s">
        <v>19</v>
      </c>
      <c r="H1225" s="172" t="s">
        <v>20</v>
      </c>
      <c r="I1225" s="175">
        <v>1</v>
      </c>
      <c r="J1225" s="175" t="s">
        <v>18</v>
      </c>
      <c r="K1225" s="175" t="s">
        <v>85</v>
      </c>
      <c r="L1225" s="172" t="s">
        <v>86</v>
      </c>
    </row>
    <row r="1226" spans="1:12" x14ac:dyDescent="0.2">
      <c r="A1226" s="172" t="s">
        <v>83</v>
      </c>
      <c r="B1226" s="172" t="s">
        <v>84</v>
      </c>
      <c r="C1226" s="172" t="s">
        <v>21</v>
      </c>
      <c r="D1226" s="172" t="s">
        <v>15</v>
      </c>
      <c r="E1226" s="173">
        <v>42276</v>
      </c>
      <c r="F1226" s="174">
        <v>2.77</v>
      </c>
      <c r="G1226" s="175" t="s">
        <v>16</v>
      </c>
      <c r="H1226" s="172" t="s">
        <v>17</v>
      </c>
      <c r="I1226" s="175">
        <v>1</v>
      </c>
      <c r="J1226" s="175" t="s">
        <v>18</v>
      </c>
      <c r="K1226" s="175" t="s">
        <v>85</v>
      </c>
      <c r="L1226" s="172" t="s">
        <v>86</v>
      </c>
    </row>
    <row r="1227" spans="1:12" x14ac:dyDescent="0.2">
      <c r="A1227" s="172" t="s">
        <v>83</v>
      </c>
      <c r="B1227" s="172" t="s">
        <v>84</v>
      </c>
      <c r="C1227" s="172" t="s">
        <v>21</v>
      </c>
      <c r="D1227" s="172" t="s">
        <v>15</v>
      </c>
      <c r="E1227" s="173">
        <v>42276</v>
      </c>
      <c r="F1227" s="174">
        <v>16.887415799999999</v>
      </c>
      <c r="G1227" s="175" t="s">
        <v>19</v>
      </c>
      <c r="H1227" s="172" t="s">
        <v>17</v>
      </c>
      <c r="I1227" s="175">
        <v>1</v>
      </c>
      <c r="J1227" s="175" t="s">
        <v>18</v>
      </c>
      <c r="K1227" s="175" t="s">
        <v>85</v>
      </c>
      <c r="L1227" s="172" t="s">
        <v>86</v>
      </c>
    </row>
    <row r="1228" spans="1:12" x14ac:dyDescent="0.2">
      <c r="A1228" s="172" t="s">
        <v>83</v>
      </c>
      <c r="B1228" s="172" t="s">
        <v>84</v>
      </c>
      <c r="C1228" s="172" t="s">
        <v>21</v>
      </c>
      <c r="D1228" s="172" t="s">
        <v>15</v>
      </c>
      <c r="E1228" s="173">
        <v>42276</v>
      </c>
      <c r="F1228" s="174">
        <v>1.75</v>
      </c>
      <c r="G1228" s="175" t="s">
        <v>16</v>
      </c>
      <c r="H1228" s="172" t="s">
        <v>20</v>
      </c>
      <c r="I1228" s="175">
        <v>1</v>
      </c>
      <c r="J1228" s="175" t="s">
        <v>18</v>
      </c>
      <c r="K1228" s="175" t="s">
        <v>85</v>
      </c>
      <c r="L1228" s="172" t="s">
        <v>86</v>
      </c>
    </row>
    <row r="1229" spans="1:12" x14ac:dyDescent="0.2">
      <c r="A1229" s="172" t="s">
        <v>83</v>
      </c>
      <c r="B1229" s="172" t="s">
        <v>84</v>
      </c>
      <c r="C1229" s="172" t="s">
        <v>21</v>
      </c>
      <c r="D1229" s="172" t="s">
        <v>15</v>
      </c>
      <c r="E1229" s="173">
        <v>42276</v>
      </c>
      <c r="F1229" s="174">
        <v>10.6689449</v>
      </c>
      <c r="G1229" s="175" t="s">
        <v>19</v>
      </c>
      <c r="H1229" s="172" t="s">
        <v>20</v>
      </c>
      <c r="I1229" s="175">
        <v>1</v>
      </c>
      <c r="J1229" s="175" t="s">
        <v>18</v>
      </c>
      <c r="K1229" s="175" t="s">
        <v>85</v>
      </c>
      <c r="L1229" s="172" t="s">
        <v>86</v>
      </c>
    </row>
    <row r="1230" spans="1:12" x14ac:dyDescent="0.2">
      <c r="A1230" s="172" t="s">
        <v>83</v>
      </c>
      <c r="B1230" s="172" t="s">
        <v>84</v>
      </c>
      <c r="C1230" s="172" t="s">
        <v>21</v>
      </c>
      <c r="D1230" s="172" t="s">
        <v>15</v>
      </c>
      <c r="E1230" s="173">
        <v>42269</v>
      </c>
      <c r="F1230" s="174">
        <v>1.78</v>
      </c>
      <c r="G1230" s="175" t="s">
        <v>16</v>
      </c>
      <c r="H1230" s="172" t="s">
        <v>17</v>
      </c>
      <c r="I1230" s="175">
        <v>1</v>
      </c>
      <c r="J1230" s="175" t="s">
        <v>18</v>
      </c>
      <c r="K1230" s="175" t="s">
        <v>85</v>
      </c>
      <c r="L1230" s="172" t="s">
        <v>86</v>
      </c>
    </row>
    <row r="1231" spans="1:12" x14ac:dyDescent="0.2">
      <c r="A1231" s="172" t="s">
        <v>83</v>
      </c>
      <c r="B1231" s="172" t="s">
        <v>84</v>
      </c>
      <c r="C1231" s="172" t="s">
        <v>21</v>
      </c>
      <c r="D1231" s="172" t="s">
        <v>15</v>
      </c>
      <c r="E1231" s="173">
        <v>42269</v>
      </c>
      <c r="F1231" s="174">
        <v>11.5941011</v>
      </c>
      <c r="G1231" s="175" t="s">
        <v>19</v>
      </c>
      <c r="H1231" s="172" t="s">
        <v>17</v>
      </c>
      <c r="I1231" s="175">
        <v>1</v>
      </c>
      <c r="J1231" s="175" t="s">
        <v>18</v>
      </c>
      <c r="K1231" s="175" t="s">
        <v>85</v>
      </c>
      <c r="L1231" s="172" t="s">
        <v>86</v>
      </c>
    </row>
    <row r="1232" spans="1:12" x14ac:dyDescent="0.2">
      <c r="A1232" s="172" t="s">
        <v>83</v>
      </c>
      <c r="B1232" s="172" t="s">
        <v>84</v>
      </c>
      <c r="C1232" s="172" t="s">
        <v>21</v>
      </c>
      <c r="D1232" s="172" t="s">
        <v>15</v>
      </c>
      <c r="E1232" s="173">
        <v>42269</v>
      </c>
      <c r="F1232" s="174">
        <v>1.27</v>
      </c>
      <c r="G1232" s="175" t="s">
        <v>16</v>
      </c>
      <c r="H1232" s="172" t="s">
        <v>20</v>
      </c>
      <c r="I1232" s="175">
        <v>1</v>
      </c>
      <c r="J1232" s="175" t="s">
        <v>18</v>
      </c>
      <c r="K1232" s="175" t="s">
        <v>85</v>
      </c>
      <c r="L1232" s="172" t="s">
        <v>86</v>
      </c>
    </row>
    <row r="1233" spans="1:12" x14ac:dyDescent="0.2">
      <c r="A1233" s="172" t="s">
        <v>83</v>
      </c>
      <c r="B1233" s="172" t="s">
        <v>84</v>
      </c>
      <c r="C1233" s="172" t="s">
        <v>21</v>
      </c>
      <c r="D1233" s="172" t="s">
        <v>15</v>
      </c>
      <c r="E1233" s="173">
        <v>42269</v>
      </c>
      <c r="F1233" s="174">
        <v>8.2721958000000004</v>
      </c>
      <c r="G1233" s="175" t="s">
        <v>19</v>
      </c>
      <c r="H1233" s="172" t="s">
        <v>20</v>
      </c>
      <c r="I1233" s="175">
        <v>1</v>
      </c>
      <c r="J1233" s="175" t="s">
        <v>18</v>
      </c>
      <c r="K1233" s="175" t="s">
        <v>85</v>
      </c>
      <c r="L1233" s="172" t="s">
        <v>86</v>
      </c>
    </row>
    <row r="1234" spans="1:12" x14ac:dyDescent="0.2">
      <c r="A1234" s="172" t="s">
        <v>83</v>
      </c>
      <c r="B1234" s="172" t="s">
        <v>84</v>
      </c>
      <c r="C1234" s="172" t="s">
        <v>21</v>
      </c>
      <c r="D1234" s="172" t="s">
        <v>15</v>
      </c>
      <c r="E1234" s="173">
        <v>42262</v>
      </c>
      <c r="F1234" s="174">
        <v>1.18</v>
      </c>
      <c r="G1234" s="175" t="s">
        <v>16</v>
      </c>
      <c r="H1234" s="172" t="s">
        <v>17</v>
      </c>
      <c r="I1234" s="175">
        <v>1</v>
      </c>
      <c r="J1234" s="175" t="s">
        <v>18</v>
      </c>
      <c r="K1234" s="175" t="s">
        <v>85</v>
      </c>
      <c r="L1234" s="172" t="s">
        <v>86</v>
      </c>
    </row>
    <row r="1235" spans="1:12" x14ac:dyDescent="0.2">
      <c r="A1235" s="172" t="s">
        <v>83</v>
      </c>
      <c r="B1235" s="172" t="s">
        <v>84</v>
      </c>
      <c r="C1235" s="172" t="s">
        <v>21</v>
      </c>
      <c r="D1235" s="172" t="s">
        <v>15</v>
      </c>
      <c r="E1235" s="173">
        <v>42262</v>
      </c>
      <c r="F1235" s="174">
        <v>10.628496</v>
      </c>
      <c r="G1235" s="175" t="s">
        <v>19</v>
      </c>
      <c r="H1235" s="172" t="s">
        <v>17</v>
      </c>
      <c r="I1235" s="175">
        <v>1</v>
      </c>
      <c r="J1235" s="175" t="s">
        <v>18</v>
      </c>
      <c r="K1235" s="175" t="s">
        <v>85</v>
      </c>
      <c r="L1235" s="172" t="s">
        <v>86</v>
      </c>
    </row>
    <row r="1236" spans="1:12" x14ac:dyDescent="0.2">
      <c r="A1236" s="172" t="s">
        <v>83</v>
      </c>
      <c r="B1236" s="172" t="s">
        <v>84</v>
      </c>
      <c r="C1236" s="172" t="s">
        <v>21</v>
      </c>
      <c r="D1236" s="172" t="s">
        <v>15</v>
      </c>
      <c r="E1236" s="173">
        <v>42262</v>
      </c>
      <c r="F1236" s="174">
        <v>1.23</v>
      </c>
      <c r="G1236" s="175" t="s">
        <v>16</v>
      </c>
      <c r="H1236" s="172" t="s">
        <v>20</v>
      </c>
      <c r="I1236" s="175">
        <v>1</v>
      </c>
      <c r="J1236" s="175" t="s">
        <v>18</v>
      </c>
      <c r="K1236" s="175" t="s">
        <v>85</v>
      </c>
      <c r="L1236" s="172" t="s">
        <v>86</v>
      </c>
    </row>
    <row r="1237" spans="1:12" x14ac:dyDescent="0.2">
      <c r="A1237" s="172" t="s">
        <v>83</v>
      </c>
      <c r="B1237" s="172" t="s">
        <v>84</v>
      </c>
      <c r="C1237" s="172" t="s">
        <v>21</v>
      </c>
      <c r="D1237" s="172" t="s">
        <v>15</v>
      </c>
      <c r="E1237" s="173">
        <v>42262</v>
      </c>
      <c r="F1237" s="174">
        <v>11.078856</v>
      </c>
      <c r="G1237" s="175" t="s">
        <v>19</v>
      </c>
      <c r="H1237" s="172" t="s">
        <v>20</v>
      </c>
      <c r="I1237" s="175">
        <v>1</v>
      </c>
      <c r="J1237" s="175" t="s">
        <v>18</v>
      </c>
      <c r="K1237" s="175" t="s">
        <v>85</v>
      </c>
      <c r="L1237" s="172" t="s">
        <v>86</v>
      </c>
    </row>
    <row r="1238" spans="1:12" x14ac:dyDescent="0.2">
      <c r="A1238" s="172" t="s">
        <v>83</v>
      </c>
      <c r="B1238" s="172" t="s">
        <v>84</v>
      </c>
      <c r="C1238" s="172" t="s">
        <v>21</v>
      </c>
      <c r="D1238" s="172" t="s">
        <v>15</v>
      </c>
      <c r="E1238" s="173">
        <v>42255</v>
      </c>
      <c r="F1238" s="174">
        <v>0.99399999999999999</v>
      </c>
      <c r="G1238" s="175" t="s">
        <v>16</v>
      </c>
      <c r="H1238" s="172" t="s">
        <v>17</v>
      </c>
      <c r="I1238" s="175">
        <v>1</v>
      </c>
      <c r="J1238" s="175" t="s">
        <v>18</v>
      </c>
      <c r="K1238" s="175" t="s">
        <v>85</v>
      </c>
      <c r="L1238" s="172" t="s">
        <v>86</v>
      </c>
    </row>
    <row r="1239" spans="1:12" x14ac:dyDescent="0.2">
      <c r="A1239" s="172" t="s">
        <v>83</v>
      </c>
      <c r="B1239" s="172" t="s">
        <v>84</v>
      </c>
      <c r="C1239" s="172" t="s">
        <v>21</v>
      </c>
      <c r="D1239" s="172" t="s">
        <v>15</v>
      </c>
      <c r="E1239" s="173">
        <v>42255</v>
      </c>
      <c r="F1239" s="174">
        <v>11.854642699999999</v>
      </c>
      <c r="G1239" s="175" t="s">
        <v>19</v>
      </c>
      <c r="H1239" s="172" t="s">
        <v>17</v>
      </c>
      <c r="I1239" s="175">
        <v>1</v>
      </c>
      <c r="J1239" s="175" t="s">
        <v>18</v>
      </c>
      <c r="K1239" s="175" t="s">
        <v>85</v>
      </c>
      <c r="L1239" s="172" t="s">
        <v>86</v>
      </c>
    </row>
    <row r="1240" spans="1:12" x14ac:dyDescent="0.2">
      <c r="A1240" s="172" t="s">
        <v>83</v>
      </c>
      <c r="B1240" s="172" t="s">
        <v>84</v>
      </c>
      <c r="C1240" s="172" t="s">
        <v>21</v>
      </c>
      <c r="D1240" s="172" t="s">
        <v>15</v>
      </c>
      <c r="E1240" s="173">
        <v>42255</v>
      </c>
      <c r="F1240" s="174">
        <v>0.86</v>
      </c>
      <c r="G1240" s="175" t="s">
        <v>16</v>
      </c>
      <c r="H1240" s="172" t="s">
        <v>20</v>
      </c>
      <c r="I1240" s="175">
        <v>1</v>
      </c>
      <c r="J1240" s="175" t="s">
        <v>18</v>
      </c>
      <c r="K1240" s="175" t="s">
        <v>85</v>
      </c>
      <c r="L1240" s="172" t="s">
        <v>86</v>
      </c>
    </row>
    <row r="1241" spans="1:12" x14ac:dyDescent="0.2">
      <c r="A1241" s="172" t="s">
        <v>83</v>
      </c>
      <c r="B1241" s="172" t="s">
        <v>84</v>
      </c>
      <c r="C1241" s="172" t="s">
        <v>21</v>
      </c>
      <c r="D1241" s="172" t="s">
        <v>15</v>
      </c>
      <c r="E1241" s="173">
        <v>42255</v>
      </c>
      <c r="F1241" s="174">
        <v>10.256532</v>
      </c>
      <c r="G1241" s="175" t="s">
        <v>19</v>
      </c>
      <c r="H1241" s="172" t="s">
        <v>20</v>
      </c>
      <c r="I1241" s="175">
        <v>1</v>
      </c>
      <c r="J1241" s="175" t="s">
        <v>18</v>
      </c>
      <c r="K1241" s="175" t="s">
        <v>85</v>
      </c>
      <c r="L1241" s="172" t="s">
        <v>86</v>
      </c>
    </row>
    <row r="1242" spans="1:12" x14ac:dyDescent="0.2">
      <c r="A1242" s="172" t="s">
        <v>83</v>
      </c>
      <c r="B1242" s="172" t="s">
        <v>84</v>
      </c>
      <c r="C1242" s="172" t="s">
        <v>21</v>
      </c>
      <c r="D1242" s="172" t="s">
        <v>15</v>
      </c>
      <c r="E1242" s="173">
        <v>42248</v>
      </c>
      <c r="F1242" s="174">
        <v>0.96299999999999997</v>
      </c>
      <c r="G1242" s="175" t="s">
        <v>16</v>
      </c>
      <c r="H1242" s="172" t="s">
        <v>17</v>
      </c>
      <c r="I1242" s="175">
        <v>1</v>
      </c>
      <c r="J1242" s="175" t="s">
        <v>18</v>
      </c>
      <c r="K1242" s="175" t="s">
        <v>85</v>
      </c>
      <c r="L1242" s="172" t="s">
        <v>86</v>
      </c>
    </row>
    <row r="1243" spans="1:12" x14ac:dyDescent="0.2">
      <c r="A1243" s="172" t="s">
        <v>83</v>
      </c>
      <c r="B1243" s="172" t="s">
        <v>84</v>
      </c>
      <c r="C1243" s="172" t="s">
        <v>21</v>
      </c>
      <c r="D1243" s="172" t="s">
        <v>15</v>
      </c>
      <c r="E1243" s="173">
        <v>42248</v>
      </c>
      <c r="F1243" s="174">
        <v>12.047129999999999</v>
      </c>
      <c r="G1243" s="175" t="s">
        <v>19</v>
      </c>
      <c r="H1243" s="172" t="s">
        <v>17</v>
      </c>
      <c r="I1243" s="175">
        <v>1</v>
      </c>
      <c r="J1243" s="175" t="s">
        <v>18</v>
      </c>
      <c r="K1243" s="175" t="s">
        <v>85</v>
      </c>
      <c r="L1243" s="172" t="s">
        <v>86</v>
      </c>
    </row>
    <row r="1244" spans="1:12" x14ac:dyDescent="0.2">
      <c r="A1244" s="172" t="s">
        <v>83</v>
      </c>
      <c r="B1244" s="172" t="s">
        <v>84</v>
      </c>
      <c r="C1244" s="172" t="s">
        <v>21</v>
      </c>
      <c r="D1244" s="172" t="s">
        <v>15</v>
      </c>
      <c r="E1244" s="173">
        <v>42248</v>
      </c>
      <c r="F1244" s="174">
        <v>0.47699999999999998</v>
      </c>
      <c r="G1244" s="175" t="s">
        <v>16</v>
      </c>
      <c r="H1244" s="172" t="s">
        <v>20</v>
      </c>
      <c r="I1244" s="175">
        <v>1</v>
      </c>
      <c r="J1244" s="175" t="s">
        <v>18</v>
      </c>
      <c r="K1244" s="175" t="s">
        <v>85</v>
      </c>
      <c r="L1244" s="172" t="s">
        <v>86</v>
      </c>
    </row>
    <row r="1245" spans="1:12" x14ac:dyDescent="0.2">
      <c r="A1245" s="172" t="s">
        <v>83</v>
      </c>
      <c r="B1245" s="172" t="s">
        <v>84</v>
      </c>
      <c r="C1245" s="172" t="s">
        <v>21</v>
      </c>
      <c r="D1245" s="172" t="s">
        <v>15</v>
      </c>
      <c r="E1245" s="173">
        <v>42248</v>
      </c>
      <c r="F1245" s="174">
        <v>5.9672700000000001</v>
      </c>
      <c r="G1245" s="175" t="s">
        <v>19</v>
      </c>
      <c r="H1245" s="172" t="s">
        <v>20</v>
      </c>
      <c r="I1245" s="175">
        <v>1</v>
      </c>
      <c r="J1245" s="175" t="s">
        <v>18</v>
      </c>
      <c r="K1245" s="175" t="s">
        <v>85</v>
      </c>
      <c r="L1245" s="172" t="s">
        <v>86</v>
      </c>
    </row>
    <row r="1246" spans="1:12" x14ac:dyDescent="0.2">
      <c r="A1246" s="172" t="s">
        <v>83</v>
      </c>
      <c r="B1246" s="172" t="s">
        <v>84</v>
      </c>
      <c r="C1246" s="172" t="s">
        <v>21</v>
      </c>
      <c r="D1246" s="172" t="s">
        <v>15</v>
      </c>
      <c r="E1246" s="173">
        <v>42241</v>
      </c>
      <c r="F1246" s="174">
        <v>3.03</v>
      </c>
      <c r="G1246" s="175" t="s">
        <v>16</v>
      </c>
      <c r="H1246" s="172" t="s">
        <v>17</v>
      </c>
      <c r="I1246" s="175">
        <v>1</v>
      </c>
      <c r="J1246" s="175" t="s">
        <v>18</v>
      </c>
      <c r="K1246" s="175" t="s">
        <v>85</v>
      </c>
      <c r="L1246" s="172" t="s">
        <v>86</v>
      </c>
    </row>
    <row r="1247" spans="1:12" x14ac:dyDescent="0.2">
      <c r="A1247" s="172" t="s">
        <v>83</v>
      </c>
      <c r="B1247" s="172" t="s">
        <v>84</v>
      </c>
      <c r="C1247" s="172" t="s">
        <v>21</v>
      </c>
      <c r="D1247" s="172" t="s">
        <v>15</v>
      </c>
      <c r="E1247" s="173">
        <v>42241</v>
      </c>
      <c r="F1247" s="174">
        <v>14.808337099999999</v>
      </c>
      <c r="G1247" s="175" t="s">
        <v>19</v>
      </c>
      <c r="H1247" s="172" t="s">
        <v>17</v>
      </c>
      <c r="I1247" s="175">
        <v>1</v>
      </c>
      <c r="J1247" s="175" t="s">
        <v>18</v>
      </c>
      <c r="K1247" s="175" t="s">
        <v>85</v>
      </c>
      <c r="L1247" s="172" t="s">
        <v>86</v>
      </c>
    </row>
    <row r="1248" spans="1:12" x14ac:dyDescent="0.2">
      <c r="A1248" s="172" t="s">
        <v>83</v>
      </c>
      <c r="B1248" s="172" t="s">
        <v>84</v>
      </c>
      <c r="C1248" s="172" t="s">
        <v>21</v>
      </c>
      <c r="D1248" s="172" t="s">
        <v>15</v>
      </c>
      <c r="E1248" s="173">
        <v>42241</v>
      </c>
      <c r="F1248" s="174">
        <v>2.62</v>
      </c>
      <c r="G1248" s="175" t="s">
        <v>16</v>
      </c>
      <c r="H1248" s="172" t="s">
        <v>20</v>
      </c>
      <c r="I1248" s="175">
        <v>1</v>
      </c>
      <c r="J1248" s="175" t="s">
        <v>18</v>
      </c>
      <c r="K1248" s="175" t="s">
        <v>85</v>
      </c>
      <c r="L1248" s="172" t="s">
        <v>86</v>
      </c>
    </row>
    <row r="1249" spans="1:12" x14ac:dyDescent="0.2">
      <c r="A1249" s="172" t="s">
        <v>83</v>
      </c>
      <c r="B1249" s="172" t="s">
        <v>84</v>
      </c>
      <c r="C1249" s="172" t="s">
        <v>21</v>
      </c>
      <c r="D1249" s="172" t="s">
        <v>15</v>
      </c>
      <c r="E1249" s="173">
        <v>42241</v>
      </c>
      <c r="F1249" s="174">
        <v>12.8045688</v>
      </c>
      <c r="G1249" s="175" t="s">
        <v>19</v>
      </c>
      <c r="H1249" s="172" t="s">
        <v>20</v>
      </c>
      <c r="I1249" s="175">
        <v>1</v>
      </c>
      <c r="J1249" s="175" t="s">
        <v>18</v>
      </c>
      <c r="K1249" s="175" t="s">
        <v>85</v>
      </c>
      <c r="L1249" s="172" t="s">
        <v>86</v>
      </c>
    </row>
    <row r="1250" spans="1:12" x14ac:dyDescent="0.2">
      <c r="A1250" s="172" t="s">
        <v>83</v>
      </c>
      <c r="B1250" s="172" t="s">
        <v>84</v>
      </c>
      <c r="C1250" s="172" t="s">
        <v>21</v>
      </c>
      <c r="D1250" s="172" t="s">
        <v>15</v>
      </c>
      <c r="E1250" s="173">
        <v>42234</v>
      </c>
      <c r="F1250" s="174">
        <v>3.89</v>
      </c>
      <c r="G1250" s="175" t="s">
        <v>16</v>
      </c>
      <c r="H1250" s="172" t="s">
        <v>17</v>
      </c>
      <c r="I1250" s="175">
        <v>1</v>
      </c>
      <c r="J1250" s="175" t="s">
        <v>18</v>
      </c>
      <c r="K1250" s="175" t="s">
        <v>85</v>
      </c>
      <c r="L1250" s="172" t="s">
        <v>86</v>
      </c>
    </row>
    <row r="1251" spans="1:12" x14ac:dyDescent="0.2">
      <c r="A1251" s="172" t="s">
        <v>83</v>
      </c>
      <c r="B1251" s="172" t="s">
        <v>84</v>
      </c>
      <c r="C1251" s="172" t="s">
        <v>21</v>
      </c>
      <c r="D1251" s="172" t="s">
        <v>15</v>
      </c>
      <c r="E1251" s="173">
        <v>42234</v>
      </c>
      <c r="F1251" s="174">
        <v>13.982760600000001</v>
      </c>
      <c r="G1251" s="175" t="s">
        <v>19</v>
      </c>
      <c r="H1251" s="172" t="s">
        <v>17</v>
      </c>
      <c r="I1251" s="175">
        <v>1</v>
      </c>
      <c r="J1251" s="175" t="s">
        <v>18</v>
      </c>
      <c r="K1251" s="175" t="s">
        <v>85</v>
      </c>
      <c r="L1251" s="172" t="s">
        <v>86</v>
      </c>
    </row>
    <row r="1252" spans="1:12" x14ac:dyDescent="0.2">
      <c r="A1252" s="172" t="s">
        <v>83</v>
      </c>
      <c r="B1252" s="172" t="s">
        <v>84</v>
      </c>
      <c r="C1252" s="172" t="s">
        <v>21</v>
      </c>
      <c r="D1252" s="172" t="s">
        <v>15</v>
      </c>
      <c r="E1252" s="173">
        <v>42234</v>
      </c>
      <c r="F1252" s="174">
        <v>2.57</v>
      </c>
      <c r="G1252" s="175" t="s">
        <v>16</v>
      </c>
      <c r="H1252" s="172" t="s">
        <v>20</v>
      </c>
      <c r="I1252" s="175">
        <v>1</v>
      </c>
      <c r="J1252" s="175" t="s">
        <v>18</v>
      </c>
      <c r="K1252" s="175" t="s">
        <v>85</v>
      </c>
      <c r="L1252" s="172" t="s">
        <v>86</v>
      </c>
    </row>
    <row r="1253" spans="1:12" x14ac:dyDescent="0.2">
      <c r="A1253" s="172" t="s">
        <v>83</v>
      </c>
      <c r="B1253" s="172" t="s">
        <v>84</v>
      </c>
      <c r="C1253" s="172" t="s">
        <v>21</v>
      </c>
      <c r="D1253" s="172" t="s">
        <v>15</v>
      </c>
      <c r="E1253" s="173">
        <v>42234</v>
      </c>
      <c r="F1253" s="174">
        <v>9.2379677999999998</v>
      </c>
      <c r="G1253" s="175" t="s">
        <v>19</v>
      </c>
      <c r="H1253" s="172" t="s">
        <v>20</v>
      </c>
      <c r="I1253" s="175">
        <v>1</v>
      </c>
      <c r="J1253" s="175" t="s">
        <v>18</v>
      </c>
      <c r="K1253" s="175" t="s">
        <v>85</v>
      </c>
      <c r="L1253" s="172" t="s">
        <v>86</v>
      </c>
    </row>
    <row r="1254" spans="1:12" x14ac:dyDescent="0.2">
      <c r="A1254" s="172" t="s">
        <v>83</v>
      </c>
      <c r="B1254" s="172" t="s">
        <v>84</v>
      </c>
      <c r="C1254" s="172" t="s">
        <v>21</v>
      </c>
      <c r="D1254" s="172" t="s">
        <v>15</v>
      </c>
      <c r="E1254" s="173">
        <v>42227</v>
      </c>
      <c r="F1254" s="174">
        <v>2.63</v>
      </c>
      <c r="G1254" s="175" t="s">
        <v>16</v>
      </c>
      <c r="H1254" s="172" t="s">
        <v>17</v>
      </c>
      <c r="I1254" s="175">
        <v>1</v>
      </c>
      <c r="J1254" s="175" t="s">
        <v>18</v>
      </c>
      <c r="K1254" s="175" t="s">
        <v>85</v>
      </c>
      <c r="L1254" s="172" t="s">
        <v>86</v>
      </c>
    </row>
    <row r="1255" spans="1:12" x14ac:dyDescent="0.2">
      <c r="A1255" s="172" t="s">
        <v>83</v>
      </c>
      <c r="B1255" s="172" t="s">
        <v>84</v>
      </c>
      <c r="C1255" s="172" t="s">
        <v>21</v>
      </c>
      <c r="D1255" s="172" t="s">
        <v>15</v>
      </c>
      <c r="E1255" s="173">
        <v>42227</v>
      </c>
      <c r="F1255" s="174">
        <v>11.734797</v>
      </c>
      <c r="G1255" s="175" t="s">
        <v>19</v>
      </c>
      <c r="H1255" s="172" t="s">
        <v>17</v>
      </c>
      <c r="I1255" s="175">
        <v>1</v>
      </c>
      <c r="J1255" s="175" t="s">
        <v>18</v>
      </c>
      <c r="K1255" s="175" t="s">
        <v>85</v>
      </c>
      <c r="L1255" s="172" t="s">
        <v>86</v>
      </c>
    </row>
    <row r="1256" spans="1:12" x14ac:dyDescent="0.2">
      <c r="A1256" s="172" t="s">
        <v>83</v>
      </c>
      <c r="B1256" s="172" t="s">
        <v>84</v>
      </c>
      <c r="C1256" s="172" t="s">
        <v>21</v>
      </c>
      <c r="D1256" s="172" t="s">
        <v>15</v>
      </c>
      <c r="E1256" s="173">
        <v>42227</v>
      </c>
      <c r="F1256" s="174">
        <v>2.2000000000000002</v>
      </c>
      <c r="G1256" s="175" t="s">
        <v>16</v>
      </c>
      <c r="H1256" s="172" t="s">
        <v>20</v>
      </c>
      <c r="I1256" s="175">
        <v>1</v>
      </c>
      <c r="J1256" s="175" t="s">
        <v>18</v>
      </c>
      <c r="K1256" s="175" t="s">
        <v>85</v>
      </c>
      <c r="L1256" s="172" t="s">
        <v>86</v>
      </c>
    </row>
    <row r="1257" spans="1:12" x14ac:dyDescent="0.2">
      <c r="A1257" s="172" t="s">
        <v>83</v>
      </c>
      <c r="B1257" s="172" t="s">
        <v>84</v>
      </c>
      <c r="C1257" s="172" t="s">
        <v>21</v>
      </c>
      <c r="D1257" s="172" t="s">
        <v>15</v>
      </c>
      <c r="E1257" s="173">
        <v>42227</v>
      </c>
      <c r="F1257" s="174">
        <v>9.8161799999999992</v>
      </c>
      <c r="G1257" s="175" t="s">
        <v>19</v>
      </c>
      <c r="H1257" s="172" t="s">
        <v>20</v>
      </c>
      <c r="I1257" s="175">
        <v>1</v>
      </c>
      <c r="J1257" s="175" t="s">
        <v>18</v>
      </c>
      <c r="K1257" s="175" t="s">
        <v>85</v>
      </c>
      <c r="L1257" s="172" t="s">
        <v>86</v>
      </c>
    </row>
    <row r="1258" spans="1:12" x14ac:dyDescent="0.2">
      <c r="A1258" s="172" t="s">
        <v>83</v>
      </c>
      <c r="B1258" s="172" t="s">
        <v>84</v>
      </c>
      <c r="C1258" s="172" t="s">
        <v>21</v>
      </c>
      <c r="D1258" s="172" t="s">
        <v>15</v>
      </c>
      <c r="E1258" s="173">
        <v>42220</v>
      </c>
      <c r="F1258" s="174">
        <v>2.9</v>
      </c>
      <c r="G1258" s="175" t="s">
        <v>16</v>
      </c>
      <c r="H1258" s="172" t="s">
        <v>17</v>
      </c>
      <c r="I1258" s="175">
        <v>1</v>
      </c>
      <c r="J1258" s="175" t="s">
        <v>18</v>
      </c>
      <c r="K1258" s="175" t="s">
        <v>85</v>
      </c>
      <c r="L1258" s="172" t="s">
        <v>86</v>
      </c>
    </row>
    <row r="1259" spans="1:12" x14ac:dyDescent="0.2">
      <c r="A1259" s="172" t="s">
        <v>83</v>
      </c>
      <c r="B1259" s="172" t="s">
        <v>84</v>
      </c>
      <c r="C1259" s="172" t="s">
        <v>21</v>
      </c>
      <c r="D1259" s="172" t="s">
        <v>15</v>
      </c>
      <c r="E1259" s="173">
        <v>42220</v>
      </c>
      <c r="F1259" s="174">
        <v>12.262302</v>
      </c>
      <c r="G1259" s="175" t="s">
        <v>19</v>
      </c>
      <c r="H1259" s="172" t="s">
        <v>17</v>
      </c>
      <c r="I1259" s="175">
        <v>1</v>
      </c>
      <c r="J1259" s="175" t="s">
        <v>18</v>
      </c>
      <c r="K1259" s="175" t="s">
        <v>85</v>
      </c>
      <c r="L1259" s="172" t="s">
        <v>86</v>
      </c>
    </row>
    <row r="1260" spans="1:12" x14ac:dyDescent="0.2">
      <c r="A1260" s="172" t="s">
        <v>83</v>
      </c>
      <c r="B1260" s="172" t="s">
        <v>84</v>
      </c>
      <c r="C1260" s="172" t="s">
        <v>21</v>
      </c>
      <c r="D1260" s="172" t="s">
        <v>15</v>
      </c>
      <c r="E1260" s="173">
        <v>42220</v>
      </c>
      <c r="F1260" s="174">
        <v>2.29</v>
      </c>
      <c r="G1260" s="175" t="s">
        <v>16</v>
      </c>
      <c r="H1260" s="172" t="s">
        <v>20</v>
      </c>
      <c r="I1260" s="175">
        <v>1</v>
      </c>
      <c r="J1260" s="175" t="s">
        <v>18</v>
      </c>
      <c r="K1260" s="175" t="s">
        <v>85</v>
      </c>
      <c r="L1260" s="172" t="s">
        <v>86</v>
      </c>
    </row>
    <row r="1261" spans="1:12" x14ac:dyDescent="0.2">
      <c r="A1261" s="172" t="s">
        <v>83</v>
      </c>
      <c r="B1261" s="172" t="s">
        <v>84</v>
      </c>
      <c r="C1261" s="172" t="s">
        <v>21</v>
      </c>
      <c r="D1261" s="172" t="s">
        <v>15</v>
      </c>
      <c r="E1261" s="173">
        <v>42220</v>
      </c>
      <c r="F1261" s="174">
        <v>9.6829902000000008</v>
      </c>
      <c r="G1261" s="175" t="s">
        <v>19</v>
      </c>
      <c r="H1261" s="172" t="s">
        <v>20</v>
      </c>
      <c r="I1261" s="175">
        <v>1</v>
      </c>
      <c r="J1261" s="175" t="s">
        <v>18</v>
      </c>
      <c r="K1261" s="175" t="s">
        <v>85</v>
      </c>
      <c r="L1261" s="172" t="s">
        <v>86</v>
      </c>
    </row>
    <row r="1262" spans="1:12" x14ac:dyDescent="0.2">
      <c r="A1262" s="172" t="s">
        <v>83</v>
      </c>
      <c r="B1262" s="172" t="s">
        <v>84</v>
      </c>
      <c r="C1262" s="172" t="s">
        <v>21</v>
      </c>
      <c r="D1262" s="172" t="s">
        <v>15</v>
      </c>
      <c r="E1262" s="173">
        <v>42213</v>
      </c>
      <c r="F1262" s="174">
        <v>2.41</v>
      </c>
      <c r="G1262" s="175" t="s">
        <v>16</v>
      </c>
      <c r="H1262" s="172" t="s">
        <v>17</v>
      </c>
      <c r="I1262" s="175">
        <v>1</v>
      </c>
      <c r="J1262" s="175" t="s">
        <v>18</v>
      </c>
      <c r="K1262" s="175" t="s">
        <v>85</v>
      </c>
      <c r="L1262" s="172" t="s">
        <v>86</v>
      </c>
    </row>
    <row r="1263" spans="1:12" x14ac:dyDescent="0.2">
      <c r="A1263" s="172" t="s">
        <v>83</v>
      </c>
      <c r="B1263" s="172" t="s">
        <v>84</v>
      </c>
      <c r="C1263" s="172" t="s">
        <v>21</v>
      </c>
      <c r="D1263" s="172" t="s">
        <v>15</v>
      </c>
      <c r="E1263" s="173">
        <v>42213</v>
      </c>
      <c r="F1263" s="174">
        <v>11.9390436</v>
      </c>
      <c r="G1263" s="175" t="s">
        <v>19</v>
      </c>
      <c r="H1263" s="172" t="s">
        <v>17</v>
      </c>
      <c r="I1263" s="175">
        <v>1</v>
      </c>
      <c r="J1263" s="175" t="s">
        <v>18</v>
      </c>
      <c r="K1263" s="175" t="s">
        <v>85</v>
      </c>
      <c r="L1263" s="172" t="s">
        <v>86</v>
      </c>
    </row>
    <row r="1264" spans="1:12" x14ac:dyDescent="0.2">
      <c r="A1264" s="172" t="s">
        <v>83</v>
      </c>
      <c r="B1264" s="172" t="s">
        <v>84</v>
      </c>
      <c r="C1264" s="172" t="s">
        <v>21</v>
      </c>
      <c r="D1264" s="172" t="s">
        <v>15</v>
      </c>
      <c r="E1264" s="173">
        <v>42213</v>
      </c>
      <c r="F1264" s="174">
        <v>1.46</v>
      </c>
      <c r="G1264" s="175" t="s">
        <v>16</v>
      </c>
      <c r="H1264" s="172" t="s">
        <v>20</v>
      </c>
      <c r="I1264" s="175">
        <v>1</v>
      </c>
      <c r="J1264" s="175" t="s">
        <v>18</v>
      </c>
      <c r="K1264" s="175" t="s">
        <v>85</v>
      </c>
      <c r="L1264" s="172" t="s">
        <v>86</v>
      </c>
    </row>
    <row r="1265" spans="1:12" x14ac:dyDescent="0.2">
      <c r="A1265" s="172" t="s">
        <v>83</v>
      </c>
      <c r="B1265" s="172" t="s">
        <v>84</v>
      </c>
      <c r="C1265" s="172" t="s">
        <v>21</v>
      </c>
      <c r="D1265" s="172" t="s">
        <v>15</v>
      </c>
      <c r="E1265" s="173">
        <v>42213</v>
      </c>
      <c r="F1265" s="174">
        <v>7.2327814999999998</v>
      </c>
      <c r="G1265" s="175" t="s">
        <v>19</v>
      </c>
      <c r="H1265" s="172" t="s">
        <v>20</v>
      </c>
      <c r="I1265" s="175">
        <v>1</v>
      </c>
      <c r="J1265" s="175" t="s">
        <v>18</v>
      </c>
      <c r="K1265" s="175" t="s">
        <v>85</v>
      </c>
      <c r="L1265" s="172" t="s">
        <v>86</v>
      </c>
    </row>
    <row r="1266" spans="1:12" x14ac:dyDescent="0.2">
      <c r="A1266" s="172" t="s">
        <v>83</v>
      </c>
      <c r="B1266" s="172" t="s">
        <v>84</v>
      </c>
      <c r="C1266" s="172" t="s">
        <v>21</v>
      </c>
      <c r="D1266" s="172" t="s">
        <v>15</v>
      </c>
      <c r="E1266" s="173">
        <v>42206</v>
      </c>
      <c r="F1266" s="174">
        <v>2.62</v>
      </c>
      <c r="G1266" s="175" t="s">
        <v>16</v>
      </c>
      <c r="H1266" s="172" t="s">
        <v>17</v>
      </c>
      <c r="I1266" s="175">
        <v>1</v>
      </c>
      <c r="J1266" s="175" t="s">
        <v>18</v>
      </c>
      <c r="K1266" s="175" t="s">
        <v>85</v>
      </c>
      <c r="L1266" s="172" t="s">
        <v>86</v>
      </c>
    </row>
    <row r="1267" spans="1:12" x14ac:dyDescent="0.2">
      <c r="A1267" s="172" t="s">
        <v>83</v>
      </c>
      <c r="B1267" s="172" t="s">
        <v>84</v>
      </c>
      <c r="C1267" s="172" t="s">
        <v>21</v>
      </c>
      <c r="D1267" s="172" t="s">
        <v>15</v>
      </c>
      <c r="E1267" s="173">
        <v>42206</v>
      </c>
      <c r="F1267" s="174">
        <v>13.0886292</v>
      </c>
      <c r="G1267" s="175" t="s">
        <v>19</v>
      </c>
      <c r="H1267" s="172" t="s">
        <v>17</v>
      </c>
      <c r="I1267" s="175">
        <v>1</v>
      </c>
      <c r="J1267" s="175" t="s">
        <v>18</v>
      </c>
      <c r="K1267" s="175" t="s">
        <v>85</v>
      </c>
      <c r="L1267" s="172" t="s">
        <v>86</v>
      </c>
    </row>
    <row r="1268" spans="1:12" x14ac:dyDescent="0.2">
      <c r="A1268" s="172" t="s">
        <v>83</v>
      </c>
      <c r="B1268" s="172" t="s">
        <v>84</v>
      </c>
      <c r="C1268" s="172" t="s">
        <v>21</v>
      </c>
      <c r="D1268" s="172" t="s">
        <v>15</v>
      </c>
      <c r="E1268" s="173">
        <v>42206</v>
      </c>
      <c r="F1268" s="174">
        <v>1.93</v>
      </c>
      <c r="G1268" s="175" t="s">
        <v>16</v>
      </c>
      <c r="H1268" s="172" t="s">
        <v>20</v>
      </c>
      <c r="I1268" s="175">
        <v>1</v>
      </c>
      <c r="J1268" s="175" t="s">
        <v>18</v>
      </c>
      <c r="K1268" s="175" t="s">
        <v>85</v>
      </c>
      <c r="L1268" s="172" t="s">
        <v>86</v>
      </c>
    </row>
    <row r="1269" spans="1:12" x14ac:dyDescent="0.2">
      <c r="A1269" s="172" t="s">
        <v>83</v>
      </c>
      <c r="B1269" s="172" t="s">
        <v>84</v>
      </c>
      <c r="C1269" s="172" t="s">
        <v>21</v>
      </c>
      <c r="D1269" s="172" t="s">
        <v>15</v>
      </c>
      <c r="E1269" s="173">
        <v>42206</v>
      </c>
      <c r="F1269" s="174">
        <v>9.6416237999999996</v>
      </c>
      <c r="G1269" s="175" t="s">
        <v>19</v>
      </c>
      <c r="H1269" s="172" t="s">
        <v>20</v>
      </c>
      <c r="I1269" s="175">
        <v>1</v>
      </c>
      <c r="J1269" s="175" t="s">
        <v>18</v>
      </c>
      <c r="K1269" s="175" t="s">
        <v>85</v>
      </c>
      <c r="L1269" s="172" t="s">
        <v>86</v>
      </c>
    </row>
    <row r="1270" spans="1:12" x14ac:dyDescent="0.2">
      <c r="A1270" s="172" t="s">
        <v>83</v>
      </c>
      <c r="B1270" s="172" t="s">
        <v>84</v>
      </c>
      <c r="C1270" s="172" t="s">
        <v>21</v>
      </c>
      <c r="D1270" s="172" t="s">
        <v>15</v>
      </c>
      <c r="E1270" s="173">
        <v>42199</v>
      </c>
      <c r="F1270" s="174">
        <v>2.52</v>
      </c>
      <c r="G1270" s="175" t="s">
        <v>16</v>
      </c>
      <c r="H1270" s="172" t="s">
        <v>17</v>
      </c>
      <c r="I1270" s="175">
        <v>1</v>
      </c>
      <c r="J1270" s="175" t="s">
        <v>18</v>
      </c>
      <c r="K1270" s="175" t="s">
        <v>85</v>
      </c>
      <c r="L1270" s="172" t="s">
        <v>86</v>
      </c>
    </row>
    <row r="1271" spans="1:12" x14ac:dyDescent="0.2">
      <c r="A1271" s="172" t="s">
        <v>83</v>
      </c>
      <c r="B1271" s="172" t="s">
        <v>84</v>
      </c>
      <c r="C1271" s="172" t="s">
        <v>21</v>
      </c>
      <c r="D1271" s="172" t="s">
        <v>15</v>
      </c>
      <c r="E1271" s="173">
        <v>42199</v>
      </c>
      <c r="F1271" s="174">
        <v>11.559240000000001</v>
      </c>
      <c r="G1271" s="175" t="s">
        <v>19</v>
      </c>
      <c r="H1271" s="172" t="s">
        <v>17</v>
      </c>
      <c r="I1271" s="175">
        <v>1</v>
      </c>
      <c r="J1271" s="175" t="s">
        <v>18</v>
      </c>
      <c r="K1271" s="175" t="s">
        <v>85</v>
      </c>
      <c r="L1271" s="172" t="s">
        <v>86</v>
      </c>
    </row>
    <row r="1272" spans="1:12" x14ac:dyDescent="0.2">
      <c r="A1272" s="172" t="s">
        <v>83</v>
      </c>
      <c r="B1272" s="172" t="s">
        <v>84</v>
      </c>
      <c r="C1272" s="172" t="s">
        <v>21</v>
      </c>
      <c r="D1272" s="172" t="s">
        <v>15</v>
      </c>
      <c r="E1272" s="173">
        <v>42199</v>
      </c>
      <c r="F1272" s="174">
        <v>1.83</v>
      </c>
      <c r="G1272" s="175" t="s">
        <v>16</v>
      </c>
      <c r="H1272" s="172" t="s">
        <v>20</v>
      </c>
      <c r="I1272" s="175">
        <v>1</v>
      </c>
      <c r="J1272" s="175" t="s">
        <v>18</v>
      </c>
      <c r="K1272" s="175" t="s">
        <v>85</v>
      </c>
      <c r="L1272" s="172" t="s">
        <v>86</v>
      </c>
    </row>
    <row r="1273" spans="1:12" x14ac:dyDescent="0.2">
      <c r="A1273" s="172" t="s">
        <v>83</v>
      </c>
      <c r="B1273" s="172" t="s">
        <v>84</v>
      </c>
      <c r="C1273" s="172" t="s">
        <v>21</v>
      </c>
      <c r="D1273" s="172" t="s">
        <v>15</v>
      </c>
      <c r="E1273" s="173">
        <v>42199</v>
      </c>
      <c r="F1273" s="174">
        <v>8.3942099999999993</v>
      </c>
      <c r="G1273" s="175" t="s">
        <v>19</v>
      </c>
      <c r="H1273" s="172" t="s">
        <v>20</v>
      </c>
      <c r="I1273" s="175">
        <v>1</v>
      </c>
      <c r="J1273" s="175" t="s">
        <v>18</v>
      </c>
      <c r="K1273" s="175" t="s">
        <v>85</v>
      </c>
      <c r="L1273" s="172" t="s">
        <v>86</v>
      </c>
    </row>
    <row r="1274" spans="1:12" x14ac:dyDescent="0.2">
      <c r="A1274" s="172" t="s">
        <v>83</v>
      </c>
      <c r="B1274" s="172" t="s">
        <v>84</v>
      </c>
      <c r="C1274" s="172" t="s">
        <v>21</v>
      </c>
      <c r="D1274" s="172" t="s">
        <v>15</v>
      </c>
      <c r="E1274" s="173">
        <v>42192</v>
      </c>
      <c r="F1274" s="174">
        <v>2.17</v>
      </c>
      <c r="G1274" s="175" t="s">
        <v>16</v>
      </c>
      <c r="H1274" s="172" t="s">
        <v>17</v>
      </c>
      <c r="I1274" s="175">
        <v>1</v>
      </c>
      <c r="J1274" s="175" t="s">
        <v>18</v>
      </c>
      <c r="K1274" s="175" t="s">
        <v>85</v>
      </c>
      <c r="L1274" s="172" t="s">
        <v>86</v>
      </c>
    </row>
    <row r="1275" spans="1:12" x14ac:dyDescent="0.2">
      <c r="A1275" s="172" t="s">
        <v>83</v>
      </c>
      <c r="B1275" s="172" t="s">
        <v>84</v>
      </c>
      <c r="C1275" s="172" t="s">
        <v>21</v>
      </c>
      <c r="D1275" s="172" t="s">
        <v>15</v>
      </c>
      <c r="E1275" s="173">
        <v>42192</v>
      </c>
      <c r="F1275" s="174">
        <v>18.097799999999999</v>
      </c>
      <c r="G1275" s="175" t="s">
        <v>19</v>
      </c>
      <c r="H1275" s="172" t="s">
        <v>17</v>
      </c>
      <c r="I1275" s="175">
        <v>1</v>
      </c>
      <c r="J1275" s="175" t="s">
        <v>18</v>
      </c>
      <c r="K1275" s="175" t="s">
        <v>85</v>
      </c>
      <c r="L1275" s="172" t="s">
        <v>86</v>
      </c>
    </row>
    <row r="1276" spans="1:12" x14ac:dyDescent="0.2">
      <c r="A1276" s="172" t="s">
        <v>83</v>
      </c>
      <c r="B1276" s="172" t="s">
        <v>84</v>
      </c>
      <c r="C1276" s="172" t="s">
        <v>21</v>
      </c>
      <c r="D1276" s="172" t="s">
        <v>15</v>
      </c>
      <c r="E1276" s="173">
        <v>42192</v>
      </c>
      <c r="F1276" s="174">
        <v>1.95</v>
      </c>
      <c r="G1276" s="175" t="s">
        <v>16</v>
      </c>
      <c r="H1276" s="172" t="s">
        <v>20</v>
      </c>
      <c r="I1276" s="175">
        <v>1</v>
      </c>
      <c r="J1276" s="175" t="s">
        <v>18</v>
      </c>
      <c r="K1276" s="175" t="s">
        <v>85</v>
      </c>
      <c r="L1276" s="172" t="s">
        <v>86</v>
      </c>
    </row>
    <row r="1277" spans="1:12" x14ac:dyDescent="0.2">
      <c r="A1277" s="172" t="s">
        <v>83</v>
      </c>
      <c r="B1277" s="172" t="s">
        <v>84</v>
      </c>
      <c r="C1277" s="172" t="s">
        <v>21</v>
      </c>
      <c r="D1277" s="172" t="s">
        <v>15</v>
      </c>
      <c r="E1277" s="173">
        <v>42192</v>
      </c>
      <c r="F1277" s="174">
        <v>16.262999900000001</v>
      </c>
      <c r="G1277" s="175" t="s">
        <v>19</v>
      </c>
      <c r="H1277" s="172" t="s">
        <v>20</v>
      </c>
      <c r="I1277" s="175">
        <v>1</v>
      </c>
      <c r="J1277" s="175" t="s">
        <v>18</v>
      </c>
      <c r="K1277" s="175" t="s">
        <v>85</v>
      </c>
      <c r="L1277" s="172" t="s">
        <v>86</v>
      </c>
    </row>
    <row r="1278" spans="1:12" x14ac:dyDescent="0.2">
      <c r="A1278" s="172" t="s">
        <v>83</v>
      </c>
      <c r="B1278" s="172" t="s">
        <v>84</v>
      </c>
      <c r="C1278" s="172" t="s">
        <v>21</v>
      </c>
      <c r="D1278" s="172" t="s">
        <v>15</v>
      </c>
      <c r="E1278" s="173">
        <v>42185</v>
      </c>
      <c r="F1278" s="174">
        <v>3.31</v>
      </c>
      <c r="G1278" s="175" t="s">
        <v>16</v>
      </c>
      <c r="H1278" s="172" t="s">
        <v>17</v>
      </c>
      <c r="I1278" s="175">
        <v>1</v>
      </c>
      <c r="J1278" s="175" t="s">
        <v>18</v>
      </c>
      <c r="K1278" s="175" t="s">
        <v>85</v>
      </c>
      <c r="L1278" s="172" t="s">
        <v>86</v>
      </c>
    </row>
    <row r="1279" spans="1:12" x14ac:dyDescent="0.2">
      <c r="A1279" s="172" t="s">
        <v>83</v>
      </c>
      <c r="B1279" s="172" t="s">
        <v>84</v>
      </c>
      <c r="C1279" s="172" t="s">
        <v>21</v>
      </c>
      <c r="D1279" s="172" t="s">
        <v>15</v>
      </c>
      <c r="E1279" s="173">
        <v>42185</v>
      </c>
      <c r="F1279" s="174">
        <v>18.329985600000001</v>
      </c>
      <c r="G1279" s="175" t="s">
        <v>19</v>
      </c>
      <c r="H1279" s="172" t="s">
        <v>17</v>
      </c>
      <c r="I1279" s="175">
        <v>1</v>
      </c>
      <c r="J1279" s="175" t="s">
        <v>18</v>
      </c>
      <c r="K1279" s="175" t="s">
        <v>85</v>
      </c>
      <c r="L1279" s="172" t="s">
        <v>86</v>
      </c>
    </row>
    <row r="1280" spans="1:12" x14ac:dyDescent="0.2">
      <c r="A1280" s="172" t="s">
        <v>83</v>
      </c>
      <c r="B1280" s="172" t="s">
        <v>84</v>
      </c>
      <c r="C1280" s="172" t="s">
        <v>21</v>
      </c>
      <c r="D1280" s="172" t="s">
        <v>15</v>
      </c>
      <c r="E1280" s="173">
        <v>42185</v>
      </c>
      <c r="F1280" s="174">
        <v>1.24</v>
      </c>
      <c r="G1280" s="175" t="s">
        <v>16</v>
      </c>
      <c r="H1280" s="172" t="s">
        <v>20</v>
      </c>
      <c r="I1280" s="175">
        <v>1</v>
      </c>
      <c r="J1280" s="175" t="s">
        <v>18</v>
      </c>
      <c r="K1280" s="175" t="s">
        <v>85</v>
      </c>
      <c r="L1280" s="172" t="s">
        <v>86</v>
      </c>
    </row>
    <row r="1281" spans="1:12" x14ac:dyDescent="0.2">
      <c r="A1281" s="172" t="s">
        <v>83</v>
      </c>
      <c r="B1281" s="172" t="s">
        <v>84</v>
      </c>
      <c r="C1281" s="172" t="s">
        <v>21</v>
      </c>
      <c r="D1281" s="172" t="s">
        <v>15</v>
      </c>
      <c r="E1281" s="173">
        <v>42185</v>
      </c>
      <c r="F1281" s="174">
        <v>6.8668224000000002</v>
      </c>
      <c r="G1281" s="175" t="s">
        <v>19</v>
      </c>
      <c r="H1281" s="172" t="s">
        <v>20</v>
      </c>
      <c r="I1281" s="175">
        <v>1</v>
      </c>
      <c r="J1281" s="175" t="s">
        <v>18</v>
      </c>
      <c r="K1281" s="175" t="s">
        <v>85</v>
      </c>
      <c r="L1281" s="172" t="s">
        <v>86</v>
      </c>
    </row>
    <row r="1282" spans="1:12" x14ac:dyDescent="0.2">
      <c r="A1282" s="172" t="s">
        <v>83</v>
      </c>
      <c r="B1282" s="172" t="s">
        <v>84</v>
      </c>
      <c r="C1282" s="172" t="s">
        <v>21</v>
      </c>
      <c r="D1282" s="172" t="s">
        <v>15</v>
      </c>
      <c r="E1282" s="173">
        <v>42178</v>
      </c>
      <c r="F1282" s="174">
        <v>2</v>
      </c>
      <c r="G1282" s="175" t="s">
        <v>16</v>
      </c>
      <c r="H1282" s="172" t="s">
        <v>17</v>
      </c>
      <c r="I1282" s="175">
        <v>1</v>
      </c>
      <c r="J1282" s="175" t="s">
        <v>18</v>
      </c>
      <c r="K1282" s="175" t="s">
        <v>85</v>
      </c>
      <c r="L1282" s="172" t="s">
        <v>86</v>
      </c>
    </row>
    <row r="1283" spans="1:12" x14ac:dyDescent="0.2">
      <c r="A1283" s="172" t="s">
        <v>83</v>
      </c>
      <c r="B1283" s="172" t="s">
        <v>84</v>
      </c>
      <c r="C1283" s="172" t="s">
        <v>21</v>
      </c>
      <c r="D1283" s="172" t="s">
        <v>15</v>
      </c>
      <c r="E1283" s="173">
        <v>42178</v>
      </c>
      <c r="F1283" s="174">
        <v>19.181999999999999</v>
      </c>
      <c r="G1283" s="175" t="s">
        <v>19</v>
      </c>
      <c r="H1283" s="172" t="s">
        <v>17</v>
      </c>
      <c r="I1283" s="175">
        <v>1</v>
      </c>
      <c r="J1283" s="175" t="s">
        <v>18</v>
      </c>
      <c r="K1283" s="175" t="s">
        <v>85</v>
      </c>
      <c r="L1283" s="172" t="s">
        <v>86</v>
      </c>
    </row>
    <row r="1284" spans="1:12" x14ac:dyDescent="0.2">
      <c r="A1284" s="172" t="s">
        <v>83</v>
      </c>
      <c r="B1284" s="172" t="s">
        <v>84</v>
      </c>
      <c r="C1284" s="172" t="s">
        <v>21</v>
      </c>
      <c r="D1284" s="172" t="s">
        <v>15</v>
      </c>
      <c r="E1284" s="173">
        <v>42178</v>
      </c>
      <c r="F1284" s="174">
        <v>1.3</v>
      </c>
      <c r="G1284" s="175" t="s">
        <v>16</v>
      </c>
      <c r="H1284" s="172" t="s">
        <v>20</v>
      </c>
      <c r="I1284" s="175">
        <v>1</v>
      </c>
      <c r="J1284" s="175" t="s">
        <v>18</v>
      </c>
      <c r="K1284" s="175" t="s">
        <v>85</v>
      </c>
      <c r="L1284" s="172" t="s">
        <v>86</v>
      </c>
    </row>
    <row r="1285" spans="1:12" x14ac:dyDescent="0.2">
      <c r="A1285" s="172" t="s">
        <v>83</v>
      </c>
      <c r="B1285" s="172" t="s">
        <v>84</v>
      </c>
      <c r="C1285" s="172" t="s">
        <v>21</v>
      </c>
      <c r="D1285" s="172" t="s">
        <v>15</v>
      </c>
      <c r="E1285" s="173">
        <v>42178</v>
      </c>
      <c r="F1285" s="174">
        <v>12.468299999999999</v>
      </c>
      <c r="G1285" s="175" t="s">
        <v>19</v>
      </c>
      <c r="H1285" s="172" t="s">
        <v>20</v>
      </c>
      <c r="I1285" s="175">
        <v>1</v>
      </c>
      <c r="J1285" s="175" t="s">
        <v>18</v>
      </c>
      <c r="K1285" s="175" t="s">
        <v>85</v>
      </c>
      <c r="L1285" s="172" t="s">
        <v>86</v>
      </c>
    </row>
    <row r="1286" spans="1:12" x14ac:dyDescent="0.2">
      <c r="A1286" s="172" t="s">
        <v>83</v>
      </c>
      <c r="B1286" s="172" t="s">
        <v>84</v>
      </c>
      <c r="C1286" s="172" t="s">
        <v>21</v>
      </c>
      <c r="D1286" s="172" t="s">
        <v>15</v>
      </c>
      <c r="E1286" s="173">
        <v>42172</v>
      </c>
      <c r="F1286" s="174">
        <v>2.4</v>
      </c>
      <c r="G1286" s="175" t="s">
        <v>16</v>
      </c>
      <c r="H1286" s="172" t="s">
        <v>17</v>
      </c>
      <c r="I1286" s="175">
        <v>1</v>
      </c>
      <c r="J1286" s="175" t="s">
        <v>18</v>
      </c>
      <c r="K1286" s="175" t="s">
        <v>85</v>
      </c>
      <c r="L1286" s="172" t="s">
        <v>86</v>
      </c>
    </row>
    <row r="1287" spans="1:12" x14ac:dyDescent="0.2">
      <c r="A1287" s="172" t="s">
        <v>83</v>
      </c>
      <c r="B1287" s="172" t="s">
        <v>84</v>
      </c>
      <c r="C1287" s="172" t="s">
        <v>21</v>
      </c>
      <c r="D1287" s="172" t="s">
        <v>15</v>
      </c>
      <c r="E1287" s="173">
        <v>42172</v>
      </c>
      <c r="F1287" s="174">
        <v>14.651712</v>
      </c>
      <c r="G1287" s="175" t="s">
        <v>19</v>
      </c>
      <c r="H1287" s="172" t="s">
        <v>17</v>
      </c>
      <c r="I1287" s="175">
        <v>1</v>
      </c>
      <c r="J1287" s="175" t="s">
        <v>18</v>
      </c>
      <c r="K1287" s="175" t="s">
        <v>85</v>
      </c>
      <c r="L1287" s="172" t="s">
        <v>86</v>
      </c>
    </row>
    <row r="1288" spans="1:12" x14ac:dyDescent="0.2">
      <c r="A1288" s="172" t="s">
        <v>83</v>
      </c>
      <c r="B1288" s="172" t="s">
        <v>84</v>
      </c>
      <c r="C1288" s="172" t="s">
        <v>21</v>
      </c>
      <c r="D1288" s="172" t="s">
        <v>15</v>
      </c>
      <c r="E1288" s="173">
        <v>42172</v>
      </c>
      <c r="F1288" s="174">
        <v>1.8</v>
      </c>
      <c r="G1288" s="175" t="s">
        <v>16</v>
      </c>
      <c r="H1288" s="172" t="s">
        <v>20</v>
      </c>
      <c r="I1288" s="175">
        <v>1</v>
      </c>
      <c r="J1288" s="175" t="s">
        <v>18</v>
      </c>
      <c r="K1288" s="175" t="s">
        <v>85</v>
      </c>
      <c r="L1288" s="172" t="s">
        <v>86</v>
      </c>
    </row>
    <row r="1289" spans="1:12" x14ac:dyDescent="0.2">
      <c r="A1289" s="172" t="s">
        <v>83</v>
      </c>
      <c r="B1289" s="172" t="s">
        <v>84</v>
      </c>
      <c r="C1289" s="172" t="s">
        <v>21</v>
      </c>
      <c r="D1289" s="172" t="s">
        <v>15</v>
      </c>
      <c r="E1289" s="173">
        <v>42172</v>
      </c>
      <c r="F1289" s="174">
        <v>10.988784000000001</v>
      </c>
      <c r="G1289" s="175" t="s">
        <v>19</v>
      </c>
      <c r="H1289" s="172" t="s">
        <v>20</v>
      </c>
      <c r="I1289" s="175">
        <v>1</v>
      </c>
      <c r="J1289" s="175" t="s">
        <v>18</v>
      </c>
      <c r="K1289" s="175" t="s">
        <v>85</v>
      </c>
      <c r="L1289" s="172" t="s">
        <v>86</v>
      </c>
    </row>
    <row r="1290" spans="1:12" x14ac:dyDescent="0.2">
      <c r="A1290" s="172" t="s">
        <v>83</v>
      </c>
      <c r="B1290" s="172" t="s">
        <v>84</v>
      </c>
      <c r="C1290" s="172" t="s">
        <v>21</v>
      </c>
      <c r="D1290" s="172" t="s">
        <v>15</v>
      </c>
      <c r="E1290" s="173">
        <v>42164</v>
      </c>
      <c r="F1290" s="174">
        <v>3.1</v>
      </c>
      <c r="G1290" s="175" t="s">
        <v>16</v>
      </c>
      <c r="H1290" s="172" t="s">
        <v>17</v>
      </c>
      <c r="I1290" s="175">
        <v>1</v>
      </c>
      <c r="J1290" s="175" t="s">
        <v>18</v>
      </c>
      <c r="K1290" s="175" t="s">
        <v>85</v>
      </c>
      <c r="L1290" s="172" t="s">
        <v>86</v>
      </c>
    </row>
    <row r="1291" spans="1:12" x14ac:dyDescent="0.2">
      <c r="A1291" s="172" t="s">
        <v>83</v>
      </c>
      <c r="B1291" s="172" t="s">
        <v>84</v>
      </c>
      <c r="C1291" s="172" t="s">
        <v>21</v>
      </c>
      <c r="D1291" s="172" t="s">
        <v>15</v>
      </c>
      <c r="E1291" s="173">
        <v>42164</v>
      </c>
      <c r="F1291" s="174">
        <v>13.754327999999999</v>
      </c>
      <c r="G1291" s="175" t="s">
        <v>19</v>
      </c>
      <c r="H1291" s="172" t="s">
        <v>17</v>
      </c>
      <c r="I1291" s="175">
        <v>1</v>
      </c>
      <c r="J1291" s="175" t="s">
        <v>18</v>
      </c>
      <c r="K1291" s="175" t="s">
        <v>85</v>
      </c>
      <c r="L1291" s="172" t="s">
        <v>86</v>
      </c>
    </row>
    <row r="1292" spans="1:12" x14ac:dyDescent="0.2">
      <c r="A1292" s="172" t="s">
        <v>83</v>
      </c>
      <c r="B1292" s="172" t="s">
        <v>84</v>
      </c>
      <c r="C1292" s="172" t="s">
        <v>21</v>
      </c>
      <c r="D1292" s="172" t="s">
        <v>15</v>
      </c>
      <c r="E1292" s="173">
        <v>42164</v>
      </c>
      <c r="F1292" s="174">
        <v>1.7</v>
      </c>
      <c r="G1292" s="175" t="s">
        <v>16</v>
      </c>
      <c r="H1292" s="172" t="s">
        <v>20</v>
      </c>
      <c r="I1292" s="175">
        <v>1</v>
      </c>
      <c r="J1292" s="175" t="s">
        <v>18</v>
      </c>
      <c r="K1292" s="175" t="s">
        <v>85</v>
      </c>
      <c r="L1292" s="172" t="s">
        <v>86</v>
      </c>
    </row>
    <row r="1293" spans="1:12" x14ac:dyDescent="0.2">
      <c r="A1293" s="172" t="s">
        <v>83</v>
      </c>
      <c r="B1293" s="172" t="s">
        <v>84</v>
      </c>
      <c r="C1293" s="172" t="s">
        <v>21</v>
      </c>
      <c r="D1293" s="172" t="s">
        <v>15</v>
      </c>
      <c r="E1293" s="173">
        <v>42164</v>
      </c>
      <c r="F1293" s="174">
        <v>7.5426959</v>
      </c>
      <c r="G1293" s="175" t="s">
        <v>19</v>
      </c>
      <c r="H1293" s="172" t="s">
        <v>20</v>
      </c>
      <c r="I1293" s="175">
        <v>1</v>
      </c>
      <c r="J1293" s="175" t="s">
        <v>18</v>
      </c>
      <c r="K1293" s="175" t="s">
        <v>85</v>
      </c>
      <c r="L1293" s="172" t="s">
        <v>86</v>
      </c>
    </row>
    <row r="1294" spans="1:12" x14ac:dyDescent="0.2">
      <c r="A1294" s="172" t="s">
        <v>83</v>
      </c>
      <c r="B1294" s="172" t="s">
        <v>84</v>
      </c>
      <c r="C1294" s="172" t="s">
        <v>21</v>
      </c>
      <c r="D1294" s="172" t="s">
        <v>15</v>
      </c>
      <c r="E1294" s="173">
        <v>42157</v>
      </c>
      <c r="F1294" s="174">
        <v>2.6</v>
      </c>
      <c r="G1294" s="175" t="s">
        <v>16</v>
      </c>
      <c r="H1294" s="172" t="s">
        <v>17</v>
      </c>
      <c r="I1294" s="175">
        <v>1</v>
      </c>
      <c r="J1294" s="175" t="s">
        <v>18</v>
      </c>
      <c r="K1294" s="175" t="s">
        <v>85</v>
      </c>
      <c r="L1294" s="172" t="s">
        <v>86</v>
      </c>
    </row>
    <row r="1295" spans="1:12" x14ac:dyDescent="0.2">
      <c r="A1295" s="172" t="s">
        <v>83</v>
      </c>
      <c r="B1295" s="172" t="s">
        <v>84</v>
      </c>
      <c r="C1295" s="172" t="s">
        <v>21</v>
      </c>
      <c r="D1295" s="172" t="s">
        <v>15</v>
      </c>
      <c r="E1295" s="173">
        <v>42157</v>
      </c>
      <c r="F1295" s="174">
        <v>17.000256</v>
      </c>
      <c r="G1295" s="175" t="s">
        <v>19</v>
      </c>
      <c r="H1295" s="172" t="s">
        <v>17</v>
      </c>
      <c r="I1295" s="175">
        <v>1</v>
      </c>
      <c r="J1295" s="175" t="s">
        <v>18</v>
      </c>
      <c r="K1295" s="175" t="s">
        <v>85</v>
      </c>
      <c r="L1295" s="172" t="s">
        <v>86</v>
      </c>
    </row>
    <row r="1296" spans="1:12" x14ac:dyDescent="0.2">
      <c r="A1296" s="172" t="s">
        <v>83</v>
      </c>
      <c r="B1296" s="172" t="s">
        <v>84</v>
      </c>
      <c r="C1296" s="172" t="s">
        <v>21</v>
      </c>
      <c r="D1296" s="172" t="s">
        <v>15</v>
      </c>
      <c r="E1296" s="173">
        <v>42157</v>
      </c>
      <c r="F1296" s="174">
        <v>1.1000000000000001</v>
      </c>
      <c r="G1296" s="175" t="s">
        <v>16</v>
      </c>
      <c r="H1296" s="172" t="s">
        <v>20</v>
      </c>
      <c r="I1296" s="175">
        <v>1</v>
      </c>
      <c r="J1296" s="175" t="s">
        <v>18</v>
      </c>
      <c r="K1296" s="175" t="s">
        <v>85</v>
      </c>
      <c r="L1296" s="172" t="s">
        <v>86</v>
      </c>
    </row>
    <row r="1297" spans="1:12" x14ac:dyDescent="0.2">
      <c r="A1297" s="172" t="s">
        <v>83</v>
      </c>
      <c r="B1297" s="172" t="s">
        <v>84</v>
      </c>
      <c r="C1297" s="172" t="s">
        <v>21</v>
      </c>
      <c r="D1297" s="172" t="s">
        <v>15</v>
      </c>
      <c r="E1297" s="173">
        <v>42157</v>
      </c>
      <c r="F1297" s="174">
        <v>7.1924159999999997</v>
      </c>
      <c r="G1297" s="175" t="s">
        <v>19</v>
      </c>
      <c r="H1297" s="172" t="s">
        <v>20</v>
      </c>
      <c r="I1297" s="175">
        <v>1</v>
      </c>
      <c r="J1297" s="175" t="s">
        <v>18</v>
      </c>
      <c r="K1297" s="175" t="s">
        <v>85</v>
      </c>
      <c r="L1297" s="172" t="s">
        <v>86</v>
      </c>
    </row>
    <row r="1298" spans="1:12" x14ac:dyDescent="0.2">
      <c r="A1298" s="172" t="s">
        <v>83</v>
      </c>
      <c r="B1298" s="172" t="s">
        <v>84</v>
      </c>
      <c r="C1298" s="172" t="s">
        <v>21</v>
      </c>
      <c r="D1298" s="172" t="s">
        <v>15</v>
      </c>
      <c r="E1298" s="173">
        <v>42151</v>
      </c>
      <c r="F1298" s="174">
        <v>2.2400000000000002</v>
      </c>
      <c r="G1298" s="175" t="s">
        <v>16</v>
      </c>
      <c r="H1298" s="172" t="s">
        <v>17</v>
      </c>
      <c r="I1298" s="175">
        <v>1</v>
      </c>
      <c r="J1298" s="175" t="s">
        <v>18</v>
      </c>
      <c r="K1298" s="175" t="s">
        <v>85</v>
      </c>
      <c r="L1298" s="172" t="s">
        <v>86</v>
      </c>
    </row>
    <row r="1299" spans="1:12" x14ac:dyDescent="0.2">
      <c r="A1299" s="172" t="s">
        <v>83</v>
      </c>
      <c r="B1299" s="172" t="s">
        <v>84</v>
      </c>
      <c r="C1299" s="172" t="s">
        <v>21</v>
      </c>
      <c r="D1299" s="172" t="s">
        <v>15</v>
      </c>
      <c r="E1299" s="173">
        <v>42151</v>
      </c>
      <c r="F1299" s="174">
        <v>22.978368</v>
      </c>
      <c r="G1299" s="175" t="s">
        <v>19</v>
      </c>
      <c r="H1299" s="172" t="s">
        <v>17</v>
      </c>
      <c r="I1299" s="175">
        <v>1</v>
      </c>
      <c r="J1299" s="175" t="s">
        <v>18</v>
      </c>
      <c r="K1299" s="175" t="s">
        <v>85</v>
      </c>
      <c r="L1299" s="172" t="s">
        <v>86</v>
      </c>
    </row>
    <row r="1300" spans="1:12" x14ac:dyDescent="0.2">
      <c r="A1300" s="172" t="s">
        <v>83</v>
      </c>
      <c r="B1300" s="172" t="s">
        <v>84</v>
      </c>
      <c r="C1300" s="172" t="s">
        <v>21</v>
      </c>
      <c r="D1300" s="172" t="s">
        <v>15</v>
      </c>
      <c r="E1300" s="173">
        <v>42151</v>
      </c>
      <c r="F1300" s="174">
        <v>1.42</v>
      </c>
      <c r="G1300" s="175" t="s">
        <v>16</v>
      </c>
      <c r="H1300" s="172" t="s">
        <v>20</v>
      </c>
      <c r="I1300" s="175">
        <v>1</v>
      </c>
      <c r="J1300" s="175" t="s">
        <v>18</v>
      </c>
      <c r="K1300" s="175" t="s">
        <v>85</v>
      </c>
      <c r="L1300" s="172" t="s">
        <v>86</v>
      </c>
    </row>
    <row r="1301" spans="1:12" x14ac:dyDescent="0.2">
      <c r="A1301" s="172" t="s">
        <v>83</v>
      </c>
      <c r="B1301" s="172" t="s">
        <v>84</v>
      </c>
      <c r="C1301" s="172" t="s">
        <v>21</v>
      </c>
      <c r="D1301" s="172" t="s">
        <v>15</v>
      </c>
      <c r="E1301" s="173">
        <v>42151</v>
      </c>
      <c r="F1301" s="174">
        <v>14.566644</v>
      </c>
      <c r="G1301" s="175" t="s">
        <v>19</v>
      </c>
      <c r="H1301" s="172" t="s">
        <v>20</v>
      </c>
      <c r="I1301" s="175">
        <v>1</v>
      </c>
      <c r="J1301" s="175" t="s">
        <v>18</v>
      </c>
      <c r="K1301" s="175" t="s">
        <v>85</v>
      </c>
      <c r="L1301" s="172" t="s">
        <v>86</v>
      </c>
    </row>
    <row r="1302" spans="1:12" x14ac:dyDescent="0.2">
      <c r="A1302" s="172" t="s">
        <v>83</v>
      </c>
      <c r="B1302" s="172" t="s">
        <v>84</v>
      </c>
      <c r="C1302" s="172" t="s">
        <v>21</v>
      </c>
      <c r="D1302" s="172" t="s">
        <v>15</v>
      </c>
      <c r="E1302" s="173">
        <v>42143</v>
      </c>
      <c r="F1302" s="174">
        <v>2.8</v>
      </c>
      <c r="G1302" s="175" t="s">
        <v>16</v>
      </c>
      <c r="H1302" s="172" t="s">
        <v>17</v>
      </c>
      <c r="I1302" s="175">
        <v>1</v>
      </c>
      <c r="J1302" s="175" t="s">
        <v>18</v>
      </c>
      <c r="K1302" s="175" t="s">
        <v>85</v>
      </c>
      <c r="L1302" s="172" t="s">
        <v>86</v>
      </c>
    </row>
    <row r="1303" spans="1:12" x14ac:dyDescent="0.2">
      <c r="A1303" s="172" t="s">
        <v>83</v>
      </c>
      <c r="B1303" s="172" t="s">
        <v>84</v>
      </c>
      <c r="C1303" s="172" t="s">
        <v>21</v>
      </c>
      <c r="D1303" s="172" t="s">
        <v>15</v>
      </c>
      <c r="E1303" s="173">
        <v>42143</v>
      </c>
      <c r="F1303" s="174">
        <v>12.61008</v>
      </c>
      <c r="G1303" s="175" t="s">
        <v>19</v>
      </c>
      <c r="H1303" s="172" t="s">
        <v>17</v>
      </c>
      <c r="I1303" s="175">
        <v>1</v>
      </c>
      <c r="J1303" s="175" t="s">
        <v>18</v>
      </c>
      <c r="K1303" s="175" t="s">
        <v>85</v>
      </c>
      <c r="L1303" s="172" t="s">
        <v>86</v>
      </c>
    </row>
    <row r="1304" spans="1:12" x14ac:dyDescent="0.2">
      <c r="A1304" s="172" t="s">
        <v>83</v>
      </c>
      <c r="B1304" s="172" t="s">
        <v>84</v>
      </c>
      <c r="C1304" s="172" t="s">
        <v>21</v>
      </c>
      <c r="D1304" s="172" t="s">
        <v>15</v>
      </c>
      <c r="E1304" s="173">
        <v>42143</v>
      </c>
      <c r="F1304" s="174">
        <v>1.5</v>
      </c>
      <c r="G1304" s="175" t="s">
        <v>16</v>
      </c>
      <c r="H1304" s="172" t="s">
        <v>20</v>
      </c>
      <c r="I1304" s="175">
        <v>1</v>
      </c>
      <c r="J1304" s="175" t="s">
        <v>18</v>
      </c>
      <c r="K1304" s="175" t="s">
        <v>85</v>
      </c>
      <c r="L1304" s="172" t="s">
        <v>86</v>
      </c>
    </row>
    <row r="1305" spans="1:12" x14ac:dyDescent="0.2">
      <c r="A1305" s="172" t="s">
        <v>83</v>
      </c>
      <c r="B1305" s="172" t="s">
        <v>84</v>
      </c>
      <c r="C1305" s="172" t="s">
        <v>21</v>
      </c>
      <c r="D1305" s="172" t="s">
        <v>15</v>
      </c>
      <c r="E1305" s="173">
        <v>42143</v>
      </c>
      <c r="F1305" s="174">
        <v>6.7553999999999998</v>
      </c>
      <c r="G1305" s="175" t="s">
        <v>19</v>
      </c>
      <c r="H1305" s="172" t="s">
        <v>20</v>
      </c>
      <c r="I1305" s="175">
        <v>1</v>
      </c>
      <c r="J1305" s="175" t="s">
        <v>18</v>
      </c>
      <c r="K1305" s="175" t="s">
        <v>85</v>
      </c>
      <c r="L1305" s="172" t="s">
        <v>86</v>
      </c>
    </row>
    <row r="1306" spans="1:12" x14ac:dyDescent="0.2">
      <c r="A1306" s="172" t="s">
        <v>83</v>
      </c>
      <c r="B1306" s="172" t="s">
        <v>84</v>
      </c>
      <c r="C1306" s="172" t="s">
        <v>21</v>
      </c>
      <c r="D1306" s="172" t="s">
        <v>15</v>
      </c>
      <c r="E1306" s="173">
        <v>42136</v>
      </c>
      <c r="F1306" s="174">
        <v>2.9</v>
      </c>
      <c r="G1306" s="175" t="s">
        <v>16</v>
      </c>
      <c r="H1306" s="172" t="s">
        <v>17</v>
      </c>
      <c r="I1306" s="175">
        <v>1</v>
      </c>
      <c r="J1306" s="175" t="s">
        <v>18</v>
      </c>
      <c r="K1306" s="175" t="s">
        <v>85</v>
      </c>
      <c r="L1306" s="172" t="s">
        <v>86</v>
      </c>
    </row>
    <row r="1307" spans="1:12" x14ac:dyDescent="0.2">
      <c r="A1307" s="172" t="s">
        <v>83</v>
      </c>
      <c r="B1307" s="172" t="s">
        <v>84</v>
      </c>
      <c r="C1307" s="172" t="s">
        <v>21</v>
      </c>
      <c r="D1307" s="172" t="s">
        <v>15</v>
      </c>
      <c r="E1307" s="173">
        <v>42136</v>
      </c>
      <c r="F1307" s="174">
        <v>13.012067999999999</v>
      </c>
      <c r="G1307" s="175" t="s">
        <v>19</v>
      </c>
      <c r="H1307" s="172" t="s">
        <v>17</v>
      </c>
      <c r="I1307" s="175">
        <v>1</v>
      </c>
      <c r="J1307" s="175" t="s">
        <v>18</v>
      </c>
      <c r="K1307" s="175" t="s">
        <v>85</v>
      </c>
      <c r="L1307" s="172" t="s">
        <v>86</v>
      </c>
    </row>
    <row r="1308" spans="1:12" x14ac:dyDescent="0.2">
      <c r="A1308" s="172" t="s">
        <v>83</v>
      </c>
      <c r="B1308" s="172" t="s">
        <v>84</v>
      </c>
      <c r="C1308" s="172" t="s">
        <v>21</v>
      </c>
      <c r="D1308" s="172" t="s">
        <v>15</v>
      </c>
      <c r="E1308" s="173">
        <v>42136</v>
      </c>
      <c r="F1308" s="174">
        <v>1.6</v>
      </c>
      <c r="G1308" s="175" t="s">
        <v>16</v>
      </c>
      <c r="H1308" s="172" t="s">
        <v>20</v>
      </c>
      <c r="I1308" s="175">
        <v>1</v>
      </c>
      <c r="J1308" s="175" t="s">
        <v>18</v>
      </c>
      <c r="K1308" s="175" t="s">
        <v>85</v>
      </c>
      <c r="L1308" s="172" t="s">
        <v>86</v>
      </c>
    </row>
    <row r="1309" spans="1:12" x14ac:dyDescent="0.2">
      <c r="A1309" s="172" t="s">
        <v>83</v>
      </c>
      <c r="B1309" s="172" t="s">
        <v>84</v>
      </c>
      <c r="C1309" s="172" t="s">
        <v>21</v>
      </c>
      <c r="D1309" s="172" t="s">
        <v>15</v>
      </c>
      <c r="E1309" s="173">
        <v>42136</v>
      </c>
      <c r="F1309" s="174">
        <v>7.1790719999999997</v>
      </c>
      <c r="G1309" s="175" t="s">
        <v>19</v>
      </c>
      <c r="H1309" s="172" t="s">
        <v>20</v>
      </c>
      <c r="I1309" s="175">
        <v>1</v>
      </c>
      <c r="J1309" s="175" t="s">
        <v>18</v>
      </c>
      <c r="K1309" s="175" t="s">
        <v>85</v>
      </c>
      <c r="L1309" s="172" t="s">
        <v>86</v>
      </c>
    </row>
    <row r="1310" spans="1:12" x14ac:dyDescent="0.2">
      <c r="A1310" s="172" t="s">
        <v>83</v>
      </c>
      <c r="B1310" s="172" t="s">
        <v>84</v>
      </c>
      <c r="C1310" s="172" t="s">
        <v>21</v>
      </c>
      <c r="D1310" s="172" t="s">
        <v>15</v>
      </c>
      <c r="E1310" s="173">
        <v>42130</v>
      </c>
      <c r="F1310" s="174">
        <v>2.3199999999999998</v>
      </c>
      <c r="G1310" s="175" t="s">
        <v>16</v>
      </c>
      <c r="H1310" s="172" t="s">
        <v>17</v>
      </c>
      <c r="I1310" s="175">
        <v>1</v>
      </c>
      <c r="J1310" s="175" t="s">
        <v>18</v>
      </c>
      <c r="K1310" s="175" t="s">
        <v>85</v>
      </c>
      <c r="L1310" s="172" t="s">
        <v>86</v>
      </c>
    </row>
    <row r="1311" spans="1:12" x14ac:dyDescent="0.2">
      <c r="A1311" s="172" t="s">
        <v>83</v>
      </c>
      <c r="B1311" s="172" t="s">
        <v>84</v>
      </c>
      <c r="C1311" s="172" t="s">
        <v>21</v>
      </c>
      <c r="D1311" s="172" t="s">
        <v>15</v>
      </c>
      <c r="E1311" s="173">
        <v>42130</v>
      </c>
      <c r="F1311" s="174">
        <v>12.054302399999999</v>
      </c>
      <c r="G1311" s="175" t="s">
        <v>19</v>
      </c>
      <c r="H1311" s="172" t="s">
        <v>17</v>
      </c>
      <c r="I1311" s="175">
        <v>1</v>
      </c>
      <c r="J1311" s="175" t="s">
        <v>18</v>
      </c>
      <c r="K1311" s="175" t="s">
        <v>85</v>
      </c>
      <c r="L1311" s="172" t="s">
        <v>86</v>
      </c>
    </row>
    <row r="1312" spans="1:12" x14ac:dyDescent="0.2">
      <c r="A1312" s="172" t="s">
        <v>83</v>
      </c>
      <c r="B1312" s="172" t="s">
        <v>84</v>
      </c>
      <c r="C1312" s="172" t="s">
        <v>21</v>
      </c>
      <c r="D1312" s="172" t="s">
        <v>15</v>
      </c>
      <c r="E1312" s="173">
        <v>42130</v>
      </c>
      <c r="F1312" s="174">
        <v>1.4</v>
      </c>
      <c r="G1312" s="175" t="s">
        <v>16</v>
      </c>
      <c r="H1312" s="172" t="s">
        <v>20</v>
      </c>
      <c r="I1312" s="175">
        <v>1</v>
      </c>
      <c r="J1312" s="175" t="s">
        <v>18</v>
      </c>
      <c r="K1312" s="175" t="s">
        <v>85</v>
      </c>
      <c r="L1312" s="172" t="s">
        <v>86</v>
      </c>
    </row>
    <row r="1313" spans="1:12" x14ac:dyDescent="0.2">
      <c r="A1313" s="172" t="s">
        <v>83</v>
      </c>
      <c r="B1313" s="172" t="s">
        <v>84</v>
      </c>
      <c r="C1313" s="172" t="s">
        <v>21</v>
      </c>
      <c r="D1313" s="172" t="s">
        <v>15</v>
      </c>
      <c r="E1313" s="173">
        <v>42130</v>
      </c>
      <c r="F1313" s="174">
        <v>7.2741480000000003</v>
      </c>
      <c r="G1313" s="175" t="s">
        <v>19</v>
      </c>
      <c r="H1313" s="172" t="s">
        <v>20</v>
      </c>
      <c r="I1313" s="175">
        <v>1</v>
      </c>
      <c r="J1313" s="175" t="s">
        <v>18</v>
      </c>
      <c r="K1313" s="175" t="s">
        <v>85</v>
      </c>
      <c r="L1313" s="172" t="s">
        <v>86</v>
      </c>
    </row>
    <row r="1314" spans="1:12" x14ac:dyDescent="0.2">
      <c r="A1314" s="172" t="s">
        <v>83</v>
      </c>
      <c r="B1314" s="172" t="s">
        <v>84</v>
      </c>
      <c r="C1314" s="172" t="s">
        <v>21</v>
      </c>
      <c r="D1314" s="172" t="s">
        <v>15</v>
      </c>
      <c r="E1314" s="173">
        <v>42122</v>
      </c>
      <c r="F1314" s="174">
        <v>1.55</v>
      </c>
      <c r="G1314" s="175" t="s">
        <v>16</v>
      </c>
      <c r="H1314" s="172" t="s">
        <v>17</v>
      </c>
      <c r="I1314" s="175">
        <v>1</v>
      </c>
      <c r="J1314" s="175" t="s">
        <v>18</v>
      </c>
      <c r="K1314" s="175" t="s">
        <v>85</v>
      </c>
      <c r="L1314" s="172" t="s">
        <v>86</v>
      </c>
    </row>
    <row r="1315" spans="1:12" x14ac:dyDescent="0.2">
      <c r="A1315" s="172" t="s">
        <v>83</v>
      </c>
      <c r="B1315" s="172" t="s">
        <v>84</v>
      </c>
      <c r="C1315" s="172" t="s">
        <v>21</v>
      </c>
      <c r="D1315" s="172" t="s">
        <v>15</v>
      </c>
      <c r="E1315" s="173">
        <v>42122</v>
      </c>
      <c r="F1315" s="174">
        <v>11.854058999999999</v>
      </c>
      <c r="G1315" s="175" t="s">
        <v>19</v>
      </c>
      <c r="H1315" s="172" t="s">
        <v>17</v>
      </c>
      <c r="I1315" s="175">
        <v>1</v>
      </c>
      <c r="J1315" s="175" t="s">
        <v>18</v>
      </c>
      <c r="K1315" s="175" t="s">
        <v>85</v>
      </c>
      <c r="L1315" s="172" t="s">
        <v>86</v>
      </c>
    </row>
    <row r="1316" spans="1:12" x14ac:dyDescent="0.2">
      <c r="A1316" s="172" t="s">
        <v>83</v>
      </c>
      <c r="B1316" s="172" t="s">
        <v>84</v>
      </c>
      <c r="C1316" s="172" t="s">
        <v>21</v>
      </c>
      <c r="D1316" s="172" t="s">
        <v>15</v>
      </c>
      <c r="E1316" s="173">
        <v>42122</v>
      </c>
      <c r="F1316" s="174">
        <v>1.06</v>
      </c>
      <c r="G1316" s="175" t="s">
        <v>16</v>
      </c>
      <c r="H1316" s="172" t="s">
        <v>20</v>
      </c>
      <c r="I1316" s="175">
        <v>1</v>
      </c>
      <c r="J1316" s="175" t="s">
        <v>18</v>
      </c>
      <c r="K1316" s="175" t="s">
        <v>85</v>
      </c>
      <c r="L1316" s="172" t="s">
        <v>86</v>
      </c>
    </row>
    <row r="1317" spans="1:12" x14ac:dyDescent="0.2">
      <c r="A1317" s="172" t="s">
        <v>83</v>
      </c>
      <c r="B1317" s="172" t="s">
        <v>84</v>
      </c>
      <c r="C1317" s="172" t="s">
        <v>21</v>
      </c>
      <c r="D1317" s="172" t="s">
        <v>15</v>
      </c>
      <c r="E1317" s="173">
        <v>42122</v>
      </c>
      <c r="F1317" s="174">
        <v>8.1066468</v>
      </c>
      <c r="G1317" s="175" t="s">
        <v>19</v>
      </c>
      <c r="H1317" s="172" t="s">
        <v>20</v>
      </c>
      <c r="I1317" s="175">
        <v>1</v>
      </c>
      <c r="J1317" s="175" t="s">
        <v>18</v>
      </c>
      <c r="K1317" s="175" t="s">
        <v>85</v>
      </c>
      <c r="L1317" s="172" t="s">
        <v>86</v>
      </c>
    </row>
    <row r="1318" spans="1:12" x14ac:dyDescent="0.2">
      <c r="A1318" s="172" t="s">
        <v>83</v>
      </c>
      <c r="B1318" s="172" t="s">
        <v>84</v>
      </c>
      <c r="C1318" s="172" t="s">
        <v>21</v>
      </c>
      <c r="D1318" s="172" t="s">
        <v>15</v>
      </c>
      <c r="E1318" s="173">
        <v>42115</v>
      </c>
      <c r="F1318" s="174">
        <v>1.8</v>
      </c>
      <c r="G1318" s="175" t="s">
        <v>16</v>
      </c>
      <c r="H1318" s="172" t="s">
        <v>17</v>
      </c>
      <c r="I1318" s="175">
        <v>1</v>
      </c>
      <c r="J1318" s="175" t="s">
        <v>18</v>
      </c>
      <c r="K1318" s="175" t="s">
        <v>85</v>
      </c>
      <c r="L1318" s="172" t="s">
        <v>86</v>
      </c>
    </row>
    <row r="1319" spans="1:12" x14ac:dyDescent="0.2">
      <c r="A1319" s="172" t="s">
        <v>83</v>
      </c>
      <c r="B1319" s="172" t="s">
        <v>84</v>
      </c>
      <c r="C1319" s="172" t="s">
        <v>21</v>
      </c>
      <c r="D1319" s="172" t="s">
        <v>15</v>
      </c>
      <c r="E1319" s="173">
        <v>42115</v>
      </c>
      <c r="F1319" s="174">
        <v>14.951952</v>
      </c>
      <c r="G1319" s="175" t="s">
        <v>19</v>
      </c>
      <c r="H1319" s="172" t="s">
        <v>17</v>
      </c>
      <c r="I1319" s="175">
        <v>1</v>
      </c>
      <c r="J1319" s="175" t="s">
        <v>18</v>
      </c>
      <c r="K1319" s="175" t="s">
        <v>85</v>
      </c>
      <c r="L1319" s="172" t="s">
        <v>86</v>
      </c>
    </row>
    <row r="1320" spans="1:12" x14ac:dyDescent="0.2">
      <c r="A1320" s="172" t="s">
        <v>83</v>
      </c>
      <c r="B1320" s="172" t="s">
        <v>84</v>
      </c>
      <c r="C1320" s="172" t="s">
        <v>21</v>
      </c>
      <c r="D1320" s="172" t="s">
        <v>15</v>
      </c>
      <c r="E1320" s="173">
        <v>42115</v>
      </c>
      <c r="F1320" s="174">
        <v>0.9</v>
      </c>
      <c r="G1320" s="175" t="s">
        <v>16</v>
      </c>
      <c r="H1320" s="172" t="s">
        <v>20</v>
      </c>
      <c r="I1320" s="175">
        <v>1</v>
      </c>
      <c r="J1320" s="175" t="s">
        <v>18</v>
      </c>
      <c r="K1320" s="175" t="s">
        <v>85</v>
      </c>
      <c r="L1320" s="172" t="s">
        <v>86</v>
      </c>
    </row>
    <row r="1321" spans="1:12" x14ac:dyDescent="0.2">
      <c r="A1321" s="172" t="s">
        <v>83</v>
      </c>
      <c r="B1321" s="172" t="s">
        <v>84</v>
      </c>
      <c r="C1321" s="172" t="s">
        <v>21</v>
      </c>
      <c r="D1321" s="172" t="s">
        <v>15</v>
      </c>
      <c r="E1321" s="173">
        <v>42115</v>
      </c>
      <c r="F1321" s="174">
        <v>7.4759760000000002</v>
      </c>
      <c r="G1321" s="175" t="s">
        <v>19</v>
      </c>
      <c r="H1321" s="172" t="s">
        <v>20</v>
      </c>
      <c r="I1321" s="175">
        <v>1</v>
      </c>
      <c r="J1321" s="175" t="s">
        <v>18</v>
      </c>
      <c r="K1321" s="175" t="s">
        <v>85</v>
      </c>
      <c r="L1321" s="172" t="s">
        <v>86</v>
      </c>
    </row>
    <row r="1322" spans="1:12" x14ac:dyDescent="0.2">
      <c r="A1322" s="172" t="s">
        <v>83</v>
      </c>
      <c r="B1322" s="172" t="s">
        <v>84</v>
      </c>
      <c r="C1322" s="172" t="s">
        <v>21</v>
      </c>
      <c r="D1322" s="172" t="s">
        <v>15</v>
      </c>
      <c r="E1322" s="173">
        <v>42109</v>
      </c>
      <c r="F1322" s="174">
        <v>2.2999999999999998</v>
      </c>
      <c r="G1322" s="175" t="s">
        <v>16</v>
      </c>
      <c r="H1322" s="172" t="s">
        <v>17</v>
      </c>
      <c r="I1322" s="175">
        <v>1</v>
      </c>
      <c r="J1322" s="175" t="s">
        <v>18</v>
      </c>
      <c r="K1322" s="175" t="s">
        <v>85</v>
      </c>
      <c r="L1322" s="172" t="s">
        <v>86</v>
      </c>
    </row>
    <row r="1323" spans="1:12" x14ac:dyDescent="0.2">
      <c r="A1323" s="172" t="s">
        <v>83</v>
      </c>
      <c r="B1323" s="172" t="s">
        <v>84</v>
      </c>
      <c r="C1323" s="172" t="s">
        <v>21</v>
      </c>
      <c r="D1323" s="172" t="s">
        <v>15</v>
      </c>
      <c r="E1323" s="173">
        <v>42109</v>
      </c>
      <c r="F1323" s="174">
        <v>11.89284</v>
      </c>
      <c r="G1323" s="175" t="s">
        <v>19</v>
      </c>
      <c r="H1323" s="172" t="s">
        <v>17</v>
      </c>
      <c r="I1323" s="175">
        <v>1</v>
      </c>
      <c r="J1323" s="175" t="s">
        <v>18</v>
      </c>
      <c r="K1323" s="175" t="s">
        <v>85</v>
      </c>
      <c r="L1323" s="172" t="s">
        <v>86</v>
      </c>
    </row>
    <row r="1324" spans="1:12" x14ac:dyDescent="0.2">
      <c r="A1324" s="172" t="s">
        <v>83</v>
      </c>
      <c r="B1324" s="172" t="s">
        <v>84</v>
      </c>
      <c r="C1324" s="172" t="s">
        <v>21</v>
      </c>
      <c r="D1324" s="172" t="s">
        <v>15</v>
      </c>
      <c r="E1324" s="173">
        <v>42109</v>
      </c>
      <c r="F1324" s="174">
        <v>1.2</v>
      </c>
      <c r="G1324" s="175" t="s">
        <v>16</v>
      </c>
      <c r="H1324" s="172" t="s">
        <v>20</v>
      </c>
      <c r="I1324" s="175">
        <v>1</v>
      </c>
      <c r="J1324" s="175" t="s">
        <v>18</v>
      </c>
      <c r="K1324" s="175" t="s">
        <v>85</v>
      </c>
      <c r="L1324" s="172" t="s">
        <v>86</v>
      </c>
    </row>
    <row r="1325" spans="1:12" x14ac:dyDescent="0.2">
      <c r="A1325" s="172" t="s">
        <v>83</v>
      </c>
      <c r="B1325" s="172" t="s">
        <v>84</v>
      </c>
      <c r="C1325" s="172" t="s">
        <v>21</v>
      </c>
      <c r="D1325" s="172" t="s">
        <v>15</v>
      </c>
      <c r="E1325" s="173">
        <v>42109</v>
      </c>
      <c r="F1325" s="174">
        <v>6.2049599999999998</v>
      </c>
      <c r="G1325" s="175" t="s">
        <v>19</v>
      </c>
      <c r="H1325" s="172" t="s">
        <v>20</v>
      </c>
      <c r="I1325" s="175">
        <v>1</v>
      </c>
      <c r="J1325" s="175" t="s">
        <v>18</v>
      </c>
      <c r="K1325" s="175" t="s">
        <v>85</v>
      </c>
      <c r="L1325" s="172" t="s">
        <v>86</v>
      </c>
    </row>
    <row r="1326" spans="1:12" x14ac:dyDescent="0.2">
      <c r="A1326" s="172" t="s">
        <v>83</v>
      </c>
      <c r="B1326" s="172" t="s">
        <v>84</v>
      </c>
      <c r="C1326" s="172" t="s">
        <v>21</v>
      </c>
      <c r="D1326" s="172" t="s">
        <v>15</v>
      </c>
      <c r="E1326" s="173">
        <v>42101</v>
      </c>
      <c r="F1326" s="174">
        <v>3.8</v>
      </c>
      <c r="G1326" s="175" t="s">
        <v>16</v>
      </c>
      <c r="H1326" s="172" t="s">
        <v>17</v>
      </c>
      <c r="I1326" s="175">
        <v>1</v>
      </c>
      <c r="J1326" s="175" t="s">
        <v>18</v>
      </c>
      <c r="K1326" s="175" t="s">
        <v>85</v>
      </c>
      <c r="L1326" s="172" t="s">
        <v>86</v>
      </c>
    </row>
    <row r="1327" spans="1:12" x14ac:dyDescent="0.2">
      <c r="A1327" s="172" t="s">
        <v>83</v>
      </c>
      <c r="B1327" s="172" t="s">
        <v>84</v>
      </c>
      <c r="C1327" s="172" t="s">
        <v>21</v>
      </c>
      <c r="D1327" s="172" t="s">
        <v>15</v>
      </c>
      <c r="E1327" s="173">
        <v>42101</v>
      </c>
      <c r="F1327" s="174">
        <v>12.6768</v>
      </c>
      <c r="G1327" s="175" t="s">
        <v>19</v>
      </c>
      <c r="H1327" s="172" t="s">
        <v>17</v>
      </c>
      <c r="I1327" s="175">
        <v>1</v>
      </c>
      <c r="J1327" s="175" t="s">
        <v>18</v>
      </c>
      <c r="K1327" s="175" t="s">
        <v>85</v>
      </c>
      <c r="L1327" s="172" t="s">
        <v>86</v>
      </c>
    </row>
    <row r="1328" spans="1:12" x14ac:dyDescent="0.2">
      <c r="A1328" s="172" t="s">
        <v>83</v>
      </c>
      <c r="B1328" s="172" t="s">
        <v>84</v>
      </c>
      <c r="C1328" s="172" t="s">
        <v>21</v>
      </c>
      <c r="D1328" s="172" t="s">
        <v>15</v>
      </c>
      <c r="E1328" s="173">
        <v>42101</v>
      </c>
      <c r="F1328" s="174">
        <v>1.7</v>
      </c>
      <c r="G1328" s="175" t="s">
        <v>16</v>
      </c>
      <c r="H1328" s="172" t="s">
        <v>20</v>
      </c>
      <c r="I1328" s="175">
        <v>1</v>
      </c>
      <c r="J1328" s="175" t="s">
        <v>18</v>
      </c>
      <c r="K1328" s="175" t="s">
        <v>85</v>
      </c>
      <c r="L1328" s="172" t="s">
        <v>86</v>
      </c>
    </row>
    <row r="1329" spans="1:12" x14ac:dyDescent="0.2">
      <c r="A1329" s="172" t="s">
        <v>83</v>
      </c>
      <c r="B1329" s="172" t="s">
        <v>84</v>
      </c>
      <c r="C1329" s="172" t="s">
        <v>21</v>
      </c>
      <c r="D1329" s="172" t="s">
        <v>15</v>
      </c>
      <c r="E1329" s="173">
        <v>42101</v>
      </c>
      <c r="F1329" s="174">
        <v>5.6711999999999998</v>
      </c>
      <c r="G1329" s="175" t="s">
        <v>19</v>
      </c>
      <c r="H1329" s="172" t="s">
        <v>20</v>
      </c>
      <c r="I1329" s="175">
        <v>1</v>
      </c>
      <c r="J1329" s="175" t="s">
        <v>18</v>
      </c>
      <c r="K1329" s="175" t="s">
        <v>85</v>
      </c>
      <c r="L1329" s="172" t="s">
        <v>86</v>
      </c>
    </row>
    <row r="1330" spans="1:12" x14ac:dyDescent="0.2">
      <c r="A1330" s="172" t="s">
        <v>83</v>
      </c>
      <c r="B1330" s="172" t="s">
        <v>84</v>
      </c>
      <c r="C1330" s="172" t="s">
        <v>21</v>
      </c>
      <c r="D1330" s="172" t="s">
        <v>15</v>
      </c>
      <c r="E1330" s="173">
        <v>42095</v>
      </c>
      <c r="F1330" s="174">
        <v>3.4</v>
      </c>
      <c r="G1330" s="175" t="s">
        <v>16</v>
      </c>
      <c r="H1330" s="172" t="s">
        <v>17</v>
      </c>
      <c r="I1330" s="175">
        <v>1</v>
      </c>
      <c r="J1330" s="175" t="s">
        <v>18</v>
      </c>
      <c r="K1330" s="175" t="s">
        <v>85</v>
      </c>
      <c r="L1330" s="172" t="s">
        <v>86</v>
      </c>
    </row>
    <row r="1331" spans="1:12" x14ac:dyDescent="0.2">
      <c r="A1331" s="172" t="s">
        <v>83</v>
      </c>
      <c r="B1331" s="172" t="s">
        <v>84</v>
      </c>
      <c r="C1331" s="172" t="s">
        <v>21</v>
      </c>
      <c r="D1331" s="172" t="s">
        <v>15</v>
      </c>
      <c r="E1331" s="173">
        <v>42095</v>
      </c>
      <c r="F1331" s="174">
        <v>12.504996</v>
      </c>
      <c r="G1331" s="175" t="s">
        <v>19</v>
      </c>
      <c r="H1331" s="172" t="s">
        <v>17</v>
      </c>
      <c r="I1331" s="175">
        <v>1</v>
      </c>
      <c r="J1331" s="175" t="s">
        <v>18</v>
      </c>
      <c r="K1331" s="175" t="s">
        <v>85</v>
      </c>
      <c r="L1331" s="172" t="s">
        <v>86</v>
      </c>
    </row>
    <row r="1332" spans="1:12" x14ac:dyDescent="0.2">
      <c r="A1332" s="172" t="s">
        <v>83</v>
      </c>
      <c r="B1332" s="172" t="s">
        <v>84</v>
      </c>
      <c r="C1332" s="172" t="s">
        <v>21</v>
      </c>
      <c r="D1332" s="172" t="s">
        <v>15</v>
      </c>
      <c r="E1332" s="173">
        <v>42095</v>
      </c>
      <c r="F1332" s="174">
        <v>1.8</v>
      </c>
      <c r="G1332" s="175" t="s">
        <v>16</v>
      </c>
      <c r="H1332" s="172" t="s">
        <v>20</v>
      </c>
      <c r="I1332" s="175">
        <v>1</v>
      </c>
      <c r="J1332" s="175" t="s">
        <v>18</v>
      </c>
      <c r="K1332" s="175" t="s">
        <v>85</v>
      </c>
      <c r="L1332" s="172" t="s">
        <v>86</v>
      </c>
    </row>
    <row r="1333" spans="1:12" x14ac:dyDescent="0.2">
      <c r="A1333" s="172" t="s">
        <v>83</v>
      </c>
      <c r="B1333" s="172" t="s">
        <v>84</v>
      </c>
      <c r="C1333" s="172" t="s">
        <v>21</v>
      </c>
      <c r="D1333" s="172" t="s">
        <v>15</v>
      </c>
      <c r="E1333" s="173">
        <v>42095</v>
      </c>
      <c r="F1333" s="174">
        <v>6.6202920000000001</v>
      </c>
      <c r="G1333" s="175" t="s">
        <v>19</v>
      </c>
      <c r="H1333" s="172" t="s">
        <v>20</v>
      </c>
      <c r="I1333" s="175">
        <v>1</v>
      </c>
      <c r="J1333" s="175" t="s">
        <v>18</v>
      </c>
      <c r="K1333" s="175" t="s">
        <v>85</v>
      </c>
      <c r="L1333" s="172" t="s">
        <v>86</v>
      </c>
    </row>
    <row r="1334" spans="1:12" x14ac:dyDescent="0.2">
      <c r="A1334" s="172" t="s">
        <v>83</v>
      </c>
      <c r="B1334" s="172" t="s">
        <v>84</v>
      </c>
      <c r="C1334" s="172" t="s">
        <v>21</v>
      </c>
      <c r="D1334" s="172" t="s">
        <v>15</v>
      </c>
      <c r="E1334" s="173">
        <v>42087</v>
      </c>
      <c r="F1334" s="174">
        <v>3.9</v>
      </c>
      <c r="G1334" s="175" t="s">
        <v>16</v>
      </c>
      <c r="H1334" s="172" t="s">
        <v>17</v>
      </c>
      <c r="I1334" s="175">
        <v>1</v>
      </c>
      <c r="J1334" s="175" t="s">
        <v>18</v>
      </c>
      <c r="K1334" s="175" t="s">
        <v>85</v>
      </c>
      <c r="L1334" s="172" t="s">
        <v>86</v>
      </c>
    </row>
    <row r="1335" spans="1:12" x14ac:dyDescent="0.2">
      <c r="A1335" s="172" t="s">
        <v>83</v>
      </c>
      <c r="B1335" s="172" t="s">
        <v>84</v>
      </c>
      <c r="C1335" s="172" t="s">
        <v>21</v>
      </c>
      <c r="D1335" s="172" t="s">
        <v>15</v>
      </c>
      <c r="E1335" s="173">
        <v>42087</v>
      </c>
      <c r="F1335" s="174">
        <v>12.489984</v>
      </c>
      <c r="G1335" s="175" t="s">
        <v>19</v>
      </c>
      <c r="H1335" s="172" t="s">
        <v>17</v>
      </c>
      <c r="I1335" s="175">
        <v>1</v>
      </c>
      <c r="J1335" s="175" t="s">
        <v>18</v>
      </c>
      <c r="K1335" s="175" t="s">
        <v>85</v>
      </c>
      <c r="L1335" s="172" t="s">
        <v>86</v>
      </c>
    </row>
    <row r="1336" spans="1:12" x14ac:dyDescent="0.2">
      <c r="A1336" s="172" t="s">
        <v>83</v>
      </c>
      <c r="B1336" s="172" t="s">
        <v>84</v>
      </c>
      <c r="C1336" s="172" t="s">
        <v>21</v>
      </c>
      <c r="D1336" s="172" t="s">
        <v>15</v>
      </c>
      <c r="E1336" s="173">
        <v>42087</v>
      </c>
      <c r="F1336" s="174">
        <v>2.1</v>
      </c>
      <c r="G1336" s="175" t="s">
        <v>16</v>
      </c>
      <c r="H1336" s="172" t="s">
        <v>20</v>
      </c>
      <c r="I1336" s="175">
        <v>1</v>
      </c>
      <c r="J1336" s="175" t="s">
        <v>18</v>
      </c>
      <c r="K1336" s="175" t="s">
        <v>85</v>
      </c>
      <c r="L1336" s="172" t="s">
        <v>86</v>
      </c>
    </row>
    <row r="1337" spans="1:12" x14ac:dyDescent="0.2">
      <c r="A1337" s="172" t="s">
        <v>83</v>
      </c>
      <c r="B1337" s="172" t="s">
        <v>84</v>
      </c>
      <c r="C1337" s="172" t="s">
        <v>21</v>
      </c>
      <c r="D1337" s="172" t="s">
        <v>15</v>
      </c>
      <c r="E1337" s="173">
        <v>42087</v>
      </c>
      <c r="F1337" s="174">
        <v>6.7253759999999998</v>
      </c>
      <c r="G1337" s="175" t="s">
        <v>19</v>
      </c>
      <c r="H1337" s="172" t="s">
        <v>20</v>
      </c>
      <c r="I1337" s="175">
        <v>1</v>
      </c>
      <c r="J1337" s="175" t="s">
        <v>18</v>
      </c>
      <c r="K1337" s="175" t="s">
        <v>85</v>
      </c>
      <c r="L1337" s="172" t="s">
        <v>86</v>
      </c>
    </row>
    <row r="1338" spans="1:12" x14ac:dyDescent="0.2">
      <c r="A1338" s="172" t="s">
        <v>83</v>
      </c>
      <c r="B1338" s="172" t="s">
        <v>84</v>
      </c>
      <c r="C1338" s="172" t="s">
        <v>21</v>
      </c>
      <c r="D1338" s="172" t="s">
        <v>15</v>
      </c>
      <c r="E1338" s="173">
        <v>42080</v>
      </c>
      <c r="F1338" s="174">
        <v>3.2</v>
      </c>
      <c r="G1338" s="175" t="s">
        <v>16</v>
      </c>
      <c r="H1338" s="172" t="s">
        <v>17</v>
      </c>
      <c r="I1338" s="175">
        <v>1</v>
      </c>
      <c r="J1338" s="175" t="s">
        <v>18</v>
      </c>
      <c r="K1338" s="175" t="s">
        <v>85</v>
      </c>
      <c r="L1338" s="172" t="s">
        <v>86</v>
      </c>
    </row>
    <row r="1339" spans="1:12" x14ac:dyDescent="0.2">
      <c r="A1339" s="172" t="s">
        <v>83</v>
      </c>
      <c r="B1339" s="172" t="s">
        <v>84</v>
      </c>
      <c r="C1339" s="172" t="s">
        <v>21</v>
      </c>
      <c r="D1339" s="172" t="s">
        <v>15</v>
      </c>
      <c r="E1339" s="173">
        <v>42080</v>
      </c>
      <c r="F1339" s="174">
        <v>11.902848000000001</v>
      </c>
      <c r="G1339" s="175" t="s">
        <v>19</v>
      </c>
      <c r="H1339" s="172" t="s">
        <v>17</v>
      </c>
      <c r="I1339" s="175">
        <v>1</v>
      </c>
      <c r="J1339" s="175" t="s">
        <v>18</v>
      </c>
      <c r="K1339" s="175" t="s">
        <v>85</v>
      </c>
      <c r="L1339" s="172" t="s">
        <v>86</v>
      </c>
    </row>
    <row r="1340" spans="1:12" x14ac:dyDescent="0.2">
      <c r="A1340" s="172" t="s">
        <v>83</v>
      </c>
      <c r="B1340" s="172" t="s">
        <v>84</v>
      </c>
      <c r="C1340" s="172" t="s">
        <v>21</v>
      </c>
      <c r="D1340" s="172" t="s">
        <v>15</v>
      </c>
      <c r="E1340" s="173">
        <v>42080</v>
      </c>
      <c r="F1340" s="174">
        <v>1.4</v>
      </c>
      <c r="G1340" s="175" t="s">
        <v>16</v>
      </c>
      <c r="H1340" s="172" t="s">
        <v>20</v>
      </c>
      <c r="I1340" s="175">
        <v>1</v>
      </c>
      <c r="J1340" s="175" t="s">
        <v>18</v>
      </c>
      <c r="K1340" s="175" t="s">
        <v>85</v>
      </c>
      <c r="L1340" s="172" t="s">
        <v>86</v>
      </c>
    </row>
    <row r="1341" spans="1:12" x14ac:dyDescent="0.2">
      <c r="A1341" s="172" t="s">
        <v>83</v>
      </c>
      <c r="B1341" s="172" t="s">
        <v>84</v>
      </c>
      <c r="C1341" s="172" t="s">
        <v>21</v>
      </c>
      <c r="D1341" s="172" t="s">
        <v>15</v>
      </c>
      <c r="E1341" s="173">
        <v>42080</v>
      </c>
      <c r="F1341" s="174">
        <v>5.2074959999999999</v>
      </c>
      <c r="G1341" s="175" t="s">
        <v>19</v>
      </c>
      <c r="H1341" s="172" t="s">
        <v>20</v>
      </c>
      <c r="I1341" s="175">
        <v>1</v>
      </c>
      <c r="J1341" s="175" t="s">
        <v>18</v>
      </c>
      <c r="K1341" s="175" t="s">
        <v>85</v>
      </c>
      <c r="L1341" s="172" t="s">
        <v>86</v>
      </c>
    </row>
    <row r="1342" spans="1:12" x14ac:dyDescent="0.2">
      <c r="A1342" s="172" t="s">
        <v>83</v>
      </c>
      <c r="B1342" s="172" t="s">
        <v>84</v>
      </c>
      <c r="C1342" s="172" t="s">
        <v>21</v>
      </c>
      <c r="D1342" s="172" t="s">
        <v>15</v>
      </c>
      <c r="E1342" s="173">
        <v>42074</v>
      </c>
      <c r="F1342" s="174">
        <v>0.3</v>
      </c>
      <c r="G1342" s="175" t="s">
        <v>16</v>
      </c>
      <c r="H1342" s="172" t="s">
        <v>17</v>
      </c>
      <c r="I1342" s="175">
        <v>1</v>
      </c>
      <c r="J1342" s="175" t="s">
        <v>18</v>
      </c>
      <c r="K1342" s="175" t="s">
        <v>85</v>
      </c>
      <c r="L1342" s="172" t="s">
        <v>86</v>
      </c>
    </row>
    <row r="1343" spans="1:12" x14ac:dyDescent="0.2">
      <c r="A1343" s="172" t="s">
        <v>83</v>
      </c>
      <c r="B1343" s="172" t="s">
        <v>84</v>
      </c>
      <c r="C1343" s="172" t="s">
        <v>21</v>
      </c>
      <c r="D1343" s="172" t="s">
        <v>15</v>
      </c>
      <c r="E1343" s="173">
        <v>42074</v>
      </c>
      <c r="F1343" s="174">
        <v>1.721376</v>
      </c>
      <c r="G1343" s="175" t="s">
        <v>19</v>
      </c>
      <c r="H1343" s="172" t="s">
        <v>17</v>
      </c>
      <c r="I1343" s="175">
        <v>1</v>
      </c>
      <c r="J1343" s="175" t="s">
        <v>18</v>
      </c>
      <c r="K1343" s="175" t="s">
        <v>85</v>
      </c>
      <c r="L1343" s="172" t="s">
        <v>86</v>
      </c>
    </row>
    <row r="1344" spans="1:12" x14ac:dyDescent="0.2">
      <c r="A1344" s="172" t="s">
        <v>83</v>
      </c>
      <c r="B1344" s="172" t="s">
        <v>84</v>
      </c>
      <c r="C1344" s="172" t="s">
        <v>21</v>
      </c>
      <c r="D1344" s="172" t="s">
        <v>15</v>
      </c>
      <c r="E1344" s="173">
        <v>42074</v>
      </c>
      <c r="F1344" s="174">
        <v>1.5</v>
      </c>
      <c r="G1344" s="175" t="s">
        <v>16</v>
      </c>
      <c r="H1344" s="172" t="s">
        <v>20</v>
      </c>
      <c r="I1344" s="175">
        <v>1</v>
      </c>
      <c r="J1344" s="175" t="s">
        <v>18</v>
      </c>
      <c r="K1344" s="175" t="s">
        <v>85</v>
      </c>
      <c r="L1344" s="172" t="s">
        <v>86</v>
      </c>
    </row>
    <row r="1345" spans="1:14" x14ac:dyDescent="0.2">
      <c r="A1345" s="172" t="s">
        <v>83</v>
      </c>
      <c r="B1345" s="172" t="s">
        <v>84</v>
      </c>
      <c r="C1345" s="172" t="s">
        <v>21</v>
      </c>
      <c r="D1345" s="172" t="s">
        <v>15</v>
      </c>
      <c r="E1345" s="173">
        <v>42074</v>
      </c>
      <c r="F1345" s="174">
        <v>8.6068800000000003</v>
      </c>
      <c r="G1345" s="175" t="s">
        <v>19</v>
      </c>
      <c r="H1345" s="172" t="s">
        <v>20</v>
      </c>
      <c r="I1345" s="175">
        <v>1</v>
      </c>
      <c r="J1345" s="175" t="s">
        <v>18</v>
      </c>
      <c r="K1345" s="175" t="s">
        <v>85</v>
      </c>
      <c r="L1345" s="172" t="s">
        <v>86</v>
      </c>
    </row>
    <row r="1346" spans="1:14" x14ac:dyDescent="0.2">
      <c r="A1346" s="172" t="s">
        <v>83</v>
      </c>
      <c r="B1346" s="172" t="s">
        <v>84</v>
      </c>
      <c r="C1346" s="172" t="s">
        <v>21</v>
      </c>
      <c r="D1346" s="172" t="s">
        <v>15</v>
      </c>
      <c r="E1346" s="173">
        <v>42066</v>
      </c>
      <c r="F1346" s="174">
        <v>0.46</v>
      </c>
      <c r="G1346" s="175" t="s">
        <v>16</v>
      </c>
      <c r="H1346" s="172" t="s">
        <v>17</v>
      </c>
      <c r="I1346" s="175">
        <v>1</v>
      </c>
      <c r="J1346" s="175" t="s">
        <v>18</v>
      </c>
      <c r="K1346" s="175" t="s">
        <v>85</v>
      </c>
      <c r="L1346" s="172" t="s">
        <v>86</v>
      </c>
    </row>
    <row r="1347" spans="1:14" x14ac:dyDescent="0.2">
      <c r="A1347" s="172" t="s">
        <v>83</v>
      </c>
      <c r="B1347" s="172" t="s">
        <v>84</v>
      </c>
      <c r="C1347" s="172" t="s">
        <v>21</v>
      </c>
      <c r="D1347" s="172" t="s">
        <v>15</v>
      </c>
      <c r="E1347" s="173">
        <v>42066</v>
      </c>
      <c r="F1347" s="174">
        <v>1.189284</v>
      </c>
      <c r="G1347" s="175" t="s">
        <v>19</v>
      </c>
      <c r="H1347" s="172" t="s">
        <v>17</v>
      </c>
      <c r="I1347" s="175">
        <v>1</v>
      </c>
      <c r="J1347" s="175" t="s">
        <v>18</v>
      </c>
      <c r="K1347" s="175" t="s">
        <v>85</v>
      </c>
      <c r="L1347" s="172" t="s">
        <v>86</v>
      </c>
    </row>
    <row r="1348" spans="1:14" x14ac:dyDescent="0.2">
      <c r="A1348" s="172" t="s">
        <v>83</v>
      </c>
      <c r="B1348" s="172" t="s">
        <v>84</v>
      </c>
      <c r="C1348" s="172" t="s">
        <v>21</v>
      </c>
      <c r="D1348" s="172" t="s">
        <v>15</v>
      </c>
      <c r="E1348" s="173">
        <v>42066</v>
      </c>
      <c r="F1348" s="174">
        <v>2.2000000000000002</v>
      </c>
      <c r="G1348" s="175" t="s">
        <v>16</v>
      </c>
      <c r="H1348" s="172" t="s">
        <v>20</v>
      </c>
      <c r="I1348" s="175">
        <v>1</v>
      </c>
      <c r="J1348" s="175" t="s">
        <v>18</v>
      </c>
      <c r="K1348" s="175" t="s">
        <v>85</v>
      </c>
      <c r="L1348" s="172" t="s">
        <v>86</v>
      </c>
    </row>
    <row r="1349" spans="1:14" x14ac:dyDescent="0.2">
      <c r="A1349" s="172" t="s">
        <v>83</v>
      </c>
      <c r="B1349" s="172" t="s">
        <v>84</v>
      </c>
      <c r="C1349" s="172" t="s">
        <v>21</v>
      </c>
      <c r="D1349" s="172" t="s">
        <v>15</v>
      </c>
      <c r="E1349" s="173">
        <v>42066</v>
      </c>
      <c r="F1349" s="174">
        <v>5.6878799999999998</v>
      </c>
      <c r="G1349" s="175" t="s">
        <v>19</v>
      </c>
      <c r="H1349" s="172" t="s">
        <v>20</v>
      </c>
      <c r="I1349" s="175">
        <v>1</v>
      </c>
      <c r="J1349" s="175" t="s">
        <v>18</v>
      </c>
      <c r="K1349" s="175" t="s">
        <v>85</v>
      </c>
      <c r="L1349" s="172" t="s">
        <v>86</v>
      </c>
    </row>
    <row r="1350" spans="1:14" x14ac:dyDescent="0.2">
      <c r="A1350" s="172" t="s">
        <v>83</v>
      </c>
      <c r="B1350" s="172" t="s">
        <v>84</v>
      </c>
      <c r="C1350" s="172" t="s">
        <v>21</v>
      </c>
      <c r="D1350" s="172" t="s">
        <v>15</v>
      </c>
      <c r="E1350" s="173">
        <v>42059</v>
      </c>
      <c r="F1350" s="174">
        <v>5</v>
      </c>
      <c r="G1350" s="175" t="s">
        <v>16</v>
      </c>
      <c r="H1350" s="172" t="s">
        <v>17</v>
      </c>
      <c r="I1350" s="175">
        <v>1</v>
      </c>
      <c r="J1350" s="175" t="s">
        <v>18</v>
      </c>
      <c r="K1350" s="175" t="s">
        <v>85</v>
      </c>
      <c r="L1350" s="172" t="s">
        <v>86</v>
      </c>
    </row>
    <row r="1351" spans="1:14" x14ac:dyDescent="0.2">
      <c r="A1351" s="172" t="s">
        <v>83</v>
      </c>
      <c r="B1351" s="172" t="s">
        <v>84</v>
      </c>
      <c r="C1351" s="172" t="s">
        <v>21</v>
      </c>
      <c r="D1351" s="172" t="s">
        <v>15</v>
      </c>
      <c r="E1351" s="173">
        <v>42059</v>
      </c>
      <c r="F1351" s="174">
        <v>13.7193</v>
      </c>
      <c r="G1351" s="175" t="s">
        <v>19</v>
      </c>
      <c r="H1351" s="172" t="s">
        <v>17</v>
      </c>
      <c r="I1351" s="175">
        <v>1</v>
      </c>
      <c r="J1351" s="175" t="s">
        <v>18</v>
      </c>
      <c r="K1351" s="175" t="s">
        <v>85</v>
      </c>
      <c r="L1351" s="172" t="s">
        <v>86</v>
      </c>
    </row>
    <row r="1352" spans="1:14" x14ac:dyDescent="0.2">
      <c r="A1352" s="172" t="s">
        <v>83</v>
      </c>
      <c r="B1352" s="172" t="s">
        <v>84</v>
      </c>
      <c r="C1352" s="172" t="s">
        <v>21</v>
      </c>
      <c r="D1352" s="172" t="s">
        <v>15</v>
      </c>
      <c r="E1352" s="173">
        <v>42059</v>
      </c>
      <c r="F1352" s="174">
        <v>2.5</v>
      </c>
      <c r="G1352" s="175" t="s">
        <v>16</v>
      </c>
      <c r="H1352" s="172" t="s">
        <v>20</v>
      </c>
      <c r="I1352" s="175">
        <v>1</v>
      </c>
      <c r="J1352" s="175" t="s">
        <v>18</v>
      </c>
      <c r="K1352" s="175" t="s">
        <v>85</v>
      </c>
      <c r="L1352" s="172" t="s">
        <v>86</v>
      </c>
    </row>
    <row r="1353" spans="1:14" x14ac:dyDescent="0.2">
      <c r="A1353" s="172" t="s">
        <v>83</v>
      </c>
      <c r="B1353" s="172" t="s">
        <v>84</v>
      </c>
      <c r="C1353" s="172" t="s">
        <v>21</v>
      </c>
      <c r="D1353" s="172" t="s">
        <v>15</v>
      </c>
      <c r="E1353" s="173">
        <v>42059</v>
      </c>
      <c r="F1353" s="174">
        <v>6.8596500000000002</v>
      </c>
      <c r="G1353" s="175" t="s">
        <v>19</v>
      </c>
      <c r="H1353" s="172" t="s">
        <v>20</v>
      </c>
      <c r="I1353" s="175">
        <v>1</v>
      </c>
      <c r="J1353" s="175" t="s">
        <v>18</v>
      </c>
      <c r="K1353" s="175" t="s">
        <v>85</v>
      </c>
      <c r="L1353" s="172" t="s">
        <v>86</v>
      </c>
    </row>
    <row r="1354" spans="1:14" x14ac:dyDescent="0.2">
      <c r="A1354" s="172" t="s">
        <v>83</v>
      </c>
      <c r="B1354" s="172" t="s">
        <v>84</v>
      </c>
      <c r="C1354" s="172" t="s">
        <v>21</v>
      </c>
      <c r="D1354" s="172" t="s">
        <v>15</v>
      </c>
      <c r="E1354" s="173">
        <v>42052</v>
      </c>
      <c r="F1354" s="174">
        <v>5</v>
      </c>
      <c r="G1354" s="175" t="s">
        <v>16</v>
      </c>
      <c r="H1354" s="172" t="s">
        <v>17</v>
      </c>
      <c r="I1354" s="175">
        <v>1</v>
      </c>
      <c r="J1354" s="175" t="s">
        <v>18</v>
      </c>
      <c r="K1354" s="175" t="s">
        <v>85</v>
      </c>
      <c r="L1354" s="172" t="s">
        <v>86</v>
      </c>
    </row>
    <row r="1355" spans="1:14" x14ac:dyDescent="0.2">
      <c r="A1355" s="172" t="s">
        <v>83</v>
      </c>
      <c r="B1355" s="172" t="s">
        <v>84</v>
      </c>
      <c r="C1355" s="172" t="s">
        <v>21</v>
      </c>
      <c r="D1355" s="172" t="s">
        <v>15</v>
      </c>
      <c r="E1355" s="173">
        <v>42052</v>
      </c>
      <c r="F1355" s="174">
        <v>13.9695</v>
      </c>
      <c r="G1355" s="175" t="s">
        <v>19</v>
      </c>
      <c r="H1355" s="172" t="s">
        <v>17</v>
      </c>
      <c r="I1355" s="175">
        <v>1</v>
      </c>
      <c r="J1355" s="175" t="s">
        <v>18</v>
      </c>
      <c r="K1355" s="175" t="s">
        <v>85</v>
      </c>
      <c r="L1355" s="172" t="s">
        <v>86</v>
      </c>
    </row>
    <row r="1356" spans="1:14" x14ac:dyDescent="0.2">
      <c r="A1356" s="172" t="s">
        <v>83</v>
      </c>
      <c r="B1356" s="172" t="s">
        <v>84</v>
      </c>
      <c r="C1356" s="172" t="s">
        <v>21</v>
      </c>
      <c r="D1356" s="172" t="s">
        <v>15</v>
      </c>
      <c r="E1356" s="173">
        <v>42052</v>
      </c>
      <c r="F1356" s="174">
        <v>2.4</v>
      </c>
      <c r="G1356" s="175" t="s">
        <v>16</v>
      </c>
      <c r="H1356" s="172" t="s">
        <v>20</v>
      </c>
      <c r="I1356" s="175">
        <v>1</v>
      </c>
      <c r="J1356" s="175" t="s">
        <v>18</v>
      </c>
      <c r="K1356" s="175" t="s">
        <v>85</v>
      </c>
      <c r="L1356" s="172" t="s">
        <v>86</v>
      </c>
    </row>
    <row r="1357" spans="1:14" x14ac:dyDescent="0.2">
      <c r="A1357" s="172" t="s">
        <v>83</v>
      </c>
      <c r="B1357" s="172" t="s">
        <v>84</v>
      </c>
      <c r="C1357" s="172" t="s">
        <v>21</v>
      </c>
      <c r="D1357" s="172" t="s">
        <v>15</v>
      </c>
      <c r="E1357" s="173">
        <v>42052</v>
      </c>
      <c r="F1357" s="174">
        <v>6.7053599999999998</v>
      </c>
      <c r="G1357" s="175" t="s">
        <v>19</v>
      </c>
      <c r="H1357" s="172" t="s">
        <v>20</v>
      </c>
      <c r="I1357" s="175">
        <v>1</v>
      </c>
      <c r="J1357" s="175" t="s">
        <v>18</v>
      </c>
      <c r="K1357" s="175" t="s">
        <v>85</v>
      </c>
      <c r="L1357" s="172" t="s">
        <v>86</v>
      </c>
    </row>
    <row r="1358" spans="1:14" s="186" customFormat="1" x14ac:dyDescent="0.2">
      <c r="A1358" s="172" t="s">
        <v>83</v>
      </c>
      <c r="B1358" s="172" t="s">
        <v>84</v>
      </c>
      <c r="C1358" s="172" t="s">
        <v>21</v>
      </c>
      <c r="D1358" s="172" t="s">
        <v>15</v>
      </c>
      <c r="E1358" s="173">
        <v>42045</v>
      </c>
      <c r="F1358" s="174">
        <v>4.0999999999999996</v>
      </c>
      <c r="G1358" s="175" t="s">
        <v>16</v>
      </c>
      <c r="H1358" s="172" t="s">
        <v>17</v>
      </c>
      <c r="I1358" s="175">
        <v>1</v>
      </c>
      <c r="J1358" s="175" t="s">
        <v>18</v>
      </c>
      <c r="K1358" s="175" t="s">
        <v>85</v>
      </c>
      <c r="L1358" s="172" t="s">
        <v>86</v>
      </c>
      <c r="M1358" s="115"/>
      <c r="N1358" s="115"/>
    </row>
    <row r="1359" spans="1:14" s="186" customFormat="1" x14ac:dyDescent="0.2">
      <c r="A1359" s="172" t="s">
        <v>83</v>
      </c>
      <c r="B1359" s="172" t="s">
        <v>84</v>
      </c>
      <c r="C1359" s="172" t="s">
        <v>21</v>
      </c>
      <c r="D1359" s="172" t="s">
        <v>15</v>
      </c>
      <c r="E1359" s="173">
        <v>42045</v>
      </c>
      <c r="F1359" s="174">
        <v>13.062108</v>
      </c>
      <c r="G1359" s="175" t="s">
        <v>19</v>
      </c>
      <c r="H1359" s="172" t="s">
        <v>17</v>
      </c>
      <c r="I1359" s="175">
        <v>1</v>
      </c>
      <c r="J1359" s="175" t="s">
        <v>18</v>
      </c>
      <c r="K1359" s="175" t="s">
        <v>85</v>
      </c>
      <c r="L1359" s="172" t="s">
        <v>86</v>
      </c>
      <c r="M1359" s="115"/>
      <c r="N1359" s="115"/>
    </row>
    <row r="1360" spans="1:14" s="186" customFormat="1" x14ac:dyDescent="0.2">
      <c r="A1360" s="172" t="s">
        <v>83</v>
      </c>
      <c r="B1360" s="172" t="s">
        <v>84</v>
      </c>
      <c r="C1360" s="172" t="s">
        <v>21</v>
      </c>
      <c r="D1360" s="172" t="s">
        <v>15</v>
      </c>
      <c r="E1360" s="173">
        <v>42045</v>
      </c>
      <c r="F1360" s="174">
        <v>2.2000000000000002</v>
      </c>
      <c r="G1360" s="175" t="s">
        <v>16</v>
      </c>
      <c r="H1360" s="172" t="s">
        <v>20</v>
      </c>
      <c r="I1360" s="175">
        <v>1</v>
      </c>
      <c r="J1360" s="175" t="s">
        <v>18</v>
      </c>
      <c r="K1360" s="175" t="s">
        <v>85</v>
      </c>
      <c r="L1360" s="172" t="s">
        <v>86</v>
      </c>
      <c r="M1360" s="115"/>
      <c r="N1360" s="115"/>
    </row>
    <row r="1361" spans="1:14" s="186" customFormat="1" x14ac:dyDescent="0.2">
      <c r="A1361" s="172" t="s">
        <v>83</v>
      </c>
      <c r="B1361" s="172" t="s">
        <v>84</v>
      </c>
      <c r="C1361" s="172" t="s">
        <v>21</v>
      </c>
      <c r="D1361" s="172" t="s">
        <v>15</v>
      </c>
      <c r="E1361" s="173">
        <v>42045</v>
      </c>
      <c r="F1361" s="174">
        <v>7.0089360000000003</v>
      </c>
      <c r="G1361" s="175" t="s">
        <v>19</v>
      </c>
      <c r="H1361" s="172" t="s">
        <v>20</v>
      </c>
      <c r="I1361" s="175">
        <v>1</v>
      </c>
      <c r="J1361" s="175" t="s">
        <v>18</v>
      </c>
      <c r="K1361" s="175" t="s">
        <v>85</v>
      </c>
      <c r="L1361" s="172" t="s">
        <v>86</v>
      </c>
      <c r="M1361" s="115"/>
      <c r="N1361" s="115"/>
    </row>
    <row r="1362" spans="1:14" s="186" customFormat="1" x14ac:dyDescent="0.2">
      <c r="A1362" s="172" t="s">
        <v>83</v>
      </c>
      <c r="B1362" s="172" t="s">
        <v>84</v>
      </c>
      <c r="C1362" s="172" t="s">
        <v>21</v>
      </c>
      <c r="D1362" s="172" t="s">
        <v>15</v>
      </c>
      <c r="E1362" s="173">
        <v>42037</v>
      </c>
      <c r="F1362" s="174">
        <v>5.2</v>
      </c>
      <c r="G1362" s="175" t="s">
        <v>16</v>
      </c>
      <c r="H1362" s="172" t="s">
        <v>17</v>
      </c>
      <c r="I1362" s="175">
        <v>1</v>
      </c>
      <c r="J1362" s="175" t="s">
        <v>18</v>
      </c>
      <c r="K1362" s="175" t="s">
        <v>85</v>
      </c>
      <c r="L1362" s="172" t="s">
        <v>86</v>
      </c>
      <c r="M1362" s="115"/>
      <c r="N1362" s="115"/>
    </row>
    <row r="1363" spans="1:14" s="186" customFormat="1" x14ac:dyDescent="0.2">
      <c r="A1363" s="172" t="s">
        <v>83</v>
      </c>
      <c r="B1363" s="172" t="s">
        <v>84</v>
      </c>
      <c r="C1363" s="172" t="s">
        <v>21</v>
      </c>
      <c r="D1363" s="172" t="s">
        <v>15</v>
      </c>
      <c r="E1363" s="173">
        <v>42037</v>
      </c>
      <c r="F1363" s="174">
        <v>15.178800000000001</v>
      </c>
      <c r="G1363" s="175" t="s">
        <v>19</v>
      </c>
      <c r="H1363" s="172" t="s">
        <v>17</v>
      </c>
      <c r="I1363" s="175">
        <v>1</v>
      </c>
      <c r="J1363" s="175" t="s">
        <v>18</v>
      </c>
      <c r="K1363" s="175" t="s">
        <v>85</v>
      </c>
      <c r="L1363" s="172" t="s">
        <v>86</v>
      </c>
      <c r="M1363" s="115"/>
      <c r="N1363" s="115"/>
    </row>
    <row r="1364" spans="1:14" s="186" customFormat="1" x14ac:dyDescent="0.2">
      <c r="A1364" s="172" t="s">
        <v>83</v>
      </c>
      <c r="B1364" s="172" t="s">
        <v>84</v>
      </c>
      <c r="C1364" s="172" t="s">
        <v>21</v>
      </c>
      <c r="D1364" s="172" t="s">
        <v>15</v>
      </c>
      <c r="E1364" s="173">
        <v>42037</v>
      </c>
      <c r="F1364" s="174">
        <v>2.2000000000000002</v>
      </c>
      <c r="G1364" s="175" t="s">
        <v>16</v>
      </c>
      <c r="H1364" s="172" t="s">
        <v>20</v>
      </c>
      <c r="I1364" s="175">
        <v>1</v>
      </c>
      <c r="J1364" s="175" t="s">
        <v>18</v>
      </c>
      <c r="K1364" s="175" t="s">
        <v>85</v>
      </c>
      <c r="L1364" s="172" t="s">
        <v>86</v>
      </c>
      <c r="M1364" s="115"/>
      <c r="N1364" s="115"/>
    </row>
    <row r="1365" spans="1:14" s="186" customFormat="1" x14ac:dyDescent="0.2">
      <c r="A1365" s="172" t="s">
        <v>83</v>
      </c>
      <c r="B1365" s="172" t="s">
        <v>84</v>
      </c>
      <c r="C1365" s="172" t="s">
        <v>21</v>
      </c>
      <c r="D1365" s="172" t="s">
        <v>15</v>
      </c>
      <c r="E1365" s="173">
        <v>42037</v>
      </c>
      <c r="F1365" s="174">
        <v>6.4218000000000002</v>
      </c>
      <c r="G1365" s="175" t="s">
        <v>19</v>
      </c>
      <c r="H1365" s="172" t="s">
        <v>20</v>
      </c>
      <c r="I1365" s="175">
        <v>1</v>
      </c>
      <c r="J1365" s="175" t="s">
        <v>18</v>
      </c>
      <c r="K1365" s="175" t="s">
        <v>85</v>
      </c>
      <c r="L1365" s="172" t="s">
        <v>86</v>
      </c>
      <c r="M1365" s="115"/>
      <c r="N1365" s="115"/>
    </row>
    <row r="1366" spans="1:14" s="186" customFormat="1" x14ac:dyDescent="0.2">
      <c r="A1366" s="172" t="s">
        <v>83</v>
      </c>
      <c r="B1366" s="172" t="s">
        <v>84</v>
      </c>
      <c r="C1366" s="172" t="s">
        <v>21</v>
      </c>
      <c r="D1366" s="172" t="s">
        <v>15</v>
      </c>
      <c r="E1366" s="173">
        <v>42031</v>
      </c>
      <c r="F1366" s="174">
        <v>5.2</v>
      </c>
      <c r="G1366" s="175" t="s">
        <v>16</v>
      </c>
      <c r="H1366" s="172" t="s">
        <v>17</v>
      </c>
      <c r="I1366" s="175">
        <v>1</v>
      </c>
      <c r="J1366" s="175" t="s">
        <v>18</v>
      </c>
      <c r="K1366" s="175" t="s">
        <v>85</v>
      </c>
      <c r="L1366" s="172" t="s">
        <v>86</v>
      </c>
      <c r="M1366" s="115"/>
      <c r="N1366" s="115"/>
    </row>
    <row r="1367" spans="1:14" s="186" customFormat="1" x14ac:dyDescent="0.2">
      <c r="A1367" s="172" t="s">
        <v>83</v>
      </c>
      <c r="B1367" s="172" t="s">
        <v>84</v>
      </c>
      <c r="C1367" s="172" t="s">
        <v>21</v>
      </c>
      <c r="D1367" s="172" t="s">
        <v>15</v>
      </c>
      <c r="E1367" s="173">
        <v>42031</v>
      </c>
      <c r="F1367" s="174">
        <v>20.252856000000001</v>
      </c>
      <c r="G1367" s="175" t="s">
        <v>19</v>
      </c>
      <c r="H1367" s="172" t="s">
        <v>17</v>
      </c>
      <c r="I1367" s="175">
        <v>1</v>
      </c>
      <c r="J1367" s="175" t="s">
        <v>18</v>
      </c>
      <c r="K1367" s="175" t="s">
        <v>85</v>
      </c>
      <c r="L1367" s="172" t="s">
        <v>86</v>
      </c>
      <c r="M1367" s="115"/>
      <c r="N1367" s="115"/>
    </row>
    <row r="1368" spans="1:14" s="186" customFormat="1" x14ac:dyDescent="0.2">
      <c r="A1368" s="172" t="s">
        <v>83</v>
      </c>
      <c r="B1368" s="172" t="s">
        <v>84</v>
      </c>
      <c r="C1368" s="172" t="s">
        <v>21</v>
      </c>
      <c r="D1368" s="172" t="s">
        <v>15</v>
      </c>
      <c r="E1368" s="173">
        <v>42031</v>
      </c>
      <c r="F1368" s="174">
        <v>1.8</v>
      </c>
      <c r="G1368" s="175" t="s">
        <v>16</v>
      </c>
      <c r="H1368" s="172" t="s">
        <v>20</v>
      </c>
      <c r="I1368" s="175">
        <v>1</v>
      </c>
      <c r="J1368" s="175" t="s">
        <v>18</v>
      </c>
      <c r="K1368" s="175" t="s">
        <v>85</v>
      </c>
      <c r="L1368" s="172" t="s">
        <v>86</v>
      </c>
      <c r="M1368" s="115"/>
      <c r="N1368" s="115"/>
    </row>
    <row r="1369" spans="1:14" s="186" customFormat="1" x14ac:dyDescent="0.2">
      <c r="A1369" s="172" t="s">
        <v>83</v>
      </c>
      <c r="B1369" s="172" t="s">
        <v>84</v>
      </c>
      <c r="C1369" s="172" t="s">
        <v>21</v>
      </c>
      <c r="D1369" s="172" t="s">
        <v>15</v>
      </c>
      <c r="E1369" s="173">
        <v>42031</v>
      </c>
      <c r="F1369" s="174">
        <v>7.0106039999999998</v>
      </c>
      <c r="G1369" s="175" t="s">
        <v>19</v>
      </c>
      <c r="H1369" s="172" t="s">
        <v>20</v>
      </c>
      <c r="I1369" s="175">
        <v>1</v>
      </c>
      <c r="J1369" s="175" t="s">
        <v>18</v>
      </c>
      <c r="K1369" s="175" t="s">
        <v>85</v>
      </c>
      <c r="L1369" s="172" t="s">
        <v>86</v>
      </c>
      <c r="M1369" s="115"/>
      <c r="N1369" s="115"/>
    </row>
    <row r="1370" spans="1:14" s="186" customFormat="1" x14ac:dyDescent="0.2">
      <c r="A1370" s="172" t="s">
        <v>83</v>
      </c>
      <c r="B1370" s="172" t="s">
        <v>84</v>
      </c>
      <c r="C1370" s="172" t="s">
        <v>21</v>
      </c>
      <c r="D1370" s="172" t="s">
        <v>15</v>
      </c>
      <c r="E1370" s="173">
        <v>42024</v>
      </c>
      <c r="F1370" s="174">
        <v>5</v>
      </c>
      <c r="G1370" s="175" t="s">
        <v>16</v>
      </c>
      <c r="H1370" s="172" t="s">
        <v>17</v>
      </c>
      <c r="I1370" s="175">
        <v>1</v>
      </c>
      <c r="J1370" s="175" t="s">
        <v>18</v>
      </c>
      <c r="K1370" s="175" t="s">
        <v>85</v>
      </c>
      <c r="L1370" s="172" t="s">
        <v>86</v>
      </c>
      <c r="M1370" s="115"/>
      <c r="N1370" s="115"/>
    </row>
    <row r="1371" spans="1:14" s="186" customFormat="1" x14ac:dyDescent="0.2">
      <c r="A1371" s="172" t="s">
        <v>83</v>
      </c>
      <c r="B1371" s="172" t="s">
        <v>84</v>
      </c>
      <c r="C1371" s="172" t="s">
        <v>21</v>
      </c>
      <c r="D1371" s="172" t="s">
        <v>15</v>
      </c>
      <c r="E1371" s="173">
        <v>42024</v>
      </c>
      <c r="F1371" s="174">
        <v>15.637499999999999</v>
      </c>
      <c r="G1371" s="175" t="s">
        <v>19</v>
      </c>
      <c r="H1371" s="172" t="s">
        <v>17</v>
      </c>
      <c r="I1371" s="175">
        <v>1</v>
      </c>
      <c r="J1371" s="175" t="s">
        <v>18</v>
      </c>
      <c r="K1371" s="175" t="s">
        <v>85</v>
      </c>
      <c r="L1371" s="172" t="s">
        <v>86</v>
      </c>
      <c r="M1371" s="115"/>
      <c r="N1371" s="115"/>
    </row>
    <row r="1372" spans="1:14" s="186" customFormat="1" x14ac:dyDescent="0.2">
      <c r="A1372" s="172" t="s">
        <v>83</v>
      </c>
      <c r="B1372" s="172" t="s">
        <v>84</v>
      </c>
      <c r="C1372" s="172" t="s">
        <v>21</v>
      </c>
      <c r="D1372" s="172" t="s">
        <v>15</v>
      </c>
      <c r="E1372" s="173">
        <v>42024</v>
      </c>
      <c r="F1372" s="174">
        <v>2.2000000000000002</v>
      </c>
      <c r="G1372" s="175" t="s">
        <v>16</v>
      </c>
      <c r="H1372" s="172" t="s">
        <v>20</v>
      </c>
      <c r="I1372" s="175">
        <v>1</v>
      </c>
      <c r="J1372" s="175" t="s">
        <v>18</v>
      </c>
      <c r="K1372" s="175" t="s">
        <v>85</v>
      </c>
      <c r="L1372" s="172" t="s">
        <v>86</v>
      </c>
      <c r="M1372" s="115"/>
      <c r="N1372" s="115"/>
    </row>
    <row r="1373" spans="1:14" s="186" customFormat="1" x14ac:dyDescent="0.2">
      <c r="A1373" s="172" t="s">
        <v>83</v>
      </c>
      <c r="B1373" s="172" t="s">
        <v>84</v>
      </c>
      <c r="C1373" s="172" t="s">
        <v>21</v>
      </c>
      <c r="D1373" s="172" t="s">
        <v>15</v>
      </c>
      <c r="E1373" s="173">
        <v>42024</v>
      </c>
      <c r="F1373" s="174">
        <v>6.8804999999999996</v>
      </c>
      <c r="G1373" s="175" t="s">
        <v>19</v>
      </c>
      <c r="H1373" s="172" t="s">
        <v>20</v>
      </c>
      <c r="I1373" s="175">
        <v>1</v>
      </c>
      <c r="J1373" s="175" t="s">
        <v>18</v>
      </c>
      <c r="K1373" s="175" t="s">
        <v>85</v>
      </c>
      <c r="L1373" s="172" t="s">
        <v>86</v>
      </c>
      <c r="M1373" s="115"/>
      <c r="N1373" s="115"/>
    </row>
    <row r="1374" spans="1:14" s="186" customFormat="1" x14ac:dyDescent="0.2">
      <c r="A1374" s="172" t="s">
        <v>83</v>
      </c>
      <c r="B1374" s="172" t="s">
        <v>84</v>
      </c>
      <c r="C1374" s="172" t="s">
        <v>21</v>
      </c>
      <c r="D1374" s="172" t="s">
        <v>15</v>
      </c>
      <c r="E1374" s="173">
        <v>42017</v>
      </c>
      <c r="F1374" s="174">
        <v>4.3</v>
      </c>
      <c r="G1374" s="175" t="s">
        <v>16</v>
      </c>
      <c r="H1374" s="172" t="s">
        <v>17</v>
      </c>
      <c r="I1374" s="175">
        <v>1</v>
      </c>
      <c r="J1374" s="175" t="s">
        <v>18</v>
      </c>
      <c r="K1374" s="175" t="s">
        <v>85</v>
      </c>
      <c r="L1374" s="172" t="s">
        <v>86</v>
      </c>
      <c r="M1374" s="115"/>
      <c r="N1374" s="115"/>
    </row>
    <row r="1375" spans="1:14" s="186" customFormat="1" x14ac:dyDescent="0.2">
      <c r="A1375" s="172" t="s">
        <v>83</v>
      </c>
      <c r="B1375" s="172" t="s">
        <v>84</v>
      </c>
      <c r="C1375" s="172" t="s">
        <v>21</v>
      </c>
      <c r="D1375" s="172" t="s">
        <v>15</v>
      </c>
      <c r="E1375" s="173">
        <v>42017</v>
      </c>
      <c r="F1375" s="174">
        <v>13.340664</v>
      </c>
      <c r="G1375" s="175" t="s">
        <v>19</v>
      </c>
      <c r="H1375" s="172" t="s">
        <v>17</v>
      </c>
      <c r="I1375" s="175">
        <v>1</v>
      </c>
      <c r="J1375" s="175" t="s">
        <v>18</v>
      </c>
      <c r="K1375" s="175" t="s">
        <v>85</v>
      </c>
      <c r="L1375" s="172" t="s">
        <v>86</v>
      </c>
      <c r="M1375" s="115"/>
      <c r="N1375" s="115"/>
    </row>
    <row r="1376" spans="1:14" s="186" customFormat="1" x14ac:dyDescent="0.2">
      <c r="A1376" s="172" t="s">
        <v>83</v>
      </c>
      <c r="B1376" s="172" t="s">
        <v>84</v>
      </c>
      <c r="C1376" s="172" t="s">
        <v>21</v>
      </c>
      <c r="D1376" s="172" t="s">
        <v>15</v>
      </c>
      <c r="E1376" s="173">
        <v>42017</v>
      </c>
      <c r="F1376" s="174">
        <v>2.2999999999999998</v>
      </c>
      <c r="G1376" s="175" t="s">
        <v>16</v>
      </c>
      <c r="H1376" s="172" t="s">
        <v>20</v>
      </c>
      <c r="I1376" s="175">
        <v>1</v>
      </c>
      <c r="J1376" s="175" t="s">
        <v>18</v>
      </c>
      <c r="K1376" s="175" t="s">
        <v>85</v>
      </c>
      <c r="L1376" s="172" t="s">
        <v>86</v>
      </c>
      <c r="M1376" s="115"/>
      <c r="N1376" s="115"/>
    </row>
    <row r="1377" spans="1:14" s="186" customFormat="1" x14ac:dyDescent="0.2">
      <c r="A1377" s="172" t="s">
        <v>83</v>
      </c>
      <c r="B1377" s="172" t="s">
        <v>84</v>
      </c>
      <c r="C1377" s="172" t="s">
        <v>21</v>
      </c>
      <c r="D1377" s="172" t="s">
        <v>15</v>
      </c>
      <c r="E1377" s="173">
        <v>42017</v>
      </c>
      <c r="F1377" s="174">
        <v>7.1357039999999996</v>
      </c>
      <c r="G1377" s="175" t="s">
        <v>19</v>
      </c>
      <c r="H1377" s="172" t="s">
        <v>20</v>
      </c>
      <c r="I1377" s="175">
        <v>1</v>
      </c>
      <c r="J1377" s="175" t="s">
        <v>18</v>
      </c>
      <c r="K1377" s="175" t="s">
        <v>85</v>
      </c>
      <c r="L1377" s="172" t="s">
        <v>86</v>
      </c>
      <c r="M1377" s="115"/>
      <c r="N1377" s="115"/>
    </row>
    <row r="1378" spans="1:14" s="186" customFormat="1" x14ac:dyDescent="0.2">
      <c r="A1378" s="172" t="s">
        <v>83</v>
      </c>
      <c r="B1378" s="172" t="s">
        <v>84</v>
      </c>
      <c r="C1378" s="172" t="s">
        <v>21</v>
      </c>
      <c r="D1378" s="172" t="s">
        <v>15</v>
      </c>
      <c r="E1378" s="173">
        <v>42010</v>
      </c>
      <c r="F1378" s="174">
        <v>4.5999999999999996</v>
      </c>
      <c r="G1378" s="175" t="s">
        <v>16</v>
      </c>
      <c r="H1378" s="172" t="s">
        <v>17</v>
      </c>
      <c r="I1378" s="175">
        <v>1</v>
      </c>
      <c r="J1378" s="175" t="s">
        <v>18</v>
      </c>
      <c r="K1378" s="175" t="s">
        <v>85</v>
      </c>
      <c r="L1378" s="172" t="s">
        <v>86</v>
      </c>
      <c r="M1378" s="115"/>
      <c r="N1378" s="115"/>
    </row>
    <row r="1379" spans="1:14" s="186" customFormat="1" x14ac:dyDescent="0.2">
      <c r="A1379" s="172" t="s">
        <v>83</v>
      </c>
      <c r="B1379" s="172" t="s">
        <v>84</v>
      </c>
      <c r="C1379" s="172" t="s">
        <v>21</v>
      </c>
      <c r="D1379" s="172" t="s">
        <v>15</v>
      </c>
      <c r="E1379" s="173">
        <v>42010</v>
      </c>
      <c r="F1379" s="174">
        <v>13.964496</v>
      </c>
      <c r="G1379" s="175" t="s">
        <v>19</v>
      </c>
      <c r="H1379" s="172" t="s">
        <v>17</v>
      </c>
      <c r="I1379" s="175">
        <v>1</v>
      </c>
      <c r="J1379" s="175" t="s">
        <v>18</v>
      </c>
      <c r="K1379" s="175" t="s">
        <v>85</v>
      </c>
      <c r="L1379" s="172" t="s">
        <v>86</v>
      </c>
      <c r="M1379" s="115"/>
      <c r="N1379" s="115"/>
    </row>
    <row r="1380" spans="1:14" s="186" customFormat="1" x14ac:dyDescent="0.2">
      <c r="A1380" s="172" t="s">
        <v>83</v>
      </c>
      <c r="B1380" s="172" t="s">
        <v>84</v>
      </c>
      <c r="C1380" s="172" t="s">
        <v>21</v>
      </c>
      <c r="D1380" s="172" t="s">
        <v>15</v>
      </c>
      <c r="E1380" s="173">
        <v>42010</v>
      </c>
      <c r="F1380" s="174">
        <v>2</v>
      </c>
      <c r="G1380" s="175" t="s">
        <v>16</v>
      </c>
      <c r="H1380" s="172" t="s">
        <v>20</v>
      </c>
      <c r="I1380" s="175">
        <v>1</v>
      </c>
      <c r="J1380" s="175" t="s">
        <v>18</v>
      </c>
      <c r="K1380" s="175" t="s">
        <v>85</v>
      </c>
      <c r="L1380" s="172" t="s">
        <v>86</v>
      </c>
      <c r="M1380" s="115"/>
      <c r="N1380" s="115"/>
    </row>
    <row r="1381" spans="1:14" s="186" customFormat="1" x14ac:dyDescent="0.2">
      <c r="A1381" s="172" t="s">
        <v>83</v>
      </c>
      <c r="B1381" s="172" t="s">
        <v>84</v>
      </c>
      <c r="C1381" s="172" t="s">
        <v>21</v>
      </c>
      <c r="D1381" s="172" t="s">
        <v>15</v>
      </c>
      <c r="E1381" s="173">
        <v>42010</v>
      </c>
      <c r="F1381" s="174">
        <v>6.0715199999999996</v>
      </c>
      <c r="G1381" s="175" t="s">
        <v>19</v>
      </c>
      <c r="H1381" s="172" t="s">
        <v>20</v>
      </c>
      <c r="I1381" s="175">
        <v>1</v>
      </c>
      <c r="J1381" s="175" t="s">
        <v>18</v>
      </c>
      <c r="K1381" s="175" t="s">
        <v>85</v>
      </c>
      <c r="L1381" s="172" t="s">
        <v>86</v>
      </c>
      <c r="M1381" s="115"/>
      <c r="N1381" s="115"/>
    </row>
    <row r="1382" spans="1:14" s="186" customFormat="1" x14ac:dyDescent="0.2">
      <c r="A1382" s="172" t="s">
        <v>83</v>
      </c>
      <c r="B1382" s="172" t="s">
        <v>84</v>
      </c>
      <c r="C1382" s="172" t="s">
        <v>21</v>
      </c>
      <c r="D1382" s="172" t="s">
        <v>15</v>
      </c>
      <c r="E1382" s="173">
        <v>42003</v>
      </c>
      <c r="F1382" s="174">
        <v>3.6</v>
      </c>
      <c r="G1382" s="175" t="s">
        <v>16</v>
      </c>
      <c r="H1382" s="172" t="s">
        <v>17</v>
      </c>
      <c r="I1382" s="175">
        <v>1</v>
      </c>
      <c r="J1382" s="175" t="s">
        <v>18</v>
      </c>
      <c r="K1382" s="175" t="s">
        <v>85</v>
      </c>
      <c r="L1382" s="172" t="s">
        <v>86</v>
      </c>
      <c r="M1382" s="115"/>
      <c r="N1382" s="115"/>
    </row>
    <row r="1383" spans="1:14" s="186" customFormat="1" x14ac:dyDescent="0.2">
      <c r="A1383" s="172" t="s">
        <v>83</v>
      </c>
      <c r="B1383" s="172" t="s">
        <v>84</v>
      </c>
      <c r="C1383" s="172" t="s">
        <v>21</v>
      </c>
      <c r="D1383" s="172" t="s">
        <v>15</v>
      </c>
      <c r="E1383" s="173">
        <v>42003</v>
      </c>
      <c r="F1383" s="174">
        <v>12.219768</v>
      </c>
      <c r="G1383" s="175" t="s">
        <v>19</v>
      </c>
      <c r="H1383" s="172" t="s">
        <v>17</v>
      </c>
      <c r="I1383" s="175">
        <v>1</v>
      </c>
      <c r="J1383" s="175" t="s">
        <v>18</v>
      </c>
      <c r="K1383" s="175" t="s">
        <v>85</v>
      </c>
      <c r="L1383" s="172" t="s">
        <v>86</v>
      </c>
      <c r="M1383" s="115"/>
      <c r="N1383" s="115"/>
    </row>
    <row r="1384" spans="1:14" s="186" customFormat="1" x14ac:dyDescent="0.2">
      <c r="A1384" s="172" t="s">
        <v>83</v>
      </c>
      <c r="B1384" s="172" t="s">
        <v>84</v>
      </c>
      <c r="C1384" s="172" t="s">
        <v>21</v>
      </c>
      <c r="D1384" s="172" t="s">
        <v>15</v>
      </c>
      <c r="E1384" s="173">
        <v>42003</v>
      </c>
      <c r="F1384" s="174">
        <v>1.5</v>
      </c>
      <c r="G1384" s="175" t="s">
        <v>16</v>
      </c>
      <c r="H1384" s="172" t="s">
        <v>20</v>
      </c>
      <c r="I1384" s="175">
        <v>1</v>
      </c>
      <c r="J1384" s="175" t="s">
        <v>18</v>
      </c>
      <c r="K1384" s="175" t="s">
        <v>85</v>
      </c>
      <c r="L1384" s="172" t="s">
        <v>86</v>
      </c>
      <c r="M1384" s="115"/>
      <c r="N1384" s="115"/>
    </row>
    <row r="1385" spans="1:14" s="186" customFormat="1" x14ac:dyDescent="0.2">
      <c r="A1385" s="172" t="s">
        <v>83</v>
      </c>
      <c r="B1385" s="172" t="s">
        <v>84</v>
      </c>
      <c r="C1385" s="172" t="s">
        <v>21</v>
      </c>
      <c r="D1385" s="172" t="s">
        <v>15</v>
      </c>
      <c r="E1385" s="173">
        <v>42003</v>
      </c>
      <c r="F1385" s="174">
        <v>5.0915699999999999</v>
      </c>
      <c r="G1385" s="175" t="s">
        <v>19</v>
      </c>
      <c r="H1385" s="172" t="s">
        <v>20</v>
      </c>
      <c r="I1385" s="175">
        <v>1</v>
      </c>
      <c r="J1385" s="175" t="s">
        <v>18</v>
      </c>
      <c r="K1385" s="175" t="s">
        <v>85</v>
      </c>
      <c r="L1385" s="172" t="s">
        <v>86</v>
      </c>
      <c r="M1385" s="115"/>
      <c r="N1385" s="115"/>
    </row>
    <row r="1386" spans="1:14" s="186" customFormat="1" x14ac:dyDescent="0.2">
      <c r="A1386" s="172" t="s">
        <v>83</v>
      </c>
      <c r="B1386" s="172" t="s">
        <v>84</v>
      </c>
      <c r="C1386" s="172" t="s">
        <v>21</v>
      </c>
      <c r="D1386" s="172" t="s">
        <v>15</v>
      </c>
      <c r="E1386" s="173">
        <v>41996</v>
      </c>
      <c r="F1386" s="174">
        <v>4</v>
      </c>
      <c r="G1386" s="175" t="s">
        <v>16</v>
      </c>
      <c r="H1386" s="172" t="s">
        <v>17</v>
      </c>
      <c r="I1386" s="175">
        <v>1</v>
      </c>
      <c r="J1386" s="175" t="s">
        <v>18</v>
      </c>
      <c r="K1386" s="175" t="s">
        <v>85</v>
      </c>
      <c r="L1386" s="172" t="s">
        <v>86</v>
      </c>
      <c r="M1386" s="115"/>
      <c r="N1386" s="115"/>
    </row>
    <row r="1387" spans="1:14" s="186" customFormat="1" x14ac:dyDescent="0.2">
      <c r="A1387" s="172" t="s">
        <v>83</v>
      </c>
      <c r="B1387" s="172" t="s">
        <v>84</v>
      </c>
      <c r="C1387" s="172" t="s">
        <v>21</v>
      </c>
      <c r="D1387" s="172" t="s">
        <v>15</v>
      </c>
      <c r="E1387" s="173">
        <v>41996</v>
      </c>
      <c r="F1387" s="174">
        <v>18.548159999999999</v>
      </c>
      <c r="G1387" s="175" t="s">
        <v>19</v>
      </c>
      <c r="H1387" s="172" t="s">
        <v>17</v>
      </c>
      <c r="I1387" s="175">
        <v>1</v>
      </c>
      <c r="J1387" s="175" t="s">
        <v>18</v>
      </c>
      <c r="K1387" s="175" t="s">
        <v>85</v>
      </c>
      <c r="L1387" s="172" t="s">
        <v>86</v>
      </c>
      <c r="M1387" s="115"/>
      <c r="N1387" s="115"/>
    </row>
    <row r="1388" spans="1:14" s="186" customFormat="1" x14ac:dyDescent="0.2">
      <c r="A1388" s="172" t="s">
        <v>83</v>
      </c>
      <c r="B1388" s="172" t="s">
        <v>84</v>
      </c>
      <c r="C1388" s="172" t="s">
        <v>21</v>
      </c>
      <c r="D1388" s="172" t="s">
        <v>15</v>
      </c>
      <c r="E1388" s="173">
        <v>41996</v>
      </c>
      <c r="F1388" s="174">
        <v>2.4</v>
      </c>
      <c r="G1388" s="175" t="s">
        <v>16</v>
      </c>
      <c r="H1388" s="172" t="s">
        <v>20</v>
      </c>
      <c r="I1388" s="175">
        <v>1</v>
      </c>
      <c r="J1388" s="175" t="s">
        <v>18</v>
      </c>
      <c r="K1388" s="175" t="s">
        <v>85</v>
      </c>
      <c r="L1388" s="172" t="s">
        <v>86</v>
      </c>
      <c r="M1388" s="115"/>
      <c r="N1388" s="115"/>
    </row>
    <row r="1389" spans="1:14" s="186" customFormat="1" x14ac:dyDescent="0.2">
      <c r="A1389" s="172" t="s">
        <v>83</v>
      </c>
      <c r="B1389" s="172" t="s">
        <v>84</v>
      </c>
      <c r="C1389" s="172" t="s">
        <v>21</v>
      </c>
      <c r="D1389" s="172" t="s">
        <v>15</v>
      </c>
      <c r="E1389" s="173">
        <v>41996</v>
      </c>
      <c r="F1389" s="174">
        <v>11.128895999999999</v>
      </c>
      <c r="G1389" s="175" t="s">
        <v>19</v>
      </c>
      <c r="H1389" s="172" t="s">
        <v>20</v>
      </c>
      <c r="I1389" s="175">
        <v>1</v>
      </c>
      <c r="J1389" s="175" t="s">
        <v>18</v>
      </c>
      <c r="K1389" s="175" t="s">
        <v>85</v>
      </c>
      <c r="L1389" s="172" t="s">
        <v>86</v>
      </c>
      <c r="M1389" s="115"/>
      <c r="N1389" s="115"/>
    </row>
    <row r="1390" spans="1:14" s="186" customFormat="1" x14ac:dyDescent="0.2">
      <c r="A1390" s="172" t="s">
        <v>83</v>
      </c>
      <c r="B1390" s="172" t="s">
        <v>84</v>
      </c>
      <c r="C1390" s="172" t="s">
        <v>21</v>
      </c>
      <c r="D1390" s="172" t="s">
        <v>15</v>
      </c>
      <c r="E1390" s="173">
        <v>41989</v>
      </c>
      <c r="F1390" s="174">
        <v>4.5999999999999996</v>
      </c>
      <c r="G1390" s="175" t="s">
        <v>16</v>
      </c>
      <c r="H1390" s="172" t="s">
        <v>17</v>
      </c>
      <c r="I1390" s="175">
        <v>1</v>
      </c>
      <c r="J1390" s="175" t="s">
        <v>18</v>
      </c>
      <c r="K1390" s="175" t="s">
        <v>85</v>
      </c>
      <c r="L1390" s="172" t="s">
        <v>86</v>
      </c>
      <c r="M1390" s="115"/>
      <c r="N1390" s="115"/>
    </row>
    <row r="1391" spans="1:14" s="186" customFormat="1" x14ac:dyDescent="0.2">
      <c r="A1391" s="172" t="s">
        <v>83</v>
      </c>
      <c r="B1391" s="172" t="s">
        <v>84</v>
      </c>
      <c r="C1391" s="172" t="s">
        <v>21</v>
      </c>
      <c r="D1391" s="172" t="s">
        <v>15</v>
      </c>
      <c r="E1391" s="173">
        <v>41989</v>
      </c>
      <c r="F1391" s="174">
        <v>17.2638</v>
      </c>
      <c r="G1391" s="175" t="s">
        <v>19</v>
      </c>
      <c r="H1391" s="172" t="s">
        <v>17</v>
      </c>
      <c r="I1391" s="175">
        <v>1</v>
      </c>
      <c r="J1391" s="175" t="s">
        <v>18</v>
      </c>
      <c r="K1391" s="175" t="s">
        <v>85</v>
      </c>
      <c r="L1391" s="172" t="s">
        <v>86</v>
      </c>
      <c r="M1391" s="115"/>
      <c r="N1391" s="115"/>
    </row>
    <row r="1392" spans="1:14" s="186" customFormat="1" x14ac:dyDescent="0.2">
      <c r="A1392" s="172" t="s">
        <v>83</v>
      </c>
      <c r="B1392" s="172" t="s">
        <v>84</v>
      </c>
      <c r="C1392" s="172" t="s">
        <v>21</v>
      </c>
      <c r="D1392" s="172" t="s">
        <v>15</v>
      </c>
      <c r="E1392" s="173">
        <v>41989</v>
      </c>
      <c r="F1392" s="174">
        <v>2.7</v>
      </c>
      <c r="G1392" s="175" t="s">
        <v>16</v>
      </c>
      <c r="H1392" s="172" t="s">
        <v>20</v>
      </c>
      <c r="I1392" s="175">
        <v>1</v>
      </c>
      <c r="J1392" s="175" t="s">
        <v>18</v>
      </c>
      <c r="K1392" s="175" t="s">
        <v>85</v>
      </c>
      <c r="L1392" s="172" t="s">
        <v>86</v>
      </c>
      <c r="M1392" s="115"/>
      <c r="N1392" s="115"/>
    </row>
    <row r="1393" spans="1:14" s="186" customFormat="1" x14ac:dyDescent="0.2">
      <c r="A1393" s="172" t="s">
        <v>83</v>
      </c>
      <c r="B1393" s="172" t="s">
        <v>84</v>
      </c>
      <c r="C1393" s="172" t="s">
        <v>21</v>
      </c>
      <c r="D1393" s="172" t="s">
        <v>15</v>
      </c>
      <c r="E1393" s="173">
        <v>41989</v>
      </c>
      <c r="F1393" s="174">
        <v>10.133100000000001</v>
      </c>
      <c r="G1393" s="175" t="s">
        <v>19</v>
      </c>
      <c r="H1393" s="172" t="s">
        <v>20</v>
      </c>
      <c r="I1393" s="175">
        <v>1</v>
      </c>
      <c r="J1393" s="175" t="s">
        <v>18</v>
      </c>
      <c r="K1393" s="175" t="s">
        <v>85</v>
      </c>
      <c r="L1393" s="172" t="s">
        <v>86</v>
      </c>
      <c r="M1393" s="115"/>
      <c r="N1393" s="115"/>
    </row>
    <row r="1394" spans="1:14" s="186" customFormat="1" x14ac:dyDescent="0.2">
      <c r="A1394" s="172" t="s">
        <v>83</v>
      </c>
      <c r="B1394" s="172" t="s">
        <v>84</v>
      </c>
      <c r="C1394" s="172" t="s">
        <v>21</v>
      </c>
      <c r="D1394" s="172" t="s">
        <v>15</v>
      </c>
      <c r="E1394" s="173">
        <v>41982</v>
      </c>
      <c r="F1394" s="174">
        <v>4.5</v>
      </c>
      <c r="G1394" s="175" t="s">
        <v>16</v>
      </c>
      <c r="H1394" s="172" t="s">
        <v>17</v>
      </c>
      <c r="I1394" s="175">
        <v>1</v>
      </c>
      <c r="J1394" s="175" t="s">
        <v>18</v>
      </c>
      <c r="K1394" s="175" t="s">
        <v>85</v>
      </c>
      <c r="L1394" s="172" t="s">
        <v>86</v>
      </c>
      <c r="M1394" s="115"/>
      <c r="N1394" s="115"/>
    </row>
    <row r="1395" spans="1:14" s="186" customFormat="1" x14ac:dyDescent="0.2">
      <c r="A1395" s="172" t="s">
        <v>83</v>
      </c>
      <c r="B1395" s="172" t="s">
        <v>84</v>
      </c>
      <c r="C1395" s="172" t="s">
        <v>21</v>
      </c>
      <c r="D1395" s="172" t="s">
        <v>15</v>
      </c>
      <c r="E1395" s="173">
        <v>41982</v>
      </c>
      <c r="F1395" s="174">
        <v>11.48418</v>
      </c>
      <c r="G1395" s="175" t="s">
        <v>19</v>
      </c>
      <c r="H1395" s="172" t="s">
        <v>17</v>
      </c>
      <c r="I1395" s="175">
        <v>1</v>
      </c>
      <c r="J1395" s="175" t="s">
        <v>18</v>
      </c>
      <c r="K1395" s="175" t="s">
        <v>85</v>
      </c>
      <c r="L1395" s="172" t="s">
        <v>86</v>
      </c>
      <c r="M1395" s="115"/>
      <c r="N1395" s="115"/>
    </row>
    <row r="1396" spans="1:14" s="186" customFormat="1" x14ac:dyDescent="0.2">
      <c r="A1396" s="172" t="s">
        <v>83</v>
      </c>
      <c r="B1396" s="172" t="s">
        <v>84</v>
      </c>
      <c r="C1396" s="172" t="s">
        <v>21</v>
      </c>
      <c r="D1396" s="172" t="s">
        <v>15</v>
      </c>
      <c r="E1396" s="173">
        <v>41982</v>
      </c>
      <c r="F1396" s="174">
        <v>2.7</v>
      </c>
      <c r="G1396" s="175" t="s">
        <v>16</v>
      </c>
      <c r="H1396" s="172" t="s">
        <v>20</v>
      </c>
      <c r="I1396" s="175">
        <v>1</v>
      </c>
      <c r="J1396" s="175" t="s">
        <v>18</v>
      </c>
      <c r="K1396" s="175" t="s">
        <v>85</v>
      </c>
      <c r="L1396" s="172" t="s">
        <v>86</v>
      </c>
      <c r="M1396" s="115"/>
      <c r="N1396" s="115"/>
    </row>
    <row r="1397" spans="1:14" s="186" customFormat="1" x14ac:dyDescent="0.2">
      <c r="A1397" s="172" t="s">
        <v>83</v>
      </c>
      <c r="B1397" s="172" t="s">
        <v>84</v>
      </c>
      <c r="C1397" s="172" t="s">
        <v>21</v>
      </c>
      <c r="D1397" s="172" t="s">
        <v>15</v>
      </c>
      <c r="E1397" s="173">
        <v>41982</v>
      </c>
      <c r="F1397" s="174">
        <v>6.8905079999999996</v>
      </c>
      <c r="G1397" s="175" t="s">
        <v>19</v>
      </c>
      <c r="H1397" s="172" t="s">
        <v>20</v>
      </c>
      <c r="I1397" s="175">
        <v>1</v>
      </c>
      <c r="J1397" s="175" t="s">
        <v>18</v>
      </c>
      <c r="K1397" s="175" t="s">
        <v>85</v>
      </c>
      <c r="L1397" s="172" t="s">
        <v>86</v>
      </c>
      <c r="M1397" s="115"/>
      <c r="N1397" s="115"/>
    </row>
    <row r="1398" spans="1:14" s="186" customFormat="1" x14ac:dyDescent="0.2">
      <c r="A1398" s="172" t="s">
        <v>83</v>
      </c>
      <c r="B1398" s="172" t="s">
        <v>84</v>
      </c>
      <c r="C1398" s="172" t="s">
        <v>21</v>
      </c>
      <c r="D1398" s="172" t="s">
        <v>15</v>
      </c>
      <c r="E1398" s="173">
        <v>41976</v>
      </c>
      <c r="F1398" s="174">
        <v>3</v>
      </c>
      <c r="G1398" s="175" t="s">
        <v>16</v>
      </c>
      <c r="H1398" s="172" t="s">
        <v>20</v>
      </c>
      <c r="I1398" s="175">
        <v>1</v>
      </c>
      <c r="J1398" s="175" t="s">
        <v>18</v>
      </c>
      <c r="K1398" s="175" t="s">
        <v>85</v>
      </c>
      <c r="L1398" s="172" t="s">
        <v>86</v>
      </c>
      <c r="M1398" s="115"/>
      <c r="N1398" s="115"/>
    </row>
    <row r="1399" spans="1:14" s="186" customFormat="1" x14ac:dyDescent="0.2">
      <c r="A1399" s="172" t="s">
        <v>83</v>
      </c>
      <c r="B1399" s="172" t="s">
        <v>84</v>
      </c>
      <c r="C1399" s="172" t="s">
        <v>21</v>
      </c>
      <c r="D1399" s="172" t="s">
        <v>15</v>
      </c>
      <c r="E1399" s="173">
        <v>41976</v>
      </c>
      <c r="F1399" s="174">
        <v>8.8570799999999998</v>
      </c>
      <c r="G1399" s="175" t="s">
        <v>19</v>
      </c>
      <c r="H1399" s="172" t="s">
        <v>20</v>
      </c>
      <c r="I1399" s="175">
        <v>1</v>
      </c>
      <c r="J1399" s="175" t="s">
        <v>18</v>
      </c>
      <c r="K1399" s="175" t="s">
        <v>85</v>
      </c>
      <c r="L1399" s="172" t="s">
        <v>86</v>
      </c>
      <c r="M1399" s="115"/>
      <c r="N1399" s="115"/>
    </row>
    <row r="1400" spans="1:14" s="186" customFormat="1" x14ac:dyDescent="0.2">
      <c r="A1400" s="172" t="s">
        <v>83</v>
      </c>
      <c r="B1400" s="172" t="s">
        <v>84</v>
      </c>
      <c r="C1400" s="172" t="s">
        <v>21</v>
      </c>
      <c r="D1400" s="172" t="s">
        <v>15</v>
      </c>
      <c r="E1400" s="173">
        <v>41975</v>
      </c>
      <c r="F1400" s="174">
        <v>6.9</v>
      </c>
      <c r="G1400" s="175" t="s">
        <v>16</v>
      </c>
      <c r="H1400" s="172" t="s">
        <v>17</v>
      </c>
      <c r="I1400" s="175">
        <v>1</v>
      </c>
      <c r="J1400" s="175" t="s">
        <v>18</v>
      </c>
      <c r="K1400" s="175" t="s">
        <v>85</v>
      </c>
      <c r="L1400" s="172" t="s">
        <v>86</v>
      </c>
      <c r="M1400" s="115"/>
      <c r="N1400" s="115"/>
    </row>
    <row r="1401" spans="1:14" s="186" customFormat="1" x14ac:dyDescent="0.2">
      <c r="A1401" s="172" t="s">
        <v>83</v>
      </c>
      <c r="B1401" s="172" t="s">
        <v>84</v>
      </c>
      <c r="C1401" s="172" t="s">
        <v>21</v>
      </c>
      <c r="D1401" s="172" t="s">
        <v>15</v>
      </c>
      <c r="E1401" s="173">
        <v>41975</v>
      </c>
      <c r="F1401" s="174">
        <v>17.55153</v>
      </c>
      <c r="G1401" s="175" t="s">
        <v>19</v>
      </c>
      <c r="H1401" s="172" t="s">
        <v>17</v>
      </c>
      <c r="I1401" s="175">
        <v>1</v>
      </c>
      <c r="J1401" s="175" t="s">
        <v>18</v>
      </c>
      <c r="K1401" s="175" t="s">
        <v>85</v>
      </c>
      <c r="L1401" s="172" t="s">
        <v>86</v>
      </c>
      <c r="M1401" s="115"/>
      <c r="N1401" s="115"/>
    </row>
    <row r="1402" spans="1:14" s="186" customFormat="1" x14ac:dyDescent="0.2">
      <c r="A1402" s="172" t="s">
        <v>83</v>
      </c>
      <c r="B1402" s="172" t="s">
        <v>84</v>
      </c>
      <c r="C1402" s="172" t="s">
        <v>21</v>
      </c>
      <c r="D1402" s="172" t="s">
        <v>15</v>
      </c>
      <c r="E1402" s="173">
        <v>41967</v>
      </c>
      <c r="F1402" s="174">
        <v>4.2</v>
      </c>
      <c r="G1402" s="175" t="s">
        <v>16</v>
      </c>
      <c r="H1402" s="172" t="s">
        <v>17</v>
      </c>
      <c r="I1402" s="175">
        <v>1</v>
      </c>
      <c r="J1402" s="175" t="s">
        <v>18</v>
      </c>
      <c r="K1402" s="175" t="s">
        <v>85</v>
      </c>
      <c r="L1402" s="172" t="s">
        <v>86</v>
      </c>
      <c r="M1402" s="115"/>
      <c r="N1402" s="115"/>
    </row>
    <row r="1403" spans="1:14" s="186" customFormat="1" x14ac:dyDescent="0.2">
      <c r="A1403" s="172" t="s">
        <v>83</v>
      </c>
      <c r="B1403" s="172" t="s">
        <v>84</v>
      </c>
      <c r="C1403" s="172" t="s">
        <v>21</v>
      </c>
      <c r="D1403" s="172" t="s">
        <v>15</v>
      </c>
      <c r="E1403" s="173">
        <v>41967</v>
      </c>
      <c r="F1403" s="174">
        <v>13.48578</v>
      </c>
      <c r="G1403" s="175" t="s">
        <v>19</v>
      </c>
      <c r="H1403" s="172" t="s">
        <v>17</v>
      </c>
      <c r="I1403" s="175">
        <v>1</v>
      </c>
      <c r="J1403" s="175" t="s">
        <v>18</v>
      </c>
      <c r="K1403" s="175" t="s">
        <v>85</v>
      </c>
      <c r="L1403" s="172" t="s">
        <v>86</v>
      </c>
      <c r="M1403" s="115"/>
      <c r="N1403" s="115"/>
    </row>
    <row r="1404" spans="1:14" s="186" customFormat="1" x14ac:dyDescent="0.2">
      <c r="A1404" s="172" t="s">
        <v>83</v>
      </c>
      <c r="B1404" s="172" t="s">
        <v>84</v>
      </c>
      <c r="C1404" s="172" t="s">
        <v>21</v>
      </c>
      <c r="D1404" s="172" t="s">
        <v>15</v>
      </c>
      <c r="E1404" s="173">
        <v>41967</v>
      </c>
      <c r="F1404" s="174">
        <v>2.7</v>
      </c>
      <c r="G1404" s="175" t="s">
        <v>16</v>
      </c>
      <c r="H1404" s="172" t="s">
        <v>20</v>
      </c>
      <c r="I1404" s="175">
        <v>1</v>
      </c>
      <c r="J1404" s="175" t="s">
        <v>18</v>
      </c>
      <c r="K1404" s="175" t="s">
        <v>85</v>
      </c>
      <c r="L1404" s="172" t="s">
        <v>86</v>
      </c>
      <c r="M1404" s="115"/>
      <c r="N1404" s="115"/>
    </row>
    <row r="1405" spans="1:14" s="186" customFormat="1" x14ac:dyDescent="0.2">
      <c r="A1405" s="172" t="s">
        <v>83</v>
      </c>
      <c r="B1405" s="172" t="s">
        <v>84</v>
      </c>
      <c r="C1405" s="172" t="s">
        <v>21</v>
      </c>
      <c r="D1405" s="172" t="s">
        <v>15</v>
      </c>
      <c r="E1405" s="173">
        <v>41967</v>
      </c>
      <c r="F1405" s="174">
        <v>8.6694300000000002</v>
      </c>
      <c r="G1405" s="175" t="s">
        <v>19</v>
      </c>
      <c r="H1405" s="172" t="s">
        <v>20</v>
      </c>
      <c r="I1405" s="175">
        <v>1</v>
      </c>
      <c r="J1405" s="175" t="s">
        <v>18</v>
      </c>
      <c r="K1405" s="175" t="s">
        <v>85</v>
      </c>
      <c r="L1405" s="172" t="s">
        <v>86</v>
      </c>
      <c r="M1405" s="115"/>
      <c r="N1405" s="115"/>
    </row>
    <row r="1406" spans="1:14" s="186" customFormat="1" x14ac:dyDescent="0.2">
      <c r="A1406" s="172" t="s">
        <v>83</v>
      </c>
      <c r="B1406" s="172" t="s">
        <v>84</v>
      </c>
      <c r="C1406" s="172" t="s">
        <v>21</v>
      </c>
      <c r="D1406" s="172" t="s">
        <v>15</v>
      </c>
      <c r="E1406" s="173">
        <v>41961</v>
      </c>
      <c r="F1406" s="174">
        <v>2.9</v>
      </c>
      <c r="G1406" s="175" t="s">
        <v>16</v>
      </c>
      <c r="H1406" s="172" t="s">
        <v>17</v>
      </c>
      <c r="I1406" s="175">
        <v>1</v>
      </c>
      <c r="J1406" s="175" t="s">
        <v>18</v>
      </c>
      <c r="K1406" s="175" t="s">
        <v>85</v>
      </c>
      <c r="L1406" s="172" t="s">
        <v>86</v>
      </c>
      <c r="M1406" s="115"/>
      <c r="N1406" s="115"/>
    </row>
    <row r="1407" spans="1:14" s="186" customFormat="1" x14ac:dyDescent="0.2">
      <c r="A1407" s="172" t="s">
        <v>83</v>
      </c>
      <c r="B1407" s="172" t="s">
        <v>84</v>
      </c>
      <c r="C1407" s="172" t="s">
        <v>21</v>
      </c>
      <c r="D1407" s="172" t="s">
        <v>15</v>
      </c>
      <c r="E1407" s="173">
        <v>41961</v>
      </c>
      <c r="F1407" s="174">
        <v>8.2232400000000005</v>
      </c>
      <c r="G1407" s="175" t="s">
        <v>19</v>
      </c>
      <c r="H1407" s="172" t="s">
        <v>17</v>
      </c>
      <c r="I1407" s="175">
        <v>1</v>
      </c>
      <c r="J1407" s="175" t="s">
        <v>18</v>
      </c>
      <c r="K1407" s="175" t="s">
        <v>85</v>
      </c>
      <c r="L1407" s="172" t="s">
        <v>86</v>
      </c>
      <c r="M1407" s="115"/>
      <c r="N1407" s="115"/>
    </row>
    <row r="1408" spans="1:14" s="186" customFormat="1" x14ac:dyDescent="0.2">
      <c r="A1408" s="172" t="s">
        <v>83</v>
      </c>
      <c r="B1408" s="172" t="s">
        <v>84</v>
      </c>
      <c r="C1408" s="172" t="s">
        <v>21</v>
      </c>
      <c r="D1408" s="172" t="s">
        <v>15</v>
      </c>
      <c r="E1408" s="173">
        <v>41961</v>
      </c>
      <c r="F1408" s="174">
        <v>2.7</v>
      </c>
      <c r="G1408" s="175" t="s">
        <v>16</v>
      </c>
      <c r="H1408" s="172" t="s">
        <v>20</v>
      </c>
      <c r="I1408" s="175">
        <v>1</v>
      </c>
      <c r="J1408" s="175" t="s">
        <v>18</v>
      </c>
      <c r="K1408" s="175" t="s">
        <v>85</v>
      </c>
      <c r="L1408" s="172" t="s">
        <v>86</v>
      </c>
      <c r="M1408" s="115"/>
      <c r="N1408" s="115"/>
    </row>
    <row r="1409" spans="1:14" s="186" customFormat="1" x14ac:dyDescent="0.2">
      <c r="A1409" s="172" t="s">
        <v>83</v>
      </c>
      <c r="B1409" s="172" t="s">
        <v>84</v>
      </c>
      <c r="C1409" s="172" t="s">
        <v>21</v>
      </c>
      <c r="D1409" s="172" t="s">
        <v>15</v>
      </c>
      <c r="E1409" s="173">
        <v>41961</v>
      </c>
      <c r="F1409" s="174">
        <v>7.6561199999999996</v>
      </c>
      <c r="G1409" s="175" t="s">
        <v>19</v>
      </c>
      <c r="H1409" s="172" t="s">
        <v>20</v>
      </c>
      <c r="I1409" s="175">
        <v>1</v>
      </c>
      <c r="J1409" s="175" t="s">
        <v>18</v>
      </c>
      <c r="K1409" s="175" t="s">
        <v>85</v>
      </c>
      <c r="L1409" s="172" t="s">
        <v>86</v>
      </c>
      <c r="M1409" s="115"/>
      <c r="N1409" s="115"/>
    </row>
    <row r="1410" spans="1:14" s="186" customFormat="1" x14ac:dyDescent="0.2">
      <c r="A1410" s="172" t="s">
        <v>83</v>
      </c>
      <c r="B1410" s="172" t="s">
        <v>84</v>
      </c>
      <c r="C1410" s="172" t="s">
        <v>21</v>
      </c>
      <c r="D1410" s="172" t="s">
        <v>15</v>
      </c>
      <c r="E1410" s="173">
        <v>41956</v>
      </c>
      <c r="F1410" s="174">
        <v>4</v>
      </c>
      <c r="G1410" s="175" t="s">
        <v>16</v>
      </c>
      <c r="H1410" s="172" t="s">
        <v>17</v>
      </c>
      <c r="I1410" s="175">
        <v>1</v>
      </c>
      <c r="J1410" s="175" t="s">
        <v>18</v>
      </c>
      <c r="K1410" s="175" t="s">
        <v>85</v>
      </c>
      <c r="L1410" s="172" t="s">
        <v>86</v>
      </c>
      <c r="M1410" s="115"/>
      <c r="N1410" s="115"/>
    </row>
    <row r="1411" spans="1:14" s="186" customFormat="1" x14ac:dyDescent="0.2">
      <c r="A1411" s="172" t="s">
        <v>83</v>
      </c>
      <c r="B1411" s="172" t="s">
        <v>84</v>
      </c>
      <c r="C1411" s="172" t="s">
        <v>21</v>
      </c>
      <c r="D1411" s="172" t="s">
        <v>15</v>
      </c>
      <c r="E1411" s="173">
        <v>41956</v>
      </c>
      <c r="F1411" s="174">
        <v>11.44248</v>
      </c>
      <c r="G1411" s="175" t="s">
        <v>19</v>
      </c>
      <c r="H1411" s="172" t="s">
        <v>17</v>
      </c>
      <c r="I1411" s="175">
        <v>1</v>
      </c>
      <c r="J1411" s="175" t="s">
        <v>18</v>
      </c>
      <c r="K1411" s="175" t="s">
        <v>85</v>
      </c>
      <c r="L1411" s="172" t="s">
        <v>86</v>
      </c>
      <c r="M1411" s="115"/>
      <c r="N1411" s="115"/>
    </row>
    <row r="1412" spans="1:14" s="186" customFormat="1" x14ac:dyDescent="0.2">
      <c r="A1412" s="172" t="s">
        <v>83</v>
      </c>
      <c r="B1412" s="172" t="s">
        <v>84</v>
      </c>
      <c r="C1412" s="172" t="s">
        <v>21</v>
      </c>
      <c r="D1412" s="172" t="s">
        <v>15</v>
      </c>
      <c r="E1412" s="173">
        <v>41956</v>
      </c>
      <c r="F1412" s="174">
        <v>2.8</v>
      </c>
      <c r="G1412" s="175" t="s">
        <v>16</v>
      </c>
      <c r="H1412" s="172" t="s">
        <v>20</v>
      </c>
      <c r="I1412" s="175">
        <v>1</v>
      </c>
      <c r="J1412" s="175" t="s">
        <v>18</v>
      </c>
      <c r="K1412" s="175" t="s">
        <v>85</v>
      </c>
      <c r="L1412" s="172" t="s">
        <v>86</v>
      </c>
      <c r="M1412" s="115"/>
      <c r="N1412" s="115"/>
    </row>
    <row r="1413" spans="1:14" s="186" customFormat="1" x14ac:dyDescent="0.2">
      <c r="A1413" s="172" t="s">
        <v>83</v>
      </c>
      <c r="B1413" s="172" t="s">
        <v>84</v>
      </c>
      <c r="C1413" s="172" t="s">
        <v>21</v>
      </c>
      <c r="D1413" s="172" t="s">
        <v>15</v>
      </c>
      <c r="E1413" s="173">
        <v>41956</v>
      </c>
      <c r="F1413" s="174">
        <v>8.0097360000000002</v>
      </c>
      <c r="G1413" s="175" t="s">
        <v>19</v>
      </c>
      <c r="H1413" s="172" t="s">
        <v>20</v>
      </c>
      <c r="I1413" s="175">
        <v>1</v>
      </c>
      <c r="J1413" s="175" t="s">
        <v>18</v>
      </c>
      <c r="K1413" s="175" t="s">
        <v>85</v>
      </c>
      <c r="L1413" s="172" t="s">
        <v>86</v>
      </c>
      <c r="M1413" s="115"/>
      <c r="N1413" s="115"/>
    </row>
    <row r="1414" spans="1:14" s="186" customFormat="1" x14ac:dyDescent="0.2">
      <c r="A1414" s="172" t="s">
        <v>83</v>
      </c>
      <c r="B1414" s="172" t="s">
        <v>84</v>
      </c>
      <c r="C1414" s="172" t="s">
        <v>21</v>
      </c>
      <c r="D1414" s="172" t="s">
        <v>15</v>
      </c>
      <c r="E1414" s="173">
        <v>41940</v>
      </c>
      <c r="F1414" s="174">
        <v>2.2000000000000002</v>
      </c>
      <c r="G1414" s="175" t="s">
        <v>16</v>
      </c>
      <c r="H1414" s="172" t="s">
        <v>17</v>
      </c>
      <c r="I1414" s="175">
        <v>1</v>
      </c>
      <c r="J1414" s="175" t="s">
        <v>18</v>
      </c>
      <c r="K1414" s="175" t="s">
        <v>85</v>
      </c>
      <c r="L1414" s="172" t="s">
        <v>86</v>
      </c>
      <c r="M1414" s="115"/>
      <c r="N1414" s="115"/>
    </row>
    <row r="1415" spans="1:14" s="186" customFormat="1" x14ac:dyDescent="0.2">
      <c r="A1415" s="172" t="s">
        <v>83</v>
      </c>
      <c r="B1415" s="172" t="s">
        <v>84</v>
      </c>
      <c r="C1415" s="172" t="s">
        <v>21</v>
      </c>
      <c r="D1415" s="172" t="s">
        <v>15</v>
      </c>
      <c r="E1415" s="173">
        <v>41940</v>
      </c>
      <c r="F1415" s="174">
        <v>7.8529439999999999</v>
      </c>
      <c r="G1415" s="175" t="s">
        <v>19</v>
      </c>
      <c r="H1415" s="172" t="s">
        <v>17</v>
      </c>
      <c r="I1415" s="175">
        <v>1</v>
      </c>
      <c r="J1415" s="175" t="s">
        <v>18</v>
      </c>
      <c r="K1415" s="175" t="s">
        <v>85</v>
      </c>
      <c r="L1415" s="172" t="s">
        <v>86</v>
      </c>
      <c r="M1415" s="115"/>
      <c r="N1415" s="115"/>
    </row>
    <row r="1416" spans="1:14" s="186" customFormat="1" x14ac:dyDescent="0.2">
      <c r="A1416" s="172" t="s">
        <v>83</v>
      </c>
      <c r="B1416" s="172" t="s">
        <v>84</v>
      </c>
      <c r="C1416" s="172" t="s">
        <v>21</v>
      </c>
      <c r="D1416" s="172" t="s">
        <v>15</v>
      </c>
      <c r="E1416" s="173">
        <v>41940</v>
      </c>
      <c r="F1416" s="174">
        <v>2.1</v>
      </c>
      <c r="G1416" s="175" t="s">
        <v>16</v>
      </c>
      <c r="H1416" s="172" t="s">
        <v>20</v>
      </c>
      <c r="I1416" s="175">
        <v>1</v>
      </c>
      <c r="J1416" s="175" t="s">
        <v>18</v>
      </c>
      <c r="K1416" s="175" t="s">
        <v>85</v>
      </c>
      <c r="L1416" s="172" t="s">
        <v>86</v>
      </c>
      <c r="M1416" s="115"/>
      <c r="N1416" s="115"/>
    </row>
    <row r="1417" spans="1:14" s="186" customFormat="1" x14ac:dyDescent="0.2">
      <c r="A1417" s="172" t="s">
        <v>83</v>
      </c>
      <c r="B1417" s="172" t="s">
        <v>84</v>
      </c>
      <c r="C1417" s="172" t="s">
        <v>21</v>
      </c>
      <c r="D1417" s="172" t="s">
        <v>15</v>
      </c>
      <c r="E1417" s="173">
        <v>41940</v>
      </c>
      <c r="F1417" s="174">
        <v>7.4959920000000002</v>
      </c>
      <c r="G1417" s="175" t="s">
        <v>19</v>
      </c>
      <c r="H1417" s="172" t="s">
        <v>20</v>
      </c>
      <c r="I1417" s="175">
        <v>1</v>
      </c>
      <c r="J1417" s="175" t="s">
        <v>18</v>
      </c>
      <c r="K1417" s="175" t="s">
        <v>85</v>
      </c>
      <c r="L1417" s="172" t="s">
        <v>86</v>
      </c>
      <c r="M1417" s="115"/>
      <c r="N1417" s="115"/>
    </row>
    <row r="1418" spans="1:14" s="186" customFormat="1" x14ac:dyDescent="0.2">
      <c r="A1418" s="172" t="s">
        <v>83</v>
      </c>
      <c r="B1418" s="172" t="s">
        <v>84</v>
      </c>
      <c r="C1418" s="172" t="s">
        <v>21</v>
      </c>
      <c r="D1418" s="172" t="s">
        <v>15</v>
      </c>
      <c r="E1418" s="173">
        <v>41933</v>
      </c>
      <c r="F1418" s="174">
        <v>2.6</v>
      </c>
      <c r="G1418" s="175" t="s">
        <v>16</v>
      </c>
      <c r="H1418" s="172" t="s">
        <v>17</v>
      </c>
      <c r="I1418" s="175">
        <v>1</v>
      </c>
      <c r="J1418" s="175" t="s">
        <v>18</v>
      </c>
      <c r="K1418" s="175" t="s">
        <v>85</v>
      </c>
      <c r="L1418" s="172" t="s">
        <v>86</v>
      </c>
      <c r="M1418" s="115"/>
      <c r="N1418" s="115"/>
    </row>
    <row r="1419" spans="1:14" s="186" customFormat="1" x14ac:dyDescent="0.2">
      <c r="A1419" s="172" t="s">
        <v>83</v>
      </c>
      <c r="B1419" s="172" t="s">
        <v>84</v>
      </c>
      <c r="C1419" s="172" t="s">
        <v>21</v>
      </c>
      <c r="D1419" s="172" t="s">
        <v>15</v>
      </c>
      <c r="E1419" s="173">
        <v>41933</v>
      </c>
      <c r="F1419" s="174">
        <v>9.2807519999999997</v>
      </c>
      <c r="G1419" s="175" t="s">
        <v>19</v>
      </c>
      <c r="H1419" s="172" t="s">
        <v>17</v>
      </c>
      <c r="I1419" s="175">
        <v>1</v>
      </c>
      <c r="J1419" s="175" t="s">
        <v>18</v>
      </c>
      <c r="K1419" s="175" t="s">
        <v>85</v>
      </c>
      <c r="L1419" s="172" t="s">
        <v>86</v>
      </c>
      <c r="M1419" s="115"/>
      <c r="N1419" s="115"/>
    </row>
    <row r="1420" spans="1:14" s="186" customFormat="1" x14ac:dyDescent="0.2">
      <c r="A1420" s="172" t="s">
        <v>83</v>
      </c>
      <c r="B1420" s="172" t="s">
        <v>84</v>
      </c>
      <c r="C1420" s="172" t="s">
        <v>21</v>
      </c>
      <c r="D1420" s="172" t="s">
        <v>15</v>
      </c>
      <c r="E1420" s="173">
        <v>41933</v>
      </c>
      <c r="F1420" s="174">
        <v>2.2000000000000002</v>
      </c>
      <c r="G1420" s="175" t="s">
        <v>16</v>
      </c>
      <c r="H1420" s="172" t="s">
        <v>20</v>
      </c>
      <c r="I1420" s="175">
        <v>1</v>
      </c>
      <c r="J1420" s="175" t="s">
        <v>18</v>
      </c>
      <c r="K1420" s="175" t="s">
        <v>85</v>
      </c>
      <c r="L1420" s="172" t="s">
        <v>86</v>
      </c>
      <c r="M1420" s="115"/>
      <c r="N1420" s="115"/>
    </row>
    <row r="1421" spans="1:14" s="186" customFormat="1" x14ac:dyDescent="0.2">
      <c r="A1421" s="172" t="s">
        <v>83</v>
      </c>
      <c r="B1421" s="172" t="s">
        <v>84</v>
      </c>
      <c r="C1421" s="172" t="s">
        <v>21</v>
      </c>
      <c r="D1421" s="172" t="s">
        <v>15</v>
      </c>
      <c r="E1421" s="173">
        <v>41933</v>
      </c>
      <c r="F1421" s="174">
        <v>7.8529439999999999</v>
      </c>
      <c r="G1421" s="175" t="s">
        <v>19</v>
      </c>
      <c r="H1421" s="172" t="s">
        <v>20</v>
      </c>
      <c r="I1421" s="175">
        <v>1</v>
      </c>
      <c r="J1421" s="175" t="s">
        <v>18</v>
      </c>
      <c r="K1421" s="175" t="s">
        <v>85</v>
      </c>
      <c r="L1421" s="172" t="s">
        <v>86</v>
      </c>
      <c r="M1421" s="115"/>
      <c r="N1421" s="115"/>
    </row>
    <row r="1422" spans="1:14" s="186" customFormat="1" x14ac:dyDescent="0.2">
      <c r="A1422" s="172" t="s">
        <v>83</v>
      </c>
      <c r="B1422" s="172" t="s">
        <v>84</v>
      </c>
      <c r="C1422" s="172" t="s">
        <v>21</v>
      </c>
      <c r="D1422" s="172" t="s">
        <v>15</v>
      </c>
      <c r="E1422" s="173">
        <v>41926</v>
      </c>
      <c r="F1422" s="174">
        <v>3.2</v>
      </c>
      <c r="G1422" s="175" t="s">
        <v>16</v>
      </c>
      <c r="H1422" s="172" t="s">
        <v>17</v>
      </c>
      <c r="I1422" s="175">
        <v>1</v>
      </c>
      <c r="J1422" s="175" t="s">
        <v>18</v>
      </c>
      <c r="K1422" s="175" t="s">
        <v>85</v>
      </c>
      <c r="L1422" s="172" t="s">
        <v>86</v>
      </c>
      <c r="M1422" s="115"/>
      <c r="N1422" s="115"/>
    </row>
    <row r="1423" spans="1:14" s="186" customFormat="1" x14ac:dyDescent="0.2">
      <c r="A1423" s="172" t="s">
        <v>83</v>
      </c>
      <c r="B1423" s="172" t="s">
        <v>84</v>
      </c>
      <c r="C1423" s="172" t="s">
        <v>21</v>
      </c>
      <c r="D1423" s="172" t="s">
        <v>15</v>
      </c>
      <c r="E1423" s="173">
        <v>41926</v>
      </c>
      <c r="F1423" s="174">
        <v>17.507328000000001</v>
      </c>
      <c r="G1423" s="175" t="s">
        <v>19</v>
      </c>
      <c r="H1423" s="172" t="s">
        <v>17</v>
      </c>
      <c r="I1423" s="175">
        <v>1</v>
      </c>
      <c r="J1423" s="175" t="s">
        <v>18</v>
      </c>
      <c r="K1423" s="175" t="s">
        <v>85</v>
      </c>
      <c r="L1423" s="172" t="s">
        <v>86</v>
      </c>
      <c r="M1423" s="115"/>
      <c r="N1423" s="115"/>
    </row>
    <row r="1424" spans="1:14" s="186" customFormat="1" x14ac:dyDescent="0.2">
      <c r="A1424" s="172" t="s">
        <v>83</v>
      </c>
      <c r="B1424" s="172" t="s">
        <v>84</v>
      </c>
      <c r="C1424" s="172" t="s">
        <v>21</v>
      </c>
      <c r="D1424" s="172" t="s">
        <v>15</v>
      </c>
      <c r="E1424" s="173">
        <v>41926</v>
      </c>
      <c r="F1424" s="174">
        <v>2.7</v>
      </c>
      <c r="G1424" s="175" t="s">
        <v>16</v>
      </c>
      <c r="H1424" s="172" t="s">
        <v>20</v>
      </c>
      <c r="I1424" s="175">
        <v>1</v>
      </c>
      <c r="J1424" s="175" t="s">
        <v>18</v>
      </c>
      <c r="K1424" s="175" t="s">
        <v>85</v>
      </c>
      <c r="L1424" s="172" t="s">
        <v>86</v>
      </c>
      <c r="M1424" s="115"/>
      <c r="N1424" s="115"/>
    </row>
    <row r="1425" spans="1:14" s="186" customFormat="1" x14ac:dyDescent="0.2">
      <c r="A1425" s="172" t="s">
        <v>83</v>
      </c>
      <c r="B1425" s="172" t="s">
        <v>84</v>
      </c>
      <c r="C1425" s="172" t="s">
        <v>21</v>
      </c>
      <c r="D1425" s="172" t="s">
        <v>15</v>
      </c>
      <c r="E1425" s="173">
        <v>41926</v>
      </c>
      <c r="F1425" s="174">
        <v>14.771808</v>
      </c>
      <c r="G1425" s="175" t="s">
        <v>19</v>
      </c>
      <c r="H1425" s="172" t="s">
        <v>20</v>
      </c>
      <c r="I1425" s="175">
        <v>1</v>
      </c>
      <c r="J1425" s="175" t="s">
        <v>18</v>
      </c>
      <c r="K1425" s="175" t="s">
        <v>85</v>
      </c>
      <c r="L1425" s="172" t="s">
        <v>86</v>
      </c>
      <c r="M1425" s="115"/>
      <c r="N1425" s="115"/>
    </row>
    <row r="1426" spans="1:14" s="186" customFormat="1" x14ac:dyDescent="0.2">
      <c r="A1426" s="172" t="s">
        <v>83</v>
      </c>
      <c r="B1426" s="172" t="s">
        <v>84</v>
      </c>
      <c r="C1426" s="172" t="s">
        <v>21</v>
      </c>
      <c r="D1426" s="172" t="s">
        <v>15</v>
      </c>
      <c r="E1426" s="173">
        <v>41919</v>
      </c>
      <c r="F1426" s="174">
        <v>2.2000000000000002</v>
      </c>
      <c r="G1426" s="175" t="s">
        <v>16</v>
      </c>
      <c r="H1426" s="172" t="s">
        <v>17</v>
      </c>
      <c r="I1426" s="175">
        <v>1</v>
      </c>
      <c r="J1426" s="175" t="s">
        <v>18</v>
      </c>
      <c r="K1426" s="175" t="s">
        <v>85</v>
      </c>
      <c r="L1426" s="172" t="s">
        <v>86</v>
      </c>
      <c r="M1426" s="115"/>
      <c r="N1426" s="115"/>
    </row>
    <row r="1427" spans="1:14" s="186" customFormat="1" x14ac:dyDescent="0.2">
      <c r="A1427" s="172" t="s">
        <v>83</v>
      </c>
      <c r="B1427" s="172" t="s">
        <v>84</v>
      </c>
      <c r="C1427" s="172" t="s">
        <v>21</v>
      </c>
      <c r="D1427" s="172" t="s">
        <v>15</v>
      </c>
      <c r="E1427" s="173">
        <v>41919</v>
      </c>
      <c r="F1427" s="174">
        <v>6.4034519999999997</v>
      </c>
      <c r="G1427" s="175" t="s">
        <v>19</v>
      </c>
      <c r="H1427" s="172" t="s">
        <v>17</v>
      </c>
      <c r="I1427" s="175">
        <v>1</v>
      </c>
      <c r="J1427" s="175" t="s">
        <v>18</v>
      </c>
      <c r="K1427" s="175" t="s">
        <v>85</v>
      </c>
      <c r="L1427" s="172" t="s">
        <v>86</v>
      </c>
      <c r="M1427" s="115"/>
      <c r="N1427" s="115"/>
    </row>
    <row r="1428" spans="1:14" s="186" customFormat="1" x14ac:dyDescent="0.2">
      <c r="A1428" s="172" t="s">
        <v>83</v>
      </c>
      <c r="B1428" s="172" t="s">
        <v>84</v>
      </c>
      <c r="C1428" s="172" t="s">
        <v>21</v>
      </c>
      <c r="D1428" s="172" t="s">
        <v>15</v>
      </c>
      <c r="E1428" s="173">
        <v>41919</v>
      </c>
      <c r="F1428" s="174">
        <v>2.2999999999999998</v>
      </c>
      <c r="G1428" s="175" t="s">
        <v>16</v>
      </c>
      <c r="H1428" s="172" t="s">
        <v>20</v>
      </c>
      <c r="I1428" s="175">
        <v>1</v>
      </c>
      <c r="J1428" s="175" t="s">
        <v>18</v>
      </c>
      <c r="K1428" s="175" t="s">
        <v>85</v>
      </c>
      <c r="L1428" s="172" t="s">
        <v>86</v>
      </c>
      <c r="M1428" s="115"/>
      <c r="N1428" s="115"/>
    </row>
    <row r="1429" spans="1:14" s="186" customFormat="1" x14ac:dyDescent="0.2">
      <c r="A1429" s="172" t="s">
        <v>83</v>
      </c>
      <c r="B1429" s="172" t="s">
        <v>84</v>
      </c>
      <c r="C1429" s="172" t="s">
        <v>21</v>
      </c>
      <c r="D1429" s="172" t="s">
        <v>15</v>
      </c>
      <c r="E1429" s="173">
        <v>41919</v>
      </c>
      <c r="F1429" s="174">
        <v>6.6945180000000004</v>
      </c>
      <c r="G1429" s="175" t="s">
        <v>19</v>
      </c>
      <c r="H1429" s="172" t="s">
        <v>20</v>
      </c>
      <c r="I1429" s="175">
        <v>1</v>
      </c>
      <c r="J1429" s="175" t="s">
        <v>18</v>
      </c>
      <c r="K1429" s="175" t="s">
        <v>85</v>
      </c>
      <c r="L1429" s="172" t="s">
        <v>86</v>
      </c>
      <c r="M1429" s="115"/>
      <c r="N1429" s="115"/>
    </row>
    <row r="1430" spans="1:14" s="186" customFormat="1" x14ac:dyDescent="0.2">
      <c r="A1430" s="172" t="s">
        <v>83</v>
      </c>
      <c r="B1430" s="172" t="s">
        <v>84</v>
      </c>
      <c r="C1430" s="172" t="s">
        <v>21</v>
      </c>
      <c r="D1430" s="172" t="s">
        <v>15</v>
      </c>
      <c r="E1430" s="173">
        <v>41912</v>
      </c>
      <c r="F1430" s="174">
        <v>3.1</v>
      </c>
      <c r="G1430" s="175" t="s">
        <v>16</v>
      </c>
      <c r="H1430" s="172" t="s">
        <v>17</v>
      </c>
      <c r="I1430" s="175">
        <v>1</v>
      </c>
      <c r="J1430" s="175" t="s">
        <v>18</v>
      </c>
      <c r="K1430" s="175" t="s">
        <v>85</v>
      </c>
      <c r="L1430" s="172" t="s">
        <v>86</v>
      </c>
      <c r="M1430" s="115"/>
      <c r="N1430" s="115"/>
    </row>
    <row r="1431" spans="1:14" s="186" customFormat="1" x14ac:dyDescent="0.2">
      <c r="A1431" s="172" t="s">
        <v>83</v>
      </c>
      <c r="B1431" s="172" t="s">
        <v>84</v>
      </c>
      <c r="C1431" s="172" t="s">
        <v>21</v>
      </c>
      <c r="D1431" s="172" t="s">
        <v>15</v>
      </c>
      <c r="E1431" s="173">
        <v>41912</v>
      </c>
      <c r="F1431" s="174">
        <v>8.4801120000000001</v>
      </c>
      <c r="G1431" s="175" t="s">
        <v>19</v>
      </c>
      <c r="H1431" s="172" t="s">
        <v>17</v>
      </c>
      <c r="I1431" s="175">
        <v>1</v>
      </c>
      <c r="J1431" s="175" t="s">
        <v>18</v>
      </c>
      <c r="K1431" s="175" t="s">
        <v>85</v>
      </c>
      <c r="L1431" s="172" t="s">
        <v>86</v>
      </c>
      <c r="M1431" s="115"/>
      <c r="N1431" s="115"/>
    </row>
    <row r="1432" spans="1:14" s="186" customFormat="1" x14ac:dyDescent="0.2">
      <c r="A1432" s="172" t="s">
        <v>83</v>
      </c>
      <c r="B1432" s="172" t="s">
        <v>84</v>
      </c>
      <c r="C1432" s="172" t="s">
        <v>21</v>
      </c>
      <c r="D1432" s="172" t="s">
        <v>15</v>
      </c>
      <c r="E1432" s="173">
        <v>41912</v>
      </c>
      <c r="F1432" s="174">
        <v>2.8</v>
      </c>
      <c r="G1432" s="175" t="s">
        <v>16</v>
      </c>
      <c r="H1432" s="172" t="s">
        <v>20</v>
      </c>
      <c r="I1432" s="175">
        <v>1</v>
      </c>
      <c r="J1432" s="175" t="s">
        <v>18</v>
      </c>
      <c r="K1432" s="175" t="s">
        <v>85</v>
      </c>
      <c r="L1432" s="172" t="s">
        <v>86</v>
      </c>
      <c r="M1432" s="115"/>
      <c r="N1432" s="115"/>
    </row>
    <row r="1433" spans="1:14" s="186" customFormat="1" x14ac:dyDescent="0.2">
      <c r="A1433" s="172" t="s">
        <v>83</v>
      </c>
      <c r="B1433" s="172" t="s">
        <v>84</v>
      </c>
      <c r="C1433" s="172" t="s">
        <v>21</v>
      </c>
      <c r="D1433" s="172" t="s">
        <v>15</v>
      </c>
      <c r="E1433" s="173">
        <v>41912</v>
      </c>
      <c r="F1433" s="174">
        <v>7.6594559999999996</v>
      </c>
      <c r="G1433" s="175" t="s">
        <v>19</v>
      </c>
      <c r="H1433" s="172" t="s">
        <v>20</v>
      </c>
      <c r="I1433" s="175">
        <v>1</v>
      </c>
      <c r="J1433" s="175" t="s">
        <v>18</v>
      </c>
      <c r="K1433" s="175" t="s">
        <v>85</v>
      </c>
      <c r="L1433" s="172" t="s">
        <v>86</v>
      </c>
      <c r="M1433" s="115"/>
      <c r="N1433" s="115"/>
    </row>
    <row r="1434" spans="1:14" s="186" customFormat="1" x14ac:dyDescent="0.2">
      <c r="A1434" s="172" t="s">
        <v>83</v>
      </c>
      <c r="B1434" s="172" t="s">
        <v>84</v>
      </c>
      <c r="C1434" s="172" t="s">
        <v>21</v>
      </c>
      <c r="D1434" s="172" t="s">
        <v>15</v>
      </c>
      <c r="E1434" s="173">
        <v>41907</v>
      </c>
      <c r="F1434" s="174">
        <v>2.2999999999999998</v>
      </c>
      <c r="G1434" s="175" t="s">
        <v>16</v>
      </c>
      <c r="H1434" s="172" t="s">
        <v>17</v>
      </c>
      <c r="I1434" s="175">
        <v>1</v>
      </c>
      <c r="J1434" s="175" t="s">
        <v>18</v>
      </c>
      <c r="K1434" s="175" t="s">
        <v>85</v>
      </c>
      <c r="L1434" s="172" t="s">
        <v>86</v>
      </c>
      <c r="M1434" s="115"/>
      <c r="N1434" s="115"/>
    </row>
    <row r="1435" spans="1:14" s="186" customFormat="1" x14ac:dyDescent="0.2">
      <c r="A1435" s="172" t="s">
        <v>83</v>
      </c>
      <c r="B1435" s="172" t="s">
        <v>84</v>
      </c>
      <c r="C1435" s="172" t="s">
        <v>21</v>
      </c>
      <c r="D1435" s="172" t="s">
        <v>15</v>
      </c>
      <c r="E1435" s="173">
        <v>41907</v>
      </c>
      <c r="F1435" s="174">
        <v>7.2507960000000002</v>
      </c>
      <c r="G1435" s="175" t="s">
        <v>19</v>
      </c>
      <c r="H1435" s="172" t="s">
        <v>17</v>
      </c>
      <c r="I1435" s="175">
        <v>1</v>
      </c>
      <c r="J1435" s="175" t="s">
        <v>18</v>
      </c>
      <c r="K1435" s="175" t="s">
        <v>85</v>
      </c>
      <c r="L1435" s="172" t="s">
        <v>86</v>
      </c>
      <c r="M1435" s="115"/>
      <c r="N1435" s="115"/>
    </row>
    <row r="1436" spans="1:14" s="186" customFormat="1" x14ac:dyDescent="0.2">
      <c r="A1436" s="172" t="s">
        <v>83</v>
      </c>
      <c r="B1436" s="172" t="s">
        <v>84</v>
      </c>
      <c r="C1436" s="172" t="s">
        <v>21</v>
      </c>
      <c r="D1436" s="172" t="s">
        <v>15</v>
      </c>
      <c r="E1436" s="173">
        <v>41907</v>
      </c>
      <c r="F1436" s="174">
        <v>2.6</v>
      </c>
      <c r="G1436" s="175" t="s">
        <v>16</v>
      </c>
      <c r="H1436" s="172" t="s">
        <v>20</v>
      </c>
      <c r="I1436" s="175">
        <v>1</v>
      </c>
      <c r="J1436" s="175" t="s">
        <v>18</v>
      </c>
      <c r="K1436" s="175" t="s">
        <v>85</v>
      </c>
      <c r="L1436" s="172" t="s">
        <v>86</v>
      </c>
      <c r="M1436" s="115"/>
      <c r="N1436" s="115"/>
    </row>
    <row r="1437" spans="1:14" s="186" customFormat="1" x14ac:dyDescent="0.2">
      <c r="A1437" s="172" t="s">
        <v>83</v>
      </c>
      <c r="B1437" s="172" t="s">
        <v>84</v>
      </c>
      <c r="C1437" s="172" t="s">
        <v>21</v>
      </c>
      <c r="D1437" s="172" t="s">
        <v>15</v>
      </c>
      <c r="E1437" s="173">
        <v>41907</v>
      </c>
      <c r="F1437" s="174">
        <v>8.1965520000000005</v>
      </c>
      <c r="G1437" s="175" t="s">
        <v>19</v>
      </c>
      <c r="H1437" s="172" t="s">
        <v>20</v>
      </c>
      <c r="I1437" s="175">
        <v>1</v>
      </c>
      <c r="J1437" s="175" t="s">
        <v>18</v>
      </c>
      <c r="K1437" s="175" t="s">
        <v>85</v>
      </c>
      <c r="L1437" s="172" t="s">
        <v>86</v>
      </c>
      <c r="M1437" s="115"/>
      <c r="N1437" s="115"/>
    </row>
    <row r="1438" spans="1:14" s="186" customFormat="1" x14ac:dyDescent="0.2">
      <c r="A1438" s="172" t="s">
        <v>83</v>
      </c>
      <c r="B1438" s="172" t="s">
        <v>84</v>
      </c>
      <c r="C1438" s="172" t="s">
        <v>21</v>
      </c>
      <c r="D1438" s="172" t="s">
        <v>15</v>
      </c>
      <c r="E1438" s="173">
        <v>41898</v>
      </c>
      <c r="F1438" s="174">
        <v>3.6</v>
      </c>
      <c r="G1438" s="175" t="s">
        <v>16</v>
      </c>
      <c r="H1438" s="172" t="s">
        <v>17</v>
      </c>
      <c r="I1438" s="175">
        <v>1</v>
      </c>
      <c r="J1438" s="175" t="s">
        <v>18</v>
      </c>
      <c r="K1438" s="175" t="s">
        <v>85</v>
      </c>
      <c r="L1438" s="172" t="s">
        <v>86</v>
      </c>
      <c r="M1438" s="115"/>
      <c r="N1438" s="115"/>
    </row>
    <row r="1439" spans="1:14" s="186" customFormat="1" x14ac:dyDescent="0.2">
      <c r="A1439" s="172" t="s">
        <v>83</v>
      </c>
      <c r="B1439" s="172" t="s">
        <v>84</v>
      </c>
      <c r="C1439" s="172" t="s">
        <v>21</v>
      </c>
      <c r="D1439" s="172" t="s">
        <v>15</v>
      </c>
      <c r="E1439" s="173">
        <v>41898</v>
      </c>
      <c r="F1439" s="174">
        <v>12.730176</v>
      </c>
      <c r="G1439" s="175" t="s">
        <v>19</v>
      </c>
      <c r="H1439" s="172" t="s">
        <v>17</v>
      </c>
      <c r="I1439" s="175">
        <v>1</v>
      </c>
      <c r="J1439" s="175" t="s">
        <v>18</v>
      </c>
      <c r="K1439" s="175" t="s">
        <v>85</v>
      </c>
      <c r="L1439" s="172" t="s">
        <v>86</v>
      </c>
      <c r="M1439" s="115"/>
      <c r="N1439" s="115"/>
    </row>
    <row r="1440" spans="1:14" s="186" customFormat="1" x14ac:dyDescent="0.2">
      <c r="A1440" s="172" t="s">
        <v>83</v>
      </c>
      <c r="B1440" s="172" t="s">
        <v>84</v>
      </c>
      <c r="C1440" s="172" t="s">
        <v>21</v>
      </c>
      <c r="D1440" s="172" t="s">
        <v>15</v>
      </c>
      <c r="E1440" s="173">
        <v>41898</v>
      </c>
      <c r="F1440" s="174">
        <v>2.2999999999999998</v>
      </c>
      <c r="G1440" s="175" t="s">
        <v>16</v>
      </c>
      <c r="H1440" s="172" t="s">
        <v>20</v>
      </c>
      <c r="I1440" s="175">
        <v>1</v>
      </c>
      <c r="J1440" s="175" t="s">
        <v>18</v>
      </c>
      <c r="K1440" s="175" t="s">
        <v>85</v>
      </c>
      <c r="L1440" s="172" t="s">
        <v>86</v>
      </c>
      <c r="M1440" s="115"/>
      <c r="N1440" s="115"/>
    </row>
    <row r="1441" spans="1:14" s="186" customFormat="1" x14ac:dyDescent="0.2">
      <c r="A1441" s="172" t="s">
        <v>83</v>
      </c>
      <c r="B1441" s="172" t="s">
        <v>84</v>
      </c>
      <c r="C1441" s="172" t="s">
        <v>21</v>
      </c>
      <c r="D1441" s="172" t="s">
        <v>15</v>
      </c>
      <c r="E1441" s="173">
        <v>41898</v>
      </c>
      <c r="F1441" s="174">
        <v>8.1331679999999995</v>
      </c>
      <c r="G1441" s="175" t="s">
        <v>19</v>
      </c>
      <c r="H1441" s="172" t="s">
        <v>20</v>
      </c>
      <c r="I1441" s="175">
        <v>1</v>
      </c>
      <c r="J1441" s="175" t="s">
        <v>18</v>
      </c>
      <c r="K1441" s="175" t="s">
        <v>85</v>
      </c>
      <c r="L1441" s="172" t="s">
        <v>86</v>
      </c>
      <c r="M1441" s="115"/>
      <c r="N1441" s="115"/>
    </row>
    <row r="1442" spans="1:14" s="186" customFormat="1" x14ac:dyDescent="0.2">
      <c r="A1442" s="172" t="s">
        <v>83</v>
      </c>
      <c r="B1442" s="172" t="s">
        <v>84</v>
      </c>
      <c r="C1442" s="172" t="s">
        <v>21</v>
      </c>
      <c r="D1442" s="172" t="s">
        <v>15</v>
      </c>
      <c r="E1442" s="173">
        <v>41891</v>
      </c>
      <c r="F1442" s="174">
        <v>4.3</v>
      </c>
      <c r="G1442" s="175" t="s">
        <v>16</v>
      </c>
      <c r="H1442" s="172" t="s">
        <v>17</v>
      </c>
      <c r="I1442" s="175">
        <v>1</v>
      </c>
      <c r="J1442" s="175" t="s">
        <v>18</v>
      </c>
      <c r="K1442" s="175" t="s">
        <v>85</v>
      </c>
      <c r="L1442" s="172" t="s">
        <v>86</v>
      </c>
      <c r="M1442" s="115"/>
      <c r="N1442" s="115"/>
    </row>
    <row r="1443" spans="1:14" s="186" customFormat="1" x14ac:dyDescent="0.2">
      <c r="A1443" s="172" t="s">
        <v>83</v>
      </c>
      <c r="B1443" s="172" t="s">
        <v>84</v>
      </c>
      <c r="C1443" s="172" t="s">
        <v>21</v>
      </c>
      <c r="D1443" s="172" t="s">
        <v>15</v>
      </c>
      <c r="E1443" s="173">
        <v>41891</v>
      </c>
      <c r="F1443" s="174">
        <v>14.846868000000001</v>
      </c>
      <c r="G1443" s="175" t="s">
        <v>19</v>
      </c>
      <c r="H1443" s="172" t="s">
        <v>17</v>
      </c>
      <c r="I1443" s="175">
        <v>1</v>
      </c>
      <c r="J1443" s="175" t="s">
        <v>18</v>
      </c>
      <c r="K1443" s="175" t="s">
        <v>85</v>
      </c>
      <c r="L1443" s="172" t="s">
        <v>86</v>
      </c>
      <c r="M1443" s="115"/>
      <c r="N1443" s="115"/>
    </row>
    <row r="1444" spans="1:14" s="186" customFormat="1" x14ac:dyDescent="0.2">
      <c r="A1444" s="172" t="s">
        <v>83</v>
      </c>
      <c r="B1444" s="172" t="s">
        <v>84</v>
      </c>
      <c r="C1444" s="172" t="s">
        <v>21</v>
      </c>
      <c r="D1444" s="172" t="s">
        <v>15</v>
      </c>
      <c r="E1444" s="173">
        <v>41891</v>
      </c>
      <c r="F1444" s="174">
        <v>2.2999999999999998</v>
      </c>
      <c r="G1444" s="175" t="s">
        <v>16</v>
      </c>
      <c r="H1444" s="172" t="s">
        <v>20</v>
      </c>
      <c r="I1444" s="175">
        <v>1</v>
      </c>
      <c r="J1444" s="175" t="s">
        <v>18</v>
      </c>
      <c r="K1444" s="175" t="s">
        <v>85</v>
      </c>
      <c r="L1444" s="172" t="s">
        <v>86</v>
      </c>
      <c r="M1444" s="115"/>
      <c r="N1444" s="115"/>
    </row>
    <row r="1445" spans="1:14" s="186" customFormat="1" x14ac:dyDescent="0.2">
      <c r="A1445" s="172" t="s">
        <v>83</v>
      </c>
      <c r="B1445" s="172" t="s">
        <v>84</v>
      </c>
      <c r="C1445" s="172" t="s">
        <v>21</v>
      </c>
      <c r="D1445" s="172" t="s">
        <v>15</v>
      </c>
      <c r="E1445" s="173">
        <v>41891</v>
      </c>
      <c r="F1445" s="174">
        <v>7.9413479999999996</v>
      </c>
      <c r="G1445" s="175" t="s">
        <v>19</v>
      </c>
      <c r="H1445" s="172" t="s">
        <v>20</v>
      </c>
      <c r="I1445" s="175">
        <v>1</v>
      </c>
      <c r="J1445" s="175" t="s">
        <v>18</v>
      </c>
      <c r="K1445" s="175" t="s">
        <v>85</v>
      </c>
      <c r="L1445" s="172" t="s">
        <v>86</v>
      </c>
      <c r="M1445" s="115"/>
      <c r="N1445" s="115"/>
    </row>
    <row r="1446" spans="1:14" s="186" customFormat="1" x14ac:dyDescent="0.2">
      <c r="A1446" s="172" t="s">
        <v>83</v>
      </c>
      <c r="B1446" s="172" t="s">
        <v>84</v>
      </c>
      <c r="C1446" s="172" t="s">
        <v>21</v>
      </c>
      <c r="D1446" s="172" t="s">
        <v>15</v>
      </c>
      <c r="E1446" s="173">
        <v>41886</v>
      </c>
      <c r="F1446" s="174">
        <v>3</v>
      </c>
      <c r="G1446" s="175" t="s">
        <v>16</v>
      </c>
      <c r="H1446" s="172" t="s">
        <v>17</v>
      </c>
      <c r="I1446" s="175">
        <v>1</v>
      </c>
      <c r="J1446" s="175" t="s">
        <v>18</v>
      </c>
      <c r="K1446" s="175" t="s">
        <v>85</v>
      </c>
      <c r="L1446" s="172" t="s">
        <v>86</v>
      </c>
      <c r="M1446" s="115"/>
      <c r="N1446" s="115"/>
    </row>
    <row r="1447" spans="1:14" s="186" customFormat="1" x14ac:dyDescent="0.2">
      <c r="A1447" s="172" t="s">
        <v>83</v>
      </c>
      <c r="B1447" s="172" t="s">
        <v>84</v>
      </c>
      <c r="C1447" s="172" t="s">
        <v>21</v>
      </c>
      <c r="D1447" s="172" t="s">
        <v>15</v>
      </c>
      <c r="E1447" s="173">
        <v>41886</v>
      </c>
      <c r="F1447" s="174">
        <v>11.208959999999999</v>
      </c>
      <c r="G1447" s="175" t="s">
        <v>19</v>
      </c>
      <c r="H1447" s="172" t="s">
        <v>17</v>
      </c>
      <c r="I1447" s="175">
        <v>1</v>
      </c>
      <c r="J1447" s="175" t="s">
        <v>18</v>
      </c>
      <c r="K1447" s="175" t="s">
        <v>85</v>
      </c>
      <c r="L1447" s="172" t="s">
        <v>86</v>
      </c>
      <c r="M1447" s="115"/>
      <c r="N1447" s="115"/>
    </row>
    <row r="1448" spans="1:14" s="186" customFormat="1" x14ac:dyDescent="0.2">
      <c r="A1448" s="172" t="s">
        <v>83</v>
      </c>
      <c r="B1448" s="172" t="s">
        <v>84</v>
      </c>
      <c r="C1448" s="172" t="s">
        <v>21</v>
      </c>
      <c r="D1448" s="172" t="s">
        <v>15</v>
      </c>
      <c r="E1448" s="173">
        <v>41886</v>
      </c>
      <c r="F1448" s="174">
        <v>2.1</v>
      </c>
      <c r="G1448" s="175" t="s">
        <v>16</v>
      </c>
      <c r="H1448" s="172" t="s">
        <v>20</v>
      </c>
      <c r="I1448" s="175">
        <v>1</v>
      </c>
      <c r="J1448" s="175" t="s">
        <v>18</v>
      </c>
      <c r="K1448" s="175" t="s">
        <v>85</v>
      </c>
      <c r="L1448" s="172" t="s">
        <v>86</v>
      </c>
      <c r="M1448" s="115"/>
      <c r="N1448" s="115"/>
    </row>
    <row r="1449" spans="1:14" s="186" customFormat="1" x14ac:dyDescent="0.2">
      <c r="A1449" s="172" t="s">
        <v>83</v>
      </c>
      <c r="B1449" s="172" t="s">
        <v>84</v>
      </c>
      <c r="C1449" s="172" t="s">
        <v>21</v>
      </c>
      <c r="D1449" s="172" t="s">
        <v>15</v>
      </c>
      <c r="E1449" s="173">
        <v>41886</v>
      </c>
      <c r="F1449" s="174">
        <v>7.8462719999999999</v>
      </c>
      <c r="G1449" s="175" t="s">
        <v>19</v>
      </c>
      <c r="H1449" s="172" t="s">
        <v>20</v>
      </c>
      <c r="I1449" s="175">
        <v>1</v>
      </c>
      <c r="J1449" s="175" t="s">
        <v>18</v>
      </c>
      <c r="K1449" s="175" t="s">
        <v>85</v>
      </c>
      <c r="L1449" s="172" t="s">
        <v>86</v>
      </c>
      <c r="M1449" s="115"/>
      <c r="N1449" s="1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B3" sqref="B3"/>
    </sheetView>
  </sheetViews>
  <sheetFormatPr defaultRowHeight="11.25" x14ac:dyDescent="0.2"/>
  <cols>
    <col min="1" max="1" width="11.85546875" style="4" customWidth="1"/>
    <col min="2" max="2" width="17" style="2" customWidth="1"/>
    <col min="3" max="4" width="6" style="3" customWidth="1"/>
    <col min="5" max="5" width="6" style="4" customWidth="1"/>
    <col min="6" max="6" width="7.28515625" style="4" customWidth="1"/>
    <col min="7" max="8" width="9" style="4" customWidth="1"/>
    <col min="9" max="11" width="6" style="4" customWidth="1"/>
    <col min="12" max="12" width="7.28515625" style="4" customWidth="1"/>
    <col min="13" max="13" width="9" style="4" customWidth="1"/>
    <col min="14" max="14" width="10.7109375" style="4" customWidth="1"/>
    <col min="15" max="16" width="7" style="4" customWidth="1"/>
    <col min="17" max="17" width="15" style="4" customWidth="1"/>
    <col min="18" max="18" width="3.7109375" style="4" customWidth="1"/>
    <col min="19" max="19" width="6" style="4" bestFit="1" customWidth="1"/>
    <col min="20" max="20" width="4" style="4" bestFit="1" customWidth="1"/>
    <col min="21" max="21" width="6" style="4" bestFit="1" customWidth="1"/>
    <col min="22" max="22" width="4.42578125" style="4" bestFit="1" customWidth="1"/>
    <col min="23" max="23" width="9" style="4" bestFit="1" customWidth="1"/>
    <col min="24" max="24" width="8.7109375" style="4" bestFit="1" customWidth="1"/>
    <col min="25" max="25" width="8.42578125" style="4" bestFit="1" customWidth="1"/>
    <col min="26" max="27" width="6.85546875" style="4" bestFit="1" customWidth="1"/>
    <col min="28" max="28" width="8.85546875" style="4" bestFit="1" customWidth="1"/>
    <col min="29" max="29" width="8.5703125" style="4" bestFit="1" customWidth="1"/>
    <col min="30" max="16384" width="9.140625" style="4"/>
  </cols>
  <sheetData>
    <row r="1" spans="1:17" ht="12.75" x14ac:dyDescent="0.2">
      <c r="A1" s="219" t="s">
        <v>87</v>
      </c>
      <c r="B1" s="220"/>
      <c r="C1" s="221" t="s">
        <v>22</v>
      </c>
      <c r="D1" s="221"/>
      <c r="E1" s="222">
        <v>41883</v>
      </c>
      <c r="F1" s="223"/>
      <c r="G1" s="2"/>
      <c r="L1" s="4" t="s">
        <v>88</v>
      </c>
    </row>
    <row r="2" spans="1:17" x14ac:dyDescent="0.2">
      <c r="A2" s="30" t="s">
        <v>23</v>
      </c>
      <c r="B2" s="5">
        <f>MIN(EldoraNDD!E:E)</f>
        <v>41886</v>
      </c>
      <c r="C2" s="224" t="s">
        <v>43</v>
      </c>
      <c r="D2" s="224"/>
      <c r="E2" s="225">
        <f>(B3-B2)/30</f>
        <v>44.3</v>
      </c>
      <c r="F2" s="226"/>
      <c r="L2" s="4" t="s">
        <v>89</v>
      </c>
    </row>
    <row r="3" spans="1:17" x14ac:dyDescent="0.2">
      <c r="A3" s="31" t="s">
        <v>24</v>
      </c>
      <c r="B3" s="32">
        <f>MAX(EldoraNDD!E:E)</f>
        <v>43215</v>
      </c>
      <c r="C3" s="208"/>
      <c r="D3" s="208"/>
      <c r="E3" s="208"/>
      <c r="F3" s="209"/>
    </row>
    <row r="4" spans="1:17" x14ac:dyDescent="0.2">
      <c r="B4" s="5"/>
      <c r="E4" s="3"/>
      <c r="F4" s="3"/>
    </row>
    <row r="5" spans="1:17" ht="12" thickBot="1" x14ac:dyDescent="0.25"/>
    <row r="6" spans="1:17" ht="11.25" customHeight="1" x14ac:dyDescent="0.2">
      <c r="A6" s="216" t="s">
        <v>25</v>
      </c>
      <c r="B6" s="210" t="s">
        <v>25</v>
      </c>
      <c r="C6" s="213" t="s">
        <v>26</v>
      </c>
      <c r="D6" s="214"/>
      <c r="E6" s="214"/>
      <c r="F6" s="214"/>
      <c r="G6" s="214"/>
      <c r="H6" s="214"/>
      <c r="I6" s="215" t="s">
        <v>44</v>
      </c>
      <c r="J6" s="215"/>
      <c r="K6" s="215"/>
      <c r="L6" s="215"/>
      <c r="M6" s="215"/>
      <c r="N6" s="215"/>
      <c r="O6" s="204" t="s">
        <v>27</v>
      </c>
      <c r="P6" s="205"/>
      <c r="Q6" s="199" t="s">
        <v>28</v>
      </c>
    </row>
    <row r="7" spans="1:17" ht="11.25" customHeight="1" x14ac:dyDescent="0.2">
      <c r="A7" s="217"/>
      <c r="B7" s="211"/>
      <c r="C7" s="201" t="s">
        <v>29</v>
      </c>
      <c r="D7" s="202"/>
      <c r="E7" s="201" t="s">
        <v>30</v>
      </c>
      <c r="F7" s="203"/>
      <c r="G7" s="203"/>
      <c r="H7" s="202"/>
      <c r="I7" s="201" t="s">
        <v>29</v>
      </c>
      <c r="J7" s="202"/>
      <c r="K7" s="201" t="s">
        <v>30</v>
      </c>
      <c r="L7" s="203"/>
      <c r="M7" s="203"/>
      <c r="N7" s="203"/>
      <c r="O7" s="206"/>
      <c r="P7" s="207"/>
      <c r="Q7" s="200"/>
    </row>
    <row r="8" spans="1:17" ht="11.25" customHeight="1" x14ac:dyDescent="0.2">
      <c r="A8" s="217"/>
      <c r="B8" s="212"/>
      <c r="C8" s="6" t="s">
        <v>31</v>
      </c>
      <c r="D8" s="7" t="s">
        <v>32</v>
      </c>
      <c r="E8" s="6" t="s">
        <v>31</v>
      </c>
      <c r="F8" s="8" t="s">
        <v>33</v>
      </c>
      <c r="G8" s="9" t="s">
        <v>34</v>
      </c>
      <c r="H8" s="10" t="s">
        <v>45</v>
      </c>
      <c r="I8" s="6" t="s">
        <v>31</v>
      </c>
      <c r="J8" s="7" t="s">
        <v>32</v>
      </c>
      <c r="K8" s="6" t="s">
        <v>31</v>
      </c>
      <c r="L8" s="8" t="s">
        <v>33</v>
      </c>
      <c r="M8" s="11" t="s">
        <v>35</v>
      </c>
      <c r="N8" s="10" t="s">
        <v>46</v>
      </c>
      <c r="O8" s="12" t="s">
        <v>36</v>
      </c>
      <c r="P8" s="171" t="s">
        <v>37</v>
      </c>
      <c r="Q8" s="33" t="s">
        <v>47</v>
      </c>
    </row>
    <row r="9" spans="1:17" s="21" customFormat="1" x14ac:dyDescent="0.2">
      <c r="A9" s="217"/>
      <c r="B9" s="73" t="s">
        <v>38</v>
      </c>
      <c r="C9" s="34">
        <f>COUNTIFS(EldoraNDD!C:C,"NITROGEN, TOTAL (AS N)",EldoraNDD!G:G,"MG/L",EldoraNDD!H:H,"RAW WASTE")</f>
        <v>182</v>
      </c>
      <c r="D9" s="35">
        <f>AVERAGEIFS(EldoraNDD!F:F,(EldoraNDD!C:C),("NITROGEN, TOTAL (AS N)"),(EldoraNDD!H:H),("RAW WASTE"),(EldoraNDD!G:G),("MG/L"))</f>
        <v>21.712307692307675</v>
      </c>
      <c r="E9" s="36">
        <f>COUNTIFS(EldoraNDD!C:C,"NITROGEN, TOTAL (AS N)",EldoraNDD!G:G,"LBS/DAY",EldoraNDD!H:H,"RAW WASTE")</f>
        <v>182</v>
      </c>
      <c r="F9" s="37">
        <f>AVERAGEIFS(EldoraNDD!F:F,(EldoraNDD!C:C),("NITROGEN, TOTAL (AS N)"),(EldoraNDD!H:H),("RAW WASTE"),(EldoraNDD!G:G),("LBS/DAY"))</f>
        <v>90.94667843461535</v>
      </c>
      <c r="G9" s="38">
        <f>(SUMIFS(EldoraNDD!F:F,(EldoraNDD!C:C),("NITROGEN, TOTAL (AS N)"),(EldoraNDD!H:H),("RAW WASTE"),(EldoraNDD!G:G),("LBS/DAY")))</f>
        <v>16552.295475099992</v>
      </c>
      <c r="H9" s="39">
        <f>F9*365</f>
        <v>33195.5376286346</v>
      </c>
      <c r="I9" s="36">
        <f>COUNTIFS(EldoraNDD!C:C,"NITROGEN, TOTAL (AS N)",EldoraNDD!G:G,"MG/L",EldoraNDD!H:H,"FINAL EFFLUENT")</f>
        <v>182</v>
      </c>
      <c r="J9" s="35">
        <f>(AVERAGEIFS(EldoraNDD!F:F,(EldoraNDD!C:C),("NITROGEN, TOTAL (AS N)"),(EldoraNDD!H:H),("FINAL EFFLUENT"),(EldoraNDD!G:G),("MG/L")))</f>
        <v>9.3614835164835082</v>
      </c>
      <c r="K9" s="36">
        <f>COUNTIFS(EldoraNDD!C:C,"NITROGEN, TOTAL (AS N)",EldoraNDD!G:G,"LBS/DAY",EldoraNDD!H:H,"FINAL EFFLUENT")</f>
        <v>182</v>
      </c>
      <c r="L9" s="37">
        <f>AVERAGEIFS(EldoraNDD!F:F,(EldoraNDD!C:C),("NITROGEN, TOTAL (AS N)"),(EldoraNDD!H:H),("FINAL EFFLUENT"),(EldoraNDD!G:G),("LBS/DAY"))</f>
        <v>40.575207099450552</v>
      </c>
      <c r="M9" s="38">
        <f>SUMIFS(EldoraNDD!F:F,(EldoraNDD!C:C),("NITROGEN, TOTAL (AS N)"),(EldoraNDD!H:H),("FINAL EFFLUENT"),(EldoraNDD!G:G),("LBS/DAY"))</f>
        <v>7384.6876921000003</v>
      </c>
      <c r="N9" s="39">
        <f>L9*365</f>
        <v>14809.950591299452</v>
      </c>
      <c r="O9" s="40">
        <f>((D9-J9))/D9</f>
        <v>0.56883977285380249</v>
      </c>
      <c r="P9" s="41">
        <f>((F9-L9))/F9</f>
        <v>0.55385718535480721</v>
      </c>
      <c r="Q9" s="42">
        <f>(F9-L9)*365</f>
        <v>18385.58703733515</v>
      </c>
    </row>
    <row r="10" spans="1:17" s="21" customFormat="1" ht="5.25" customHeight="1" x14ac:dyDescent="0.2">
      <c r="A10" s="217"/>
      <c r="B10" s="73"/>
      <c r="C10" s="13"/>
      <c r="D10" s="14"/>
      <c r="E10" s="15"/>
      <c r="F10" s="16"/>
      <c r="G10" s="17"/>
      <c r="H10" s="18"/>
      <c r="I10" s="15"/>
      <c r="J10" s="14"/>
      <c r="K10" s="15"/>
      <c r="L10" s="16"/>
      <c r="M10" s="16"/>
      <c r="N10" s="18"/>
      <c r="O10" s="19"/>
      <c r="P10" s="20"/>
      <c r="Q10" s="43"/>
    </row>
    <row r="11" spans="1:17" s="44" customFormat="1" x14ac:dyDescent="0.2">
      <c r="A11" s="217"/>
      <c r="B11" s="74" t="s">
        <v>51</v>
      </c>
      <c r="C11" s="75">
        <f>COUNTIFS(EldoraNDD!$E:$E,"&gt;=5/1/2014",EldoraNDD!$E:$E,"&lt;=4/30/2015",EldoraNDD!$C:$C,"NITROGEN, TOTAL (AS N)",EldoraNDD!$G:$G,"MG/L",EldoraNDD!$H:$H,"RAW WASTE")</f>
        <v>35</v>
      </c>
      <c r="D11" s="76">
        <f>AVERAGEIFS(EldoraNDD!$F:$F,EldoraNDD!$E:$E,"&gt;=5/1/2014",EldoraNDD!$E:$E,"&lt;=4/30/2015",(EldoraNDD!$C:$C),("NITROGEN, TOTAL (AS N)"),(EldoraNDD!$H:$H),("RAW WASTE"),(EldoraNDD!$G:$G),("MG/L"))</f>
        <v>23.07085714285715</v>
      </c>
      <c r="E11" s="77">
        <f>COUNTIFS(EldoraNDD!$E:$E,"&gt;=5/1/2014",EldoraNDD!$E:$E,"&lt;=4/30/2015",EldoraNDD!$C:$C,"NITROGEN, TOTAL (AS N)",EldoraNDD!$G:$G,"LBS/DAY",EldoraNDD!$H:$H,"RAW WASTE")</f>
        <v>35</v>
      </c>
      <c r="F11" s="187">
        <f>AVERAGEIFS(EldoraNDD!$F:$F,EldoraNDD!$E:$E,"&gt;=5/1/2014",EldoraNDD!$E:$E,"&lt;=4/30/2015",(EldoraNDD!$C:$C),("NITROGEN, TOTAL (AS N)"),(EldoraNDD!$H:$H),("RAW WASTE"),(EldoraNDD!$G:$G),("LBS/DAY"))</f>
        <v>82.487866114285737</v>
      </c>
      <c r="G11" s="78">
        <f>SUMIFS(EldoraNDD!$F:$F,EldoraNDD!$E:$E,"&gt;=5/1/2014",EldoraNDD!$E:$E,"&lt;=4/30/2015",(EldoraNDD!$C:$C),("NITROGEN, TOTAL (AS N)"),(EldoraNDD!$H:$H),("RAW WASTE"),(EldoraNDD!$G:$G),("LBS/DAY"))</f>
        <v>2887.0753140000006</v>
      </c>
      <c r="H11" s="79">
        <f>F11*365</f>
        <v>30108.071131714292</v>
      </c>
      <c r="I11" s="77">
        <f>COUNTIFS(EldoraNDD!$E:$E,"&gt;=5/1/2014",EldoraNDD!$E:$E,"&lt;=4/30/2015",EldoraNDD!$C:$C,"NITROGEN, TOTAL (AS N)",EldoraNDD!$G:$G,"MG/L",EldoraNDD!$H:$H,"FINAL EFFLUENT")</f>
        <v>35</v>
      </c>
      <c r="J11" s="76">
        <f>AVERAGEIFS(EldoraNDD!$F:$F,EldoraNDD!$E:$E,"&gt;=5/1/2014",EldoraNDD!$E:$E,"&lt;=4/30/2015",(EldoraNDD!$C:$C),("NITROGEN, TOTAL (AS N)"),(EldoraNDD!$H:$H),("FINAL EFFLUENT"),(EldoraNDD!$G:$G),("MG/L"))</f>
        <v>10.171428571428571</v>
      </c>
      <c r="K11" s="77">
        <f>COUNTIFS(EldoraNDD!$E:$E,"&gt;=5/1/2014",EldoraNDD!$E:$E,"&lt;=4/30/2015",EldoraNDD!$C:$C,"NITROGEN, TOTAL (AS N)",EldoraNDD!$G:$G,"LBS/DAY",EldoraNDD!$H:$H,"FINAL EFFLUENT")</f>
        <v>35</v>
      </c>
      <c r="L11" s="187">
        <f>AVERAGEIFS((EldoraNDD!$F:$F),EldoraNDD!$E:$E,"&gt;=5/1/2014",EldoraNDD!$E:$E,"&lt;=4/30/2015",(EldoraNDD!$C:$C),("NITROGEN, TOTAL (AS N)"),(EldoraNDD!$H:$H),("FINAL EFFLUENT"),(EldoraNDD!$G:$G),("LBS/DAY"))</f>
        <v>37.105041257142858</v>
      </c>
      <c r="M11" s="78">
        <f>SUMIFS(EldoraNDD!$F:$F,EldoraNDD!$E:$E,"&gt;=5/1/2014",EldoraNDD!$E:$E,"&lt;=4/30/2015",(EldoraNDD!$C:$C),("NITROGEN, TOTAL (AS N)"),(EldoraNDD!$H:$H),("FINAL EFFLUENT"),(EldoraNDD!$G:$G),("LBS/DAY"))</f>
        <v>1298.6764439999999</v>
      </c>
      <c r="N11" s="79">
        <f>L11*365</f>
        <v>13543.340058857144</v>
      </c>
      <c r="O11" s="80">
        <f>((D11-J11))/D11</f>
        <v>0.55912220736117324</v>
      </c>
      <c r="P11" s="81">
        <f>((F11-L11))/F11</f>
        <v>0.55017576517576094</v>
      </c>
      <c r="Q11" s="82">
        <f>(F11-L11)*365</f>
        <v>16564.73107285715</v>
      </c>
    </row>
    <row r="12" spans="1:17" s="21" customFormat="1" ht="5.25" customHeight="1" x14ac:dyDescent="0.2">
      <c r="A12" s="217"/>
      <c r="B12" s="73"/>
      <c r="C12" s="13"/>
      <c r="D12" s="14"/>
      <c r="E12" s="15"/>
      <c r="F12" s="16"/>
      <c r="G12" s="17"/>
      <c r="H12" s="18"/>
      <c r="I12" s="15"/>
      <c r="J12" s="14"/>
      <c r="K12" s="15"/>
      <c r="L12" s="16"/>
      <c r="M12" s="16"/>
      <c r="N12" s="18"/>
      <c r="O12" s="19"/>
      <c r="P12" s="20"/>
      <c r="Q12" s="43"/>
    </row>
    <row r="13" spans="1:17" s="54" customFormat="1" x14ac:dyDescent="0.2">
      <c r="A13" s="217"/>
      <c r="B13" s="83" t="s">
        <v>48</v>
      </c>
      <c r="C13" s="45">
        <f>COUNTIFS(EldoraNDD!$E:$E,"&gt;=1/1/2015",EldoraNDD!$E:$E,"&lt;=12/31/2015",EldoraNDD!$C:$C,"NITROGEN, TOTAL (AS N)",EldoraNDD!$G:$G,"MG/L",EldoraNDD!$H:$H,"RAW WASTE")</f>
        <v>47</v>
      </c>
      <c r="D13" s="46">
        <f>AVERAGEIFS(EldoraNDD!$F:$F,EldoraNDD!$E:$E,"&gt;=1/1/2015",EldoraNDD!$E:$E,"&lt;=12/31/2015",(EldoraNDD!$C:$C),("NITROGEN, TOTAL (AS N)"),(EldoraNDD!$H:$H),("RAW WASTE"),(EldoraNDD!$G:$G),("MG/L"))</f>
        <v>20.097659574468086</v>
      </c>
      <c r="E13" s="45">
        <f>COUNTIFS(EldoraNDD!$E:$E,"&gt;=1/1/2015",EldoraNDD!$E:$E,"&lt;=12/31/2015",EldoraNDD!$C:$C,"NITROGEN, TOTAL (AS N)",EldoraNDD!$G:$G,"LBS/DAY",EldoraNDD!$H:$H,"RAW WASTE")</f>
        <v>47</v>
      </c>
      <c r="F13" s="188">
        <f>AVERAGEIFS(EldoraNDD!$F:$F,EldoraNDD!$E:$E,"&gt;=1/1/2015",EldoraNDD!$E:$E,"&lt;=12/31/2015",(EldoraNDD!$C:$C),("NITROGEN, TOTAL (AS N)"),(EldoraNDD!$H:$H),("RAW WASTE"),(EldoraNDD!$G:$G),("LBS/DAY"))</f>
        <v>95.307759708510645</v>
      </c>
      <c r="G13" s="47">
        <f>SUMIFS(EldoraNDD!$F:$F,EldoraNDD!$E:$E,"&gt;=1/1/2015",EldoraNDD!$E:$E,"&lt;=12/31/2015",(EldoraNDD!$C:$C),("NITROGEN, TOTAL (AS N)"),(EldoraNDD!$H:$H),("RAW WASTE"),(EldoraNDD!$G:$G),("LBS/DAY"))</f>
        <v>4479.4647063000002</v>
      </c>
      <c r="H13" s="48">
        <f>F13*365</f>
        <v>34787.332293606385</v>
      </c>
      <c r="I13" s="45">
        <f>COUNTIFS(EldoraNDD!$E:$E,"&gt;=1/1/2015",EldoraNDD!$E:$E,"&lt;=12/31/2015",EldoraNDD!$C:$C,"NITROGEN, TOTAL (AS N)",EldoraNDD!$G:$G,"MG/L",EldoraNDD!$H:$H,"FINAL EFFLUENT")</f>
        <v>47</v>
      </c>
      <c r="J13" s="49">
        <f>AVERAGEIFS(EldoraNDD!$F:$F,EldoraNDD!$E:$E,"&gt;=1/1/2015",EldoraNDD!$E:$E,"&lt;=12/31/2015",(EldoraNDD!$C:$C),("NITROGEN, TOTAL (AS N)"),(EldoraNDD!$H:$H),("FINAL EFFLUENT"),(EldoraNDD!$G:$G),("MG/L"))</f>
        <v>8.2531914893617042</v>
      </c>
      <c r="K13" s="45">
        <f>COUNTIFS(EldoraNDD!$E:$E,"&gt;=1/1/2015",EldoraNDD!$E:$E,"&lt;=12/31/2015",EldoraNDD!$C:$C,"NITROGEN, TOTAL (AS N)",EldoraNDD!$G:$G,"LBS/DAY",EldoraNDD!$H:$H,"FINAL EFFLUENT")</f>
        <v>47</v>
      </c>
      <c r="L13" s="189">
        <f>AVERAGEIFS((EldoraNDD!$F:$F),EldoraNDD!$E:$E,"&gt;=1/1/2015",EldoraNDD!$E:$E,"&lt;=12/31/2015",(EldoraNDD!$C:$C),("NITROGEN, TOTAL (AS N)"),(EldoraNDD!$H:$H),("FINAL EFFLUENT"),(EldoraNDD!$G:$G),("LBS/DAY"))</f>
        <v>40.988342461702118</v>
      </c>
      <c r="M13" s="47">
        <f>SUMIFS(EldoraNDD!$F:$F,EldoraNDD!$E:$E,"&gt;=1/1/2015",EldoraNDD!$E:$E,"&lt;=12/31/2015",(EldoraNDD!$C:$C),("NITROGEN, TOTAL (AS N)"),(EldoraNDD!$H:$H),("FINAL EFFLUENT"),(EldoraNDD!$G:$G),("LBS/DAY"))</f>
        <v>1926.4520956999995</v>
      </c>
      <c r="N13" s="50">
        <f>L13*365</f>
        <v>14960.744998521273</v>
      </c>
      <c r="O13" s="51">
        <f>((D13-J13))/D13</f>
        <v>0.58934564202458195</v>
      </c>
      <c r="P13" s="52">
        <f>((F13-L13))/F13</f>
        <v>0.56993698532983139</v>
      </c>
      <c r="Q13" s="53">
        <f>(F13-L13)*365</f>
        <v>19826.587295085112</v>
      </c>
    </row>
    <row r="14" spans="1:17" s="44" customFormat="1" x14ac:dyDescent="0.2">
      <c r="A14" s="217"/>
      <c r="B14" s="84" t="s">
        <v>52</v>
      </c>
      <c r="C14" s="55">
        <f>COUNTIFS(EldoraNDD!$E:$E,"&gt;=5/1/2015",EldoraNDD!$E:$E,"&lt;=4/30/2016",EldoraNDD!$C:$C,"NITROGEN, TOTAL (AS N)",EldoraNDD!$G:$G,"MG/L",EldoraNDD!$H:$H,"RAW WASTE")</f>
        <v>46</v>
      </c>
      <c r="D14" s="56">
        <f>AVERAGEIFS(EldoraNDD!$F:$F,EldoraNDD!$E:$E,"&gt;=5/1/2015",EldoraNDD!$E:$E,"&lt;=4/30/2016",(EldoraNDD!$C:$C),("NITROGEN, TOTAL (AS N)"),(EldoraNDD!$H:$H),("RAW WASTE"),(EldoraNDD!$G:$G),("MG/L"))</f>
        <v>17.040869565217395</v>
      </c>
      <c r="E14" s="55">
        <f>COUNTIFS(EldoraNDD!$E:$E,"&gt;=5/1/2015",EldoraNDD!$E:$E,"&lt;=4/30/2016",EldoraNDD!$C:$C,"NITROGEN, TOTAL (AS N)",EldoraNDD!$G:$G,"LBS/DAY",EldoraNDD!$H:$H,"RAW WASTE")</f>
        <v>46</v>
      </c>
      <c r="F14" s="190">
        <f>AVERAGEIFS(EldoraNDD!$F:$F,EldoraNDD!$E:$E,"&gt;=5/1/2015",EldoraNDD!$E:$E,"&lt;=4/30/2016",(EldoraNDD!$C:$C),("NITROGEN, TOTAL (AS N)"),(EldoraNDD!$H:$H),("RAW WASTE"),(EldoraNDD!$G:$G),("LBS/DAY"))</f>
        <v>96.518809093478254</v>
      </c>
      <c r="G14" s="57">
        <f>SUMIFS(EldoraNDD!$F:$F,EldoraNDD!$E:$E,"&gt;=5/1/2015",EldoraNDD!$E:$E,"&lt;=4/30/2016",(EldoraNDD!$C:$C),("NITROGEN, TOTAL (AS N)"),(EldoraNDD!$H:$H),("RAW WASTE"),(EldoraNDD!$G:$G),("LBS/DAY"))</f>
        <v>4439.8652182999995</v>
      </c>
      <c r="H14" s="58">
        <f>F14*365</f>
        <v>35229.365319119563</v>
      </c>
      <c r="I14" s="55">
        <f>COUNTIFS(EldoraNDD!$E:$E,"&gt;=5/1/2015",EldoraNDD!$E:$E,"&lt;=4/30/2016",EldoraNDD!$C:$C,"NITROGEN, TOTAL (AS N)",EldoraNDD!$G:$G,"MG/L",EldoraNDD!$H:$H,"FINAL EFFLUENT")</f>
        <v>46</v>
      </c>
      <c r="J14" s="56">
        <f>AVERAGEIFS(EldoraNDD!$F:$F,EldoraNDD!$E:$E,"&gt;=5/1/2015",EldoraNDD!$E:$E,"&lt;=4/30/2016",(EldoraNDD!$C:$C),("NITROGEN, TOTAL (AS N)"),(EldoraNDD!$H:$H),("FINAL EFFLUENT"),(EldoraNDD!$G:$G),("MG/L"))</f>
        <v>7.9891304347826102</v>
      </c>
      <c r="K14" s="55">
        <f>COUNTIFS(EldoraNDD!$E:$E,"&gt;=5/1/2015",EldoraNDD!$E:$E,"&lt;=4/30/2016",EldoraNDD!$C:$C,"NITROGEN, TOTAL (AS N)",EldoraNDD!$G:$G,"LBS/DAY",EldoraNDD!$H:$H,"FINAL EFFLUENT")</f>
        <v>46</v>
      </c>
      <c r="L14" s="190">
        <f>AVERAGEIFS((EldoraNDD!$F:$F),EldoraNDD!$E:$E,"&gt;=5/1/2015",EldoraNDD!$E:$E,"&lt;=4/30/2016",(EldoraNDD!$C:$C),("NITROGEN, TOTAL (AS N)"),(EldoraNDD!$H:$H),("FINAL EFFLUENT"),(EldoraNDD!$G:$G),("LBS/DAY"))</f>
        <v>46.605087567391308</v>
      </c>
      <c r="M14" s="57">
        <f>SUMIFS(EldoraNDD!$F:$F,EldoraNDD!$E:$E,"&gt;=5/1/2015",EldoraNDD!$E:$E,"&lt;=4/30/2016",(EldoraNDD!$C:$C),("NITROGEN, TOTAL (AS N)"),(EldoraNDD!$H:$H),("FINAL EFFLUENT"),(EldoraNDD!$G:$G),("LBS/DAY"))</f>
        <v>2143.8340281000001</v>
      </c>
      <c r="N14" s="58">
        <f>L14*365</f>
        <v>17010.856962097827</v>
      </c>
      <c r="O14" s="59">
        <f>((D14-J14))/D14</f>
        <v>0.53117824156758697</v>
      </c>
      <c r="P14" s="60">
        <f>((F14-L14))/F14</f>
        <v>0.51713984035739202</v>
      </c>
      <c r="Q14" s="61">
        <f>(F14-L14)*365</f>
        <v>18218.508357021736</v>
      </c>
    </row>
    <row r="15" spans="1:17" s="71" customFormat="1" ht="5.25" customHeight="1" x14ac:dyDescent="0.2">
      <c r="A15" s="217"/>
      <c r="B15" s="85"/>
      <c r="C15" s="62"/>
      <c r="D15" s="63"/>
      <c r="E15" s="62"/>
      <c r="F15" s="191"/>
      <c r="G15" s="64"/>
      <c r="H15" s="65"/>
      <c r="I15" s="62"/>
      <c r="J15" s="66"/>
      <c r="K15" s="62"/>
      <c r="L15" s="192"/>
      <c r="M15" s="64"/>
      <c r="N15" s="67"/>
      <c r="O15" s="68"/>
      <c r="P15" s="69"/>
      <c r="Q15" s="70"/>
    </row>
    <row r="16" spans="1:17" s="71" customFormat="1" x14ac:dyDescent="0.2">
      <c r="A16" s="217"/>
      <c r="B16" s="86" t="s">
        <v>49</v>
      </c>
      <c r="C16" s="22">
        <f>COUNTIFS(EldoraNDD!$E:$E,"&gt;=1/1/2016",EldoraNDD!$E:$E,"&lt;=12/31/2016",EldoraNDD!$C:$C,"NITROGEN, TOTAL (AS N)",EldoraNDD!$G:$G,"MG/L",EldoraNDD!$H:$H,"RAW WASTE")</f>
        <v>51</v>
      </c>
      <c r="D16" s="23">
        <f>AVERAGEIFS(EldoraNDD!$F:$F,EldoraNDD!$E:$E,"&gt;=1/1/2016",EldoraNDD!$E:$E,"&lt;=12/31/2016",(EldoraNDD!$C:$C),("NITROGEN, TOTAL (AS N)"),(EldoraNDD!$H:$H),("RAW WASTE"),(EldoraNDD!$G:$G),("MG/L"))</f>
        <v>19.027450980392157</v>
      </c>
      <c r="E16" s="22">
        <f>COUNTIFS(EldoraNDD!$E:$E,"&gt;=1/1/2016",EldoraNDD!$E:$E,"&lt;=12/31/2016",EldoraNDD!$C:$C,"NITROGEN, TOTAL (AS N)",EldoraNDD!$G:$G,"LBS/DAY",EldoraNDD!$H:$H,"RAW WASTE")</f>
        <v>51</v>
      </c>
      <c r="F16" s="193">
        <f>AVERAGEIFS(EldoraNDD!$F:$F,EldoraNDD!$E:$E,"&gt;=1/1/2016",EldoraNDD!$E:$E,"&lt;=12/31/2016",(EldoraNDD!$C:$C),("NITROGEN, TOTAL (AS N)"),(EldoraNDD!$H:$H),("RAW WASTE"),(EldoraNDD!$G:$G),("LBS/DAY"))</f>
        <v>92.578676915686302</v>
      </c>
      <c r="G16" s="24">
        <f>SUMIFS(EldoraNDD!$F:$F,EldoraNDD!$E:$E,"&gt;=1/1/2016",EldoraNDD!$E:$E,"&lt;=12/31/2016",(EldoraNDD!$C:$C),("NITROGEN, TOTAL (AS N)"),(EldoraNDD!$H:$H),("RAW WASTE"),(EldoraNDD!$G:$G),("LBS/DAY"))</f>
        <v>4721.5125227000017</v>
      </c>
      <c r="H16" s="25">
        <f>F16*365</f>
        <v>33791.217074225497</v>
      </c>
      <c r="I16" s="22">
        <f>COUNTIFS(EldoraNDD!$E:$E,"&gt;=1/1/2016",EldoraNDD!$E:$E,"&lt;=12/31/2016",EldoraNDD!$C:$C,"NITROGEN, TOTAL (AS N)",EldoraNDD!$G:$G,"MG/L",EldoraNDD!$H:$H,"FINAL EFFLUENT")</f>
        <v>51</v>
      </c>
      <c r="J16" s="26">
        <f>AVERAGEIFS(EldoraNDD!$F:$F,EldoraNDD!$E:$E,"&gt;=1/1/2016",EldoraNDD!$E:$E,"&lt;=12/31/2016",(EldoraNDD!$C:$C),("NITROGEN, TOTAL (AS N)"),(EldoraNDD!$H:$H),("FINAL EFFLUENT"),(EldoraNDD!$G:$G),("MG/L"))</f>
        <v>9.2070588235294135</v>
      </c>
      <c r="K16" s="22">
        <f>COUNTIFS(EldoraNDD!$E:$E,"&gt;=1/1/2016",EldoraNDD!$E:$E,"&lt;=12/31/2016",EldoraNDD!$C:$C,"NITROGEN, TOTAL (AS N)",EldoraNDD!$G:$G,"LBS/DAY",EldoraNDD!$H:$H,"FINAL EFFLUENT")</f>
        <v>51</v>
      </c>
      <c r="L16" s="194">
        <f>AVERAGEIFS((EldoraNDD!$F:$F),EldoraNDD!$E:$E,"&gt;=1/1/2016",EldoraNDD!$E:$E,"&lt;=12/31/2016",(EldoraNDD!$C:$C),("NITROGEN, TOTAL (AS N)"),(EldoraNDD!$H:$H),("FINAL EFFLUENT"),(EldoraNDD!$G:$G),("LBS/DAY"))</f>
        <v>46.300044717647054</v>
      </c>
      <c r="M16" s="24">
        <f>SUMIFS(EldoraNDD!$F:$F,EldoraNDD!$E:$E,"&gt;=1/1/2016",EldoraNDD!$E:$E,"&lt;=12/31/2016",(EldoraNDD!$C:$C),("NITROGEN, TOTAL (AS N)"),(EldoraNDD!$H:$H),("FINAL EFFLUENT"),(EldoraNDD!$G:$G),("LBS/DAY"))</f>
        <v>2361.3022805999999</v>
      </c>
      <c r="N16" s="27">
        <f>L16*365</f>
        <v>16899.516321941173</v>
      </c>
      <c r="O16" s="28">
        <f>((D16-J16))/D16</f>
        <v>0.51611706512778222</v>
      </c>
      <c r="P16" s="29">
        <f>((F16-L16))/F16</f>
        <v>0.4998843550139126</v>
      </c>
      <c r="Q16" s="72">
        <f>(F16-L16)*365</f>
        <v>16891.700752284327</v>
      </c>
    </row>
    <row r="17" spans="1:17" s="44" customFormat="1" x14ac:dyDescent="0.2">
      <c r="A17" s="217"/>
      <c r="B17" s="87" t="s">
        <v>53</v>
      </c>
      <c r="C17" s="88">
        <f>COUNTIFS(EldoraNDD!$E:$E,"&gt;=5/1/2016",EldoraNDD!$E:$E,"&lt;=4/30/2017",EldoraNDD!$C:$C,"NITROGEN, TOTAL (AS N)",EldoraNDD!$G:$G,"MG/L",EldoraNDD!$H:$H,"RAW WASTE")</f>
        <v>51</v>
      </c>
      <c r="D17" s="89">
        <f>AVERAGEIFS(EldoraNDD!$F:$F,EldoraNDD!$E:$E,"&gt;=5/1/2016",EldoraNDD!$E:$E,"&lt;=4/30/2017",(EldoraNDD!$C:$C),("NITROGEN, TOTAL (AS N)"),(EldoraNDD!$H:$H),("RAW WASTE"),(EldoraNDD!$G:$G),("MG/L"))</f>
        <v>19.805882352941182</v>
      </c>
      <c r="E17" s="88">
        <f>COUNTIFS(EldoraNDD!$E:$E,"&gt;=5/1/2016",EldoraNDD!$E:$E,"&lt;=4/30/2017",EldoraNDD!$C:$C,"NITROGEN, TOTAL (AS N)",EldoraNDD!$G:$G,"LBS/DAY",EldoraNDD!$H:$H,"RAW WASTE")</f>
        <v>51</v>
      </c>
      <c r="F17" s="195">
        <f>AVERAGEIFS(EldoraNDD!$F:$F,EldoraNDD!$E:$E,"&gt;=5/1/2016",EldoraNDD!$E:$E,"&lt;=4/30/2017",(EldoraNDD!$C:$C),("NITROGEN, TOTAL (AS N)"),(EldoraNDD!$H:$H),("RAW WASTE"),(EldoraNDD!$G:$G),("LBS/DAY"))</f>
        <v>93.582142447058814</v>
      </c>
      <c r="G17" s="90">
        <f>SUMIFS(EldoraNDD!$F:$F,EldoraNDD!$E:$E,"&gt;=5/1/2016",EldoraNDD!$E:$E,"&lt;=4/30/2017",(EldoraNDD!$C:$C),("NITROGEN, TOTAL (AS N)"),(EldoraNDD!$H:$H),("RAW WASTE"),(EldoraNDD!$G:$G),("LBS/DAY"))</f>
        <v>4772.6892647999994</v>
      </c>
      <c r="H17" s="91">
        <f>F17*365</f>
        <v>34157.481993176465</v>
      </c>
      <c r="I17" s="88">
        <f>COUNTIFS(EldoraNDD!$E:$E,"&gt;=5/1/2016",EldoraNDD!$E:$E,"&lt;=4/30/2017",EldoraNDD!$C:$C,"NITROGEN, TOTAL (AS N)",EldoraNDD!$G:$G,"MG/L",EldoraNDD!$H:$H,"FINAL EFFLUENT")</f>
        <v>51</v>
      </c>
      <c r="J17" s="89">
        <f>AVERAGEIFS(EldoraNDD!$F:$F,EldoraNDD!$E:$E,"&gt;=5/1/2016",EldoraNDD!$E:$E,"&lt;=4/30/2017",(EldoraNDD!$C:$C),("NITROGEN, TOTAL (AS N)"),(EldoraNDD!$H:$H),("FINAL EFFLUENT"),(EldoraNDD!$G:$G),("MG/L"))</f>
        <v>9.0454901960784326</v>
      </c>
      <c r="K17" s="88">
        <f>COUNTIFS(EldoraNDD!$E:$E,"&gt;=5/1/2016",EldoraNDD!$E:$E,"&lt;=4/30/2017",EldoraNDD!$C:$C,"NITROGEN, TOTAL (AS N)",EldoraNDD!$G:$G,"LBS/DAY",EldoraNDD!$H:$H,"FINAL EFFLUENT")</f>
        <v>51</v>
      </c>
      <c r="L17" s="195">
        <f>AVERAGEIFS((EldoraNDD!$F:$F),EldoraNDD!$E:$E,"&gt;=5/1/2016",EldoraNDD!$E:$E,"&lt;=4/30/2017",(EldoraNDD!$C:$C),("NITROGEN, TOTAL (AS N)"),(EldoraNDD!$H:$H),("FINAL EFFLUENT"),(EldoraNDD!$G:$G),("LBS/DAY"))</f>
        <v>43.513367819607829</v>
      </c>
      <c r="M17" s="90">
        <f>SUMIFS(EldoraNDD!$F:$F,EldoraNDD!$E:$E,"&gt;=5/1/2016",EldoraNDD!$E:$E,"&lt;=4/30/2017",(EldoraNDD!$C:$C),("NITROGEN, TOTAL (AS N)"),(EldoraNDD!$H:$H),("FINAL EFFLUENT"),(EldoraNDD!$G:$G),("LBS/DAY"))</f>
        <v>2219.1817587999994</v>
      </c>
      <c r="N17" s="91">
        <f>L17*365</f>
        <v>15882.379254156858</v>
      </c>
      <c r="O17" s="92">
        <f>((D17-J17))/D17</f>
        <v>0.54329274329274335</v>
      </c>
      <c r="P17" s="93">
        <f>((F17-L17))/F17</f>
        <v>0.53502488101056067</v>
      </c>
      <c r="Q17" s="94">
        <f>(F17-L17)*365</f>
        <v>18275.10273901961</v>
      </c>
    </row>
    <row r="18" spans="1:17" s="44" customFormat="1" ht="5.25" customHeight="1" x14ac:dyDescent="0.2">
      <c r="A18" s="217"/>
      <c r="B18" s="95"/>
      <c r="C18" s="96"/>
      <c r="D18" s="97"/>
      <c r="E18" s="96"/>
      <c r="F18" s="98"/>
      <c r="G18" s="99"/>
      <c r="H18" s="99"/>
      <c r="I18" s="96"/>
      <c r="J18" s="97"/>
      <c r="K18" s="96"/>
      <c r="L18" s="98"/>
      <c r="M18" s="99"/>
      <c r="N18" s="99"/>
      <c r="O18" s="100"/>
      <c r="P18" s="100"/>
      <c r="Q18" s="101"/>
    </row>
    <row r="19" spans="1:17" s="112" customFormat="1" x14ac:dyDescent="0.2">
      <c r="A19" s="217"/>
      <c r="B19" s="102" t="s">
        <v>54</v>
      </c>
      <c r="C19" s="103">
        <f>COUNTIFS(EldoraNDD!$E:$E,"&gt;=1/1/2017",EldoraNDD!$E:$E,"&lt;=12/31/2017",EldoraNDD!$C:$C,"NITROGEN, TOTAL (AS N)",EldoraNDD!$G:$G,"MG/L",EldoraNDD!$H:$H,"RAW WASTE")</f>
        <v>49</v>
      </c>
      <c r="D19" s="104">
        <f>AVERAGEIFS(EldoraNDD!$F:$F,EldoraNDD!$E:$E,"&gt;=1/1/2017",EldoraNDD!$E:$E,"&lt;=12/31/2017",(EldoraNDD!$C:$C),("NITROGEN, TOTAL (AS N)"),(EldoraNDD!$H:$H),("RAW WASTE"),(EldoraNDD!$G:$G),("MG/L"))</f>
        <v>23.871020408163268</v>
      </c>
      <c r="E19" s="103">
        <f>COUNTIFS(EldoraNDD!$E:$E,"&gt;=1/1/2017",EldoraNDD!$E:$E,"&lt;=12/31/2017",EldoraNDD!$C:$C,"NITROGEN, TOTAL (AS N)",EldoraNDD!$G:$G,"LBS/DAY",EldoraNDD!$H:$H,"RAW WASTE")</f>
        <v>49</v>
      </c>
      <c r="F19" s="196">
        <f>AVERAGEIFS(EldoraNDD!$F:$F,EldoraNDD!$E:$E,"&gt;=1/1/2017",EldoraNDD!$E:$E,"&lt;=12/31/2017",(EldoraNDD!$C:$C),("NITROGEN, TOTAL (AS N)"),(EldoraNDD!$H:$H),("RAW WASTE"),(EldoraNDD!$G:$G),("LBS/DAY"))</f>
        <v>91.360881830612215</v>
      </c>
      <c r="G19" s="105">
        <f>SUMIFS(EldoraNDD!$F:$F,EldoraNDD!$E:$E,"&gt;=1/1/2017",EldoraNDD!$E:$E,"&lt;=12/31/2017",(EldoraNDD!$C:$C),("NITROGEN, TOTAL (AS N)"),(EldoraNDD!$H:$H),("RAW WASTE"),(EldoraNDD!$G:$G),("LBS/DAY"))</f>
        <v>4476.6832096999988</v>
      </c>
      <c r="H19" s="106">
        <f>F19*365</f>
        <v>33346.721868173459</v>
      </c>
      <c r="I19" s="103">
        <f>COUNTIFS(EldoraNDD!$E:$E,"&gt;=1/1/2017",EldoraNDD!$E:$E,"&lt;=12/31/2017",EldoraNDD!$C:$C,"NITROGEN, TOTAL (AS N)",EldoraNDD!$G:$G,"MG/L",EldoraNDD!$H:$H,"FINAL EFFLUENT")</f>
        <v>49</v>
      </c>
      <c r="J19" s="107">
        <f>AVERAGEIFS(EldoraNDD!$F:$F,EldoraNDD!$E:$E,"&gt;=1/1/2017",EldoraNDD!$E:$E,"&lt;=12/31/2017",(EldoraNDD!$C:$C),("NITROGEN, TOTAL (AS N)"),(EldoraNDD!$H:$H),("FINAL EFFLUENT"),(EldoraNDD!$G:$G),("MG/L"))</f>
        <v>9.6859183673469378</v>
      </c>
      <c r="K19" s="103">
        <f>COUNTIFS(EldoraNDD!$E:$E,"&gt;=1/1/2017",EldoraNDD!$E:$E,"&lt;=12/31/2017",EldoraNDD!$C:$C,"NITROGEN, TOTAL (AS N)",EldoraNDD!$G:$G,"LBS/DAY",EldoraNDD!$H:$H,"FINAL EFFLUENT")</f>
        <v>49</v>
      </c>
      <c r="L19" s="197">
        <f>AVERAGEIFS((EldoraNDD!$F:$F),EldoraNDD!$E:$E,"&gt;=1/1/2017",EldoraNDD!$E:$E,"&lt;=12/31/2017",(EldoraNDD!$C:$C),("NITROGEN, TOTAL (AS N)"),(EldoraNDD!$H:$H),("FINAL EFFLUENT"),(EldoraNDD!$G:$G),("LBS/DAY"))</f>
        <v>37.847107216326528</v>
      </c>
      <c r="M19" s="105">
        <f>SUMIFS(EldoraNDD!$F:$F,EldoraNDD!$E:$E,"&gt;=1/1/2017",EldoraNDD!$E:$E,"&lt;=12/31/2017",(EldoraNDD!$C:$C),("NITROGEN, TOTAL (AS N)"),(EldoraNDD!$H:$H),("FINAL EFFLUENT"),(EldoraNDD!$G:$G),("LBS/DAY"))</f>
        <v>1854.5082536</v>
      </c>
      <c r="N19" s="108">
        <f>L19*365</f>
        <v>13814.194133959183</v>
      </c>
      <c r="O19" s="109">
        <f>((D19-J19))/D19</f>
        <v>0.59423945010601198</v>
      </c>
      <c r="P19" s="110">
        <f>((F19-L19))/F19</f>
        <v>0.58574056578725875</v>
      </c>
      <c r="Q19" s="111">
        <f>(F19-L19)*365</f>
        <v>19532.527734214276</v>
      </c>
    </row>
    <row r="20" spans="1:17" s="44" customFormat="1" x14ac:dyDescent="0.2">
      <c r="A20" s="217"/>
      <c r="B20" s="169" t="s">
        <v>55</v>
      </c>
      <c r="C20" s="124">
        <f>COUNTIFS(EldoraNDD!$E:$E,"&gt;=5/1/2017",EldoraNDD!$E:$E,"&lt;=4/30/2018",EldoraNDD!$C:$C,"NITROGEN, TOTAL (AS N)",EldoraNDD!$G:$G,"MG/L",EldoraNDD!$H:$H,"RAW WASTE")</f>
        <v>50</v>
      </c>
      <c r="D20" s="125">
        <f>AVERAGEIFS(EldoraNDD!$F:$F,EldoraNDD!$E:$E,"&gt;=5/1/2017",EldoraNDD!$E:$E,"&lt;=4/30/2018",(EldoraNDD!$C:$C),("NITROGEN, TOTAL (AS N)"),(EldoraNDD!$H:$H),("RAW WASTE"),(EldoraNDD!$G:$G),("MG/L"))</f>
        <v>27.003599999999992</v>
      </c>
      <c r="E20" s="124">
        <f>COUNTIFS(EldoraNDD!$E:$E,"&gt;=5/1/2017",EldoraNDD!$E:$E,"&lt;=4/30/2018",EldoraNDD!$C:$C,"NITROGEN, TOTAL (AS N)",EldoraNDD!$G:$G,"LBS/DAY",EldoraNDD!$H:$H,"RAW WASTE")</f>
        <v>50</v>
      </c>
      <c r="F20" s="198">
        <f>AVERAGEIFS(EldoraNDD!$F:$F,EldoraNDD!$E:$E,"&gt;=5/1/2017",EldoraNDD!$E:$E,"&lt;=4/30/2018",(EldoraNDD!$C:$C),("NITROGEN, TOTAL (AS N)"),(EldoraNDD!$H:$H),("RAW WASTE"),(EldoraNDD!$G:$G),("LBS/DAY"))</f>
        <v>89.053313559999992</v>
      </c>
      <c r="G20" s="126">
        <f>SUMIFS(EldoraNDD!$F:$F,EldoraNDD!$E:$E,"&gt;=5/1/2017",EldoraNDD!$E:$E,"&lt;=4/30/2018",(EldoraNDD!$C:$C),("NITROGEN, TOTAL (AS N)"),(EldoraNDD!$H:$H),("RAW WASTE"),(EldoraNDD!$G:$G),("LBS/DAY"))</f>
        <v>4452.6656779999994</v>
      </c>
      <c r="H20" s="127">
        <f>F20*365</f>
        <v>32504.459449399998</v>
      </c>
      <c r="I20" s="124">
        <f>COUNTIFS(EldoraNDD!$E:$E,"&gt;=5/1/2017",EldoraNDD!$E:$E,"&lt;=4/30/2018",EldoraNDD!$C:$C,"NITROGEN, TOTAL (AS N)",EldoraNDD!$G:$G,"MG/L",EldoraNDD!$H:$H,"FINAL EFFLUENT")</f>
        <v>50</v>
      </c>
      <c r="J20" s="125">
        <f>AVERAGEIFS(EldoraNDD!$F:$F,EldoraNDD!$E:$E,"&gt;=5/1/2017",EldoraNDD!$E:$E,"&lt;=4/30/2018",(EldoraNDD!$C:$C),("NITROGEN, TOTAL (AS N)"),(EldoraNDD!$H:$H),("FINAL EFFLUENT"),(EldoraNDD!$G:$G),("MG/L"))</f>
        <v>10.3794</v>
      </c>
      <c r="K20" s="124">
        <f>COUNTIFS(EldoraNDD!$E:$E,"&gt;=5/1/2017",EldoraNDD!$E:$E,"&lt;=4/30/2018",EldoraNDD!$C:$C,"NITROGEN, TOTAL (AS N)",EldoraNDD!$G:$G,"LBS/DAY",EldoraNDD!$H:$H,"FINAL EFFLUENT")</f>
        <v>50</v>
      </c>
      <c r="L20" s="198">
        <f>AVERAGEIFS((EldoraNDD!$F:$F),EldoraNDD!$E:$E,"&gt;=5/1/2017",EldoraNDD!$E:$E,"&lt;=4/30/2018",(EldoraNDD!$C:$C),("NITROGEN, TOTAL (AS N)"),(EldoraNDD!$H:$H),("FINAL EFFLUENT"),(EldoraNDD!$G:$G),("LBS/DAY"))</f>
        <v>34.459909224</v>
      </c>
      <c r="M20" s="126">
        <f>SUMIFS(EldoraNDD!$F:$F,EldoraNDD!$E:$E,"&gt;=5/1/2017",EldoraNDD!$E:$E,"&lt;=4/30/2018",(EldoraNDD!$C:$C),("NITROGEN, TOTAL (AS N)"),(EldoraNDD!$H:$H),("FINAL EFFLUENT"),(EldoraNDD!$G:$G),("LBS/DAY"))</f>
        <v>1722.9954612000001</v>
      </c>
      <c r="N20" s="127">
        <f>L20*365</f>
        <v>12577.86686676</v>
      </c>
      <c r="O20" s="128">
        <f>((D20-J20))/D20</f>
        <v>0.61562902724081225</v>
      </c>
      <c r="P20" s="129">
        <f>((F20-L20))/F20</f>
        <v>0.61304180780670769</v>
      </c>
      <c r="Q20" s="130">
        <f>(F20-L20)*365</f>
        <v>19926.592582639998</v>
      </c>
    </row>
    <row r="21" spans="1:17" s="44" customFormat="1" ht="5.25" customHeight="1" x14ac:dyDescent="0.2">
      <c r="A21" s="217"/>
      <c r="B21" s="95"/>
      <c r="C21" s="96"/>
      <c r="D21" s="97"/>
      <c r="E21" s="96"/>
      <c r="F21" s="98"/>
      <c r="G21" s="99"/>
      <c r="H21" s="99"/>
      <c r="I21" s="96"/>
      <c r="J21" s="97"/>
      <c r="K21" s="96"/>
      <c r="L21" s="98"/>
      <c r="M21" s="99"/>
      <c r="N21" s="99"/>
      <c r="O21" s="100"/>
      <c r="P21" s="100"/>
      <c r="Q21" s="101"/>
    </row>
    <row r="22" spans="1:17" s="156" customFormat="1" x14ac:dyDescent="0.2">
      <c r="A22" s="217"/>
      <c r="B22" s="144" t="s">
        <v>60</v>
      </c>
      <c r="C22" s="145">
        <f>COUNTIFS(EldoraNDD!$E:$E,"&gt;=1/1/2018",EldoraNDD!$E:$E,"&lt;=12/31/2018",EldoraNDD!$C:$C,"NITROGEN, TOTAL (AS N)",EldoraNDD!$G:$G,"MG/L",EldoraNDD!$H:$H,"RAW WASTE")</f>
        <v>17</v>
      </c>
      <c r="D22" s="146">
        <f>AVERAGEIFS(EldoraNDD!$F:$F,EldoraNDD!$E:$E,"&gt;=1/1/2018",EldoraNDD!$E:$E,"&lt;=12/31/2018",(EldoraNDD!$C:$C),("NITROGEN, TOTAL (AS N)"),(EldoraNDD!$H:$H),("RAW WASTE"),(EldoraNDD!$G:$G),("MG/L"))</f>
        <v>28.041176470588233</v>
      </c>
      <c r="E22" s="145">
        <f>COUNTIFS(EldoraNDD!$E:$E,"&gt;=1/1/2018",EldoraNDD!$E:$E,"&lt;=12/31/2018",EldoraNDD!$C:$C,"NITROGEN, TOTAL (AS N)",EldoraNDD!$G:$G,"LBS/DAY",EldoraNDD!$H:$H,"RAW WASTE")</f>
        <v>17</v>
      </c>
      <c r="F22" s="147">
        <f>AVERAGEIFS(EldoraNDD!$F:$F,EldoraNDD!$E:$E,"&gt;=1/1/2018",EldoraNDD!$E:$E,"&lt;=12/31/2018",(EldoraNDD!$C:$C),("NITROGEN, TOTAL (AS N)"),(EldoraNDD!$H:$H),("RAW WASTE"),(EldoraNDD!$G:$G),("LBS/DAY"))</f>
        <v>92.207726823529399</v>
      </c>
      <c r="G22" s="148">
        <f>SUMIFS(EldoraNDD!$F:$F,EldoraNDD!$E:$E,"&gt;=1/1/2018",EldoraNDD!$E:$E,"&lt;=12/31/2018",(EldoraNDD!$C:$C),("NITROGEN, TOTAL (AS N)"),(EldoraNDD!$H:$H),("RAW WASTE"),(EldoraNDD!$G:$G),("LBS/DAY"))</f>
        <v>1567.5313559999997</v>
      </c>
      <c r="H22" s="149">
        <f>F22*365</f>
        <v>33655.820290588228</v>
      </c>
      <c r="I22" s="145">
        <f>COUNTIFS(EldoraNDD!$E:$E,"&gt;=1/1/2018",EldoraNDD!$E:$E,"&lt;=12/31/2018",EldoraNDD!$C:$C,"NITROGEN, TOTAL (AS N)",EldoraNDD!$G:$G,"MG/L",EldoraNDD!$H:$H,"FINAL EFFLUENT")</f>
        <v>17</v>
      </c>
      <c r="J22" s="150">
        <f>AVERAGEIFS(EldoraNDD!$F:$F,EldoraNDD!$E:$E,"&gt;=1/1/2018",EldoraNDD!$E:$E,"&lt;=12/31/2018",(EldoraNDD!$C:$C),("NITROGEN, TOTAL (AS N)"),(EldoraNDD!$H:$H),("FINAL EFFLUENT"),(EldoraNDD!$G:$G),("MG/L"))</f>
        <v>10.401176470588235</v>
      </c>
      <c r="K22" s="145">
        <f>COUNTIFS(EldoraNDD!$E:$E,"&gt;=1/1/2018",EldoraNDD!$E:$E,"&lt;=12/31/2018",EldoraNDD!$C:$C,"NITROGEN, TOTAL (AS N)",EldoraNDD!$G:$G,"LBS/DAY",EldoraNDD!$H:$H,"FINAL EFFLUENT")</f>
        <v>17</v>
      </c>
      <c r="L22" s="151">
        <f>AVERAGEIFS((EldoraNDD!$F:$F),EldoraNDD!$E:$E,"&gt;=1/1/2018",EldoraNDD!$E:$E,"&lt;=12/31/2018",(EldoraNDD!$C:$C),("NITROGEN, TOTAL (AS N)"),(EldoraNDD!$H:$H),("FINAL EFFLUENT"),(EldoraNDD!$G:$G),("LBS/DAY"))</f>
        <v>34.073575305882351</v>
      </c>
      <c r="M22" s="148">
        <f>SUMIFS(EldoraNDD!$F:$F,EldoraNDD!$E:$E,"&gt;=1/1/2018",EldoraNDD!$E:$E,"&lt;=12/31/2018",(EldoraNDD!$C:$C),("NITROGEN, TOTAL (AS N)"),(EldoraNDD!$H:$H),("FINAL EFFLUENT"),(EldoraNDD!$G:$G),("LBS/DAY"))</f>
        <v>579.25078020000001</v>
      </c>
      <c r="N22" s="152">
        <f>L22*365</f>
        <v>12436.854986647058</v>
      </c>
      <c r="O22" s="153">
        <f>((D22-J22))/D22</f>
        <v>0.62907488986784144</v>
      </c>
      <c r="P22" s="154">
        <f>((F22-L22))/F22</f>
        <v>0.63046941422714353</v>
      </c>
      <c r="Q22" s="155">
        <f>(F22-L22)*365</f>
        <v>21218.965303941171</v>
      </c>
    </row>
    <row r="23" spans="1:17" s="44" customFormat="1" ht="12" thickBot="1" x14ac:dyDescent="0.25">
      <c r="A23" s="218"/>
      <c r="B23" s="157" t="s">
        <v>61</v>
      </c>
      <c r="C23" s="158">
        <f>COUNTIFS(EldoraNDD!$E:$E,"&gt;=5/1/2018",EldoraNDD!$E:$E,"&lt;=4/30/2019",EldoraNDD!$C:$C,"NITROGEN, TOTAL (AS N)",EldoraNDD!$G:$G,"MG/L",EldoraNDD!$H:$H,"RAW WASTE")</f>
        <v>0</v>
      </c>
      <c r="D23" s="159" t="e">
        <f>AVERAGEIFS(EldoraNDD!$F:$F,EldoraNDD!$E:$E,"&gt;=5/1/2018",EldoraNDD!$E:$E,"&lt;=4/30/2019",(EldoraNDD!$C:$C),("NITROGEN, TOTAL (AS N)"),(EldoraNDD!$H:$H),("RAW WASTE"),(EldoraNDD!$G:$G),("MG/L"))</f>
        <v>#DIV/0!</v>
      </c>
      <c r="E23" s="158">
        <f>COUNTIFS(EldoraNDD!$E:$E,"&gt;=5/1/2018",EldoraNDD!$E:$E,"&lt;=4/30/2019",EldoraNDD!$C:$C,"NITROGEN, TOTAL (AS N)",EldoraNDD!$G:$G,"LBS/DAY",EldoraNDD!$H:$H,"RAW WASTE")</f>
        <v>0</v>
      </c>
      <c r="F23" s="160" t="e">
        <f>AVERAGEIFS(EldoraNDD!$F:$F,EldoraNDD!$E:$E,"&gt;=5/1/2018",EldoraNDD!$E:$E,"&lt;=4/30/2019",(EldoraNDD!$C:$C),("NITROGEN, TOTAL (AS N)"),(EldoraNDD!$H:$H),("RAW WASTE"),(EldoraNDD!$G:$G),("LBS/DAY"))</f>
        <v>#DIV/0!</v>
      </c>
      <c r="G23" s="161">
        <f>SUMIFS(EldoraNDD!$F:$F,EldoraNDD!$E:$E,"&gt;=5/1/2018",EldoraNDD!$E:$E,"&lt;=4/30/2019",(EldoraNDD!$C:$C),("NITROGEN, TOTAL (AS N)"),(EldoraNDD!$H:$H),("RAW WASTE"),(EldoraNDD!$G:$G),("LBS/DAY"))</f>
        <v>0</v>
      </c>
      <c r="H23" s="162" t="e">
        <f>F23*365</f>
        <v>#DIV/0!</v>
      </c>
      <c r="I23" s="158">
        <f>COUNTIFS(EldoraNDD!$E:$E,"&gt;=5/1/2018",EldoraNDD!$E:$E,"&lt;=4/30/2019",EldoraNDD!$C:$C,"NITROGEN, TOTAL (AS N)",EldoraNDD!$G:$G,"MG/L",EldoraNDD!$H:$H,"FINAL EFFLUENT")</f>
        <v>0</v>
      </c>
      <c r="J23" s="159" t="e">
        <f>AVERAGEIFS(EldoraNDD!$F:$F,EldoraNDD!$E:$E,"&gt;=5/1/2018",EldoraNDD!$E:$E,"&lt;=4/30/2019",(EldoraNDD!$C:$C),("NITROGEN, TOTAL (AS N)"),(EldoraNDD!$H:$H),("FINAL EFFLUENT"),(EldoraNDD!$G:$G),("MG/L"))</f>
        <v>#DIV/0!</v>
      </c>
      <c r="K23" s="158">
        <f>COUNTIFS(EldoraNDD!$E:$E,"&gt;=5/1/2018",EldoraNDD!$E:$E,"&lt;=4/30/2019",EldoraNDD!$C:$C,"NITROGEN, TOTAL (AS N)",EldoraNDD!$G:$G,"LBS/DAY",EldoraNDD!$H:$H,"FINAL EFFLUENT")</f>
        <v>0</v>
      </c>
      <c r="L23" s="160" t="e">
        <f>AVERAGEIFS((EldoraNDD!$F:$F),EldoraNDD!$E:$E,"&gt;=5/1/2018",EldoraNDD!$E:$E,"&lt;=4/30/2019",(EldoraNDD!$C:$C),("NITROGEN, TOTAL (AS N)"),(EldoraNDD!$H:$H),("FINAL EFFLUENT"),(EldoraNDD!$G:$G),("LBS/DAY"))</f>
        <v>#DIV/0!</v>
      </c>
      <c r="M23" s="161">
        <f>SUMIFS(EldoraNDD!$F:$F,EldoraNDD!$E:$E,"&gt;=5/1/2018",EldoraNDD!$E:$E,"&lt;=4/30/2019",(EldoraNDD!$C:$C),("NITROGEN, TOTAL (AS N)"),(EldoraNDD!$H:$H),("FINAL EFFLUENT"),(EldoraNDD!$G:$G),("LBS/DAY"))</f>
        <v>0</v>
      </c>
      <c r="N23" s="162" t="e">
        <f>L23*365</f>
        <v>#DIV/0!</v>
      </c>
      <c r="O23" s="163" t="e">
        <f>((D23-J23))/D23</f>
        <v>#DIV/0!</v>
      </c>
      <c r="P23" s="164" t="e">
        <f>((F23-L23))/F23</f>
        <v>#DIV/0!</v>
      </c>
      <c r="Q23" s="165" t="e">
        <f>(F23-L23)*365</f>
        <v>#DIV/0!</v>
      </c>
    </row>
    <row r="24" spans="1:17" s="44" customFormat="1" ht="11.25" customHeight="1" x14ac:dyDescent="0.2">
      <c r="A24" s="119"/>
      <c r="B24" s="95"/>
      <c r="C24" s="96"/>
      <c r="D24" s="97"/>
      <c r="E24" s="96"/>
      <c r="F24" s="98"/>
      <c r="G24" s="99"/>
      <c r="H24" s="99"/>
      <c r="I24" s="96"/>
      <c r="J24" s="97"/>
      <c r="K24" s="96"/>
      <c r="L24" s="98"/>
      <c r="M24" s="99"/>
      <c r="N24" s="99"/>
      <c r="O24" s="100"/>
      <c r="P24" s="166" t="s">
        <v>63</v>
      </c>
      <c r="Q24" s="99">
        <f>_xlfn.STDEV.P(Q14,Q17,Q20)</f>
        <v>792.19619830366048</v>
      </c>
    </row>
    <row r="25" spans="1:17" s="44" customFormat="1" ht="11.25" customHeight="1" x14ac:dyDescent="0.2">
      <c r="A25" s="119"/>
      <c r="B25" s="95"/>
      <c r="C25" s="96"/>
      <c r="D25" s="97"/>
      <c r="E25" s="96"/>
      <c r="F25" s="98"/>
      <c r="G25" s="99"/>
      <c r="H25" s="99"/>
      <c r="I25" s="96"/>
      <c r="J25" s="97"/>
      <c r="K25" s="96"/>
      <c r="L25" s="98"/>
      <c r="M25" s="99"/>
      <c r="N25" s="99"/>
      <c r="O25" s="100"/>
      <c r="P25" s="166" t="s">
        <v>64</v>
      </c>
      <c r="Q25" s="167">
        <f>(Q24/(AVERAGE(Q14,Q17,Q20)))</f>
        <v>4.2123006298344631E-2</v>
      </c>
    </row>
    <row r="26" spans="1:17" s="44" customFormat="1" ht="11.25" customHeight="1" x14ac:dyDescent="0.2">
      <c r="A26" s="119"/>
      <c r="B26" s="95"/>
      <c r="C26" s="96"/>
      <c r="D26" s="97"/>
      <c r="E26" s="96"/>
      <c r="F26" s="98"/>
      <c r="G26" s="99"/>
      <c r="H26" s="99"/>
      <c r="I26" s="96"/>
      <c r="J26" s="97"/>
      <c r="K26" s="96"/>
      <c r="L26" s="98"/>
      <c r="M26" s="99"/>
      <c r="N26" s="99"/>
      <c r="O26" s="100"/>
      <c r="P26" s="166" t="s">
        <v>65</v>
      </c>
      <c r="Q26" s="99">
        <f>_xlfn.STDEV.P(Q13,Q16,Q19)</f>
        <v>1319.6799777446861</v>
      </c>
    </row>
    <row r="27" spans="1:17" s="44" customFormat="1" ht="11.25" customHeight="1" x14ac:dyDescent="0.2">
      <c r="A27" s="119"/>
      <c r="B27" s="95"/>
      <c r="C27" s="96"/>
      <c r="D27" s="97"/>
      <c r="E27" s="96"/>
      <c r="F27" s="98"/>
      <c r="G27" s="99"/>
      <c r="H27" s="99"/>
      <c r="I27" s="96"/>
      <c r="J27" s="97"/>
      <c r="K27" s="96"/>
      <c r="L27" s="98"/>
      <c r="M27" s="99"/>
      <c r="N27" s="99"/>
      <c r="O27" s="100"/>
      <c r="P27" s="166" t="s">
        <v>66</v>
      </c>
      <c r="Q27" s="167">
        <f>Q26/(AVERAGE(Q13,Q16,Q19))</f>
        <v>7.0381911412744913E-2</v>
      </c>
    </row>
    <row r="28" spans="1:17" s="44" customFormat="1" ht="11.25" customHeight="1" x14ac:dyDescent="0.2">
      <c r="A28" s="119"/>
      <c r="B28" s="95"/>
      <c r="C28" s="96"/>
      <c r="D28" s="97"/>
      <c r="E28" s="96"/>
      <c r="F28" s="98"/>
      <c r="G28" s="99"/>
      <c r="H28" s="99"/>
      <c r="I28" s="96"/>
      <c r="J28" s="97"/>
      <c r="K28" s="96"/>
      <c r="L28" s="98"/>
      <c r="M28" s="99"/>
      <c r="N28" s="99"/>
      <c r="O28" s="100"/>
      <c r="P28" s="166" t="s">
        <v>67</v>
      </c>
      <c r="Q28" s="168">
        <f>_xlfn.STDEV.P(Q13:Q20)</f>
        <v>1088.7433294155765</v>
      </c>
    </row>
    <row r="29" spans="1:17" s="44" customFormat="1" ht="11.25" customHeight="1" x14ac:dyDescent="0.2">
      <c r="A29" s="119"/>
      <c r="B29" s="95"/>
      <c r="C29" s="96"/>
      <c r="D29" s="97"/>
      <c r="E29" s="96"/>
      <c r="F29" s="98"/>
      <c r="G29" s="99"/>
      <c r="H29" s="99"/>
      <c r="I29" s="96"/>
      <c r="J29" s="97"/>
      <c r="K29" s="96"/>
      <c r="L29" s="98"/>
      <c r="M29" s="99"/>
      <c r="N29" s="99"/>
      <c r="O29" s="100"/>
      <c r="P29" s="166" t="s">
        <v>68</v>
      </c>
      <c r="Q29" s="100">
        <f>Q28/(AVERAGE(Q13:Q20))</f>
        <v>5.7978174048537993E-2</v>
      </c>
    </row>
    <row r="30" spans="1:17" s="44" customFormat="1" ht="11.25" customHeight="1" x14ac:dyDescent="0.2">
      <c r="A30" s="119"/>
      <c r="B30" s="95"/>
      <c r="C30" s="96"/>
      <c r="D30" s="97"/>
      <c r="E30" s="96"/>
      <c r="F30" s="98"/>
      <c r="G30" s="99"/>
      <c r="H30" s="99"/>
      <c r="I30" s="96"/>
      <c r="J30" s="97"/>
      <c r="K30" s="96"/>
      <c r="L30" s="98"/>
      <c r="M30" s="99"/>
      <c r="N30" s="99"/>
      <c r="O30" s="100"/>
      <c r="P30" s="100"/>
      <c r="Q30" s="99"/>
    </row>
    <row r="31" spans="1:17" ht="11.25" customHeight="1" thickBot="1" x14ac:dyDescent="0.25"/>
    <row r="32" spans="1:17" ht="11.25" customHeight="1" x14ac:dyDescent="0.2">
      <c r="A32" s="216" t="s">
        <v>39</v>
      </c>
      <c r="B32" s="210" t="s">
        <v>39</v>
      </c>
      <c r="C32" s="213" t="s">
        <v>40</v>
      </c>
      <c r="D32" s="214"/>
      <c r="E32" s="214"/>
      <c r="F32" s="214"/>
      <c r="G32" s="214"/>
      <c r="H32" s="214"/>
      <c r="I32" s="215" t="s">
        <v>50</v>
      </c>
      <c r="J32" s="215"/>
      <c r="K32" s="215"/>
      <c r="L32" s="215"/>
      <c r="M32" s="215"/>
      <c r="N32" s="215"/>
      <c r="O32" s="204" t="s">
        <v>41</v>
      </c>
      <c r="P32" s="205"/>
      <c r="Q32" s="199" t="s">
        <v>80</v>
      </c>
    </row>
    <row r="33" spans="1:17" ht="11.25" customHeight="1" x14ac:dyDescent="0.2">
      <c r="A33" s="217"/>
      <c r="B33" s="211"/>
      <c r="C33" s="201" t="s">
        <v>29</v>
      </c>
      <c r="D33" s="202"/>
      <c r="E33" s="201" t="s">
        <v>30</v>
      </c>
      <c r="F33" s="203"/>
      <c r="G33" s="203"/>
      <c r="H33" s="202"/>
      <c r="I33" s="201" t="s">
        <v>29</v>
      </c>
      <c r="J33" s="202"/>
      <c r="K33" s="201" t="s">
        <v>30</v>
      </c>
      <c r="L33" s="203"/>
      <c r="M33" s="203"/>
      <c r="N33" s="203"/>
      <c r="O33" s="206"/>
      <c r="P33" s="207"/>
      <c r="Q33" s="200"/>
    </row>
    <row r="34" spans="1:17" ht="11.25" customHeight="1" x14ac:dyDescent="0.2">
      <c r="A34" s="217"/>
      <c r="B34" s="212"/>
      <c r="C34" s="6" t="s">
        <v>31</v>
      </c>
      <c r="D34" s="7" t="s">
        <v>32</v>
      </c>
      <c r="E34" s="6" t="s">
        <v>31</v>
      </c>
      <c r="F34" s="8" t="s">
        <v>33</v>
      </c>
      <c r="G34" s="9" t="s">
        <v>34</v>
      </c>
      <c r="H34" s="10" t="s">
        <v>45</v>
      </c>
      <c r="I34" s="6" t="s">
        <v>31</v>
      </c>
      <c r="J34" s="7" t="s">
        <v>32</v>
      </c>
      <c r="K34" s="6" t="s">
        <v>31</v>
      </c>
      <c r="L34" s="8" t="s">
        <v>33</v>
      </c>
      <c r="M34" s="11" t="s">
        <v>35</v>
      </c>
      <c r="N34" s="10" t="s">
        <v>46</v>
      </c>
      <c r="O34" s="12" t="s">
        <v>36</v>
      </c>
      <c r="P34" s="171" t="s">
        <v>37</v>
      </c>
      <c r="Q34" s="33" t="s">
        <v>47</v>
      </c>
    </row>
    <row r="35" spans="1:17" s="21" customFormat="1" x14ac:dyDescent="0.2">
      <c r="A35" s="217"/>
      <c r="B35" s="73" t="s">
        <v>38</v>
      </c>
      <c r="C35" s="34">
        <f>COUNTIFS(EldoraNDD!C:C,"PHOSPHORUS, TOTAL (AS P)",EldoraNDD!G:G,"MG/L",EldoraNDD!H:H,"RAW WASTE")</f>
        <v>180</v>
      </c>
      <c r="D35" s="35">
        <f>AVERAGEIFS(EldoraNDD!F:F,(EldoraNDD!C:C),("PHOSPHORUS, TOTAL (AS P)"),(EldoraNDD!H:H),("RAW WASTE"),(EldoraNDD!G:G),("MG/L"))</f>
        <v>3.1292944444444459</v>
      </c>
      <c r="E35" s="36">
        <f>COUNTIFS(EldoraNDD!C:C,"PHOSPHORUS, TOTAL (AS P)",EldoraNDD!G:G,"LBS/DAY",EldoraNDD!H:H,"RAW WASTE")</f>
        <v>180</v>
      </c>
      <c r="F35" s="37">
        <f>AVERAGEIFS(EldoraNDD!F:F,(EldoraNDD!C:C),("PHOSPHORUS, TOTAL (AS P)"),(EldoraNDD!H:H),("RAW WASTE"),(EldoraNDD!G:G),("LBS/DAY"))</f>
        <v>12.906363122222226</v>
      </c>
      <c r="G35" s="38">
        <f>(SUMIFS(EldoraNDD!F:F,(EldoraNDD!C:C),("PHOSPHORUS, TOTAL (AS P)"),(EldoraNDD!H:H),("RAW WASTE"),(EldoraNDD!G:G),("LBS/DAY")))</f>
        <v>2323.1453620000007</v>
      </c>
      <c r="H35" s="39">
        <f>F35*365</f>
        <v>4710.8225396111129</v>
      </c>
      <c r="I35" s="36">
        <f>COUNTIFS(EldoraNDD!C:C,"PHOSPHORUS, TOTAL (AS P)",EldoraNDD!G:G,"MG/L",EldoraNDD!H:H,"FINAL EFFLUENT")</f>
        <v>180</v>
      </c>
      <c r="J35" s="35">
        <f>(AVERAGEIFS(EldoraNDD!F:F,(EldoraNDD!C:C),("PHOSPHORUS, TOTAL (AS P)"),(EldoraNDD!H:H),("FINAL EFFLUENT"),(EldoraNDD!G:G),("MG/L")))</f>
        <v>2.0047888888888887</v>
      </c>
      <c r="K35" s="36">
        <f>COUNTIFS(EldoraNDD!C:C,"PHOSPHORUS, TOTAL (AS P)",EldoraNDD!G:G,"LBS/DAY",EldoraNDD!H:H,"FINAL EFFLUENT")</f>
        <v>180</v>
      </c>
      <c r="L35" s="37">
        <f>AVERAGEIFS(EldoraNDD!F:F,(EldoraNDD!C:C),("PHOSPHORUS, TOTAL (AS P)"),(EldoraNDD!H:H),("FINAL EFFLUENT"),(EldoraNDD!G:G),("LBS/DAY"))</f>
        <v>8.1910024616666703</v>
      </c>
      <c r="M35" s="38">
        <f>SUMIFS(EldoraNDD!F:F,(EldoraNDD!C:C),("PHOSPHORUS, TOTAL (AS P)"),(EldoraNDD!H:H),("FINAL EFFLUENT"),(EldoraNDD!G:G),("LBS/DAY"))</f>
        <v>1474.3804431000005</v>
      </c>
      <c r="N35" s="39">
        <f>L35*365</f>
        <v>2989.7158985083347</v>
      </c>
      <c r="O35" s="40">
        <f>((D35-J35))/D35</f>
        <v>0.35934795383410922</v>
      </c>
      <c r="P35" s="41">
        <f>((F35-L35))/F35</f>
        <v>0.36535161887988643</v>
      </c>
      <c r="Q35" s="42">
        <f>(F35-L35)*365</f>
        <v>1721.1066411027778</v>
      </c>
    </row>
    <row r="36" spans="1:17" s="21" customFormat="1" ht="5.25" customHeight="1" x14ac:dyDescent="0.2">
      <c r="A36" s="217"/>
      <c r="B36" s="73"/>
      <c r="C36" s="13"/>
      <c r="D36" s="14"/>
      <c r="E36" s="15"/>
      <c r="F36" s="16"/>
      <c r="G36" s="17"/>
      <c r="H36" s="18"/>
      <c r="I36" s="15"/>
      <c r="J36" s="14"/>
      <c r="K36" s="15"/>
      <c r="L36" s="16"/>
      <c r="M36" s="16"/>
      <c r="N36" s="18"/>
      <c r="O36" s="19"/>
      <c r="P36" s="20"/>
      <c r="Q36" s="43"/>
    </row>
    <row r="37" spans="1:17" s="44" customFormat="1" x14ac:dyDescent="0.2">
      <c r="A37" s="217"/>
      <c r="B37" s="74" t="s">
        <v>51</v>
      </c>
      <c r="C37" s="75">
        <f>COUNTIFS(EldoraNDD!$E:$E,"&gt;=5/1/2014",EldoraNDD!$E:$E,"&lt;=4/30/2015",EldoraNDD!$C:$C,"PHOSPHORUS, TOTAL (AS P)",EldoraNDD!$G:$G,"MG/L",EldoraNDD!$H:$H,"RAW WASTE")</f>
        <v>34</v>
      </c>
      <c r="D37" s="76">
        <f>AVERAGEIFS(EldoraNDD!$F:$F,EldoraNDD!$E:$E,"&gt;=5/1/2014",EldoraNDD!$E:$E,"&lt;=4/30/2015",(EldoraNDD!$C:$C),("PHOSPHORUS, TOTAL (AS P)"),(EldoraNDD!$H:$H),("RAW WASTE"),(EldoraNDD!$G:$G),("MG/L"))</f>
        <v>3.5385294117647059</v>
      </c>
      <c r="E37" s="77">
        <f>COUNTIFS(EldoraNDD!$E:$E,"&gt;=5/1/2014",EldoraNDD!$E:$E,"&lt;=4/30/2015",EldoraNDD!$C:$C,"PHOSPHORUS, TOTAL (AS P)",EldoraNDD!$G:$G,"LBS/DAY",EldoraNDD!$H:$H,"RAW WASTE")</f>
        <v>34</v>
      </c>
      <c r="F37" s="187">
        <f>AVERAGEIFS(EldoraNDD!$F:$F,EldoraNDD!$E:$E,"&gt;=5/1/2014",EldoraNDD!$E:$E,"&lt;=4/30/2015",(EldoraNDD!$C:$C),("PHOSPHORUS, TOTAL (AS P)"),(EldoraNDD!$H:$H),("RAW WASTE"),(EldoraNDD!$G:$G),("LBS/DAY"))</f>
        <v>12.237932029411764</v>
      </c>
      <c r="G37" s="78">
        <f>SUMIFS(EldoraNDD!$F:$F,EldoraNDD!$E:$E,"&gt;=5/1/2014",EldoraNDD!$E:$E,"&lt;=4/30/2015",(EldoraNDD!$C:$C),("PHOSPHORUS, TOTAL (AS P)"),(EldoraNDD!$H:$H),("RAW WASTE"),(EldoraNDD!$G:$G),("LBS/DAY"))</f>
        <v>416.08968899999996</v>
      </c>
      <c r="H37" s="79">
        <f>F37*365</f>
        <v>4466.8451907352937</v>
      </c>
      <c r="I37" s="77">
        <f>COUNTIFS(EldoraNDD!$E:$E,"&gt;=5/1/2014",EldoraNDD!$E:$E,"&lt;=4/30/2015",EldoraNDD!$C:$C,"PHOSPHORUS, TOTAL (AS P)",EldoraNDD!$G:$G,"MG/L",EldoraNDD!$H:$H,"FINAL EFFLUENT")</f>
        <v>34</v>
      </c>
      <c r="J37" s="76">
        <f>AVERAGEIFS(EldoraNDD!$F:$F,EldoraNDD!$E:$E,"&gt;=5/1/2014",EldoraNDD!$E:$E,"&lt;=4/30/2015",(EldoraNDD!$C:$C),("PHOSPHORUS, TOTAL (AS P)"),(EldoraNDD!$H:$H),("FINAL EFFLUENT"),(EldoraNDD!$G:$G),("MG/L"))</f>
        <v>2.157647058823529</v>
      </c>
      <c r="K37" s="77">
        <f>COUNTIFS(EldoraNDD!$E:$E,"&gt;=5/1/2014",EldoraNDD!$E:$E,"&lt;=4/30/2015",EldoraNDD!$C:$C,"PHOSPHORUS, TOTAL (AS P)",EldoraNDD!$G:$G,"LBS/DAY",EldoraNDD!$H:$H,"FINAL EFFLUENT")</f>
        <v>34</v>
      </c>
      <c r="L37" s="187">
        <f>AVERAGEIFS((EldoraNDD!$F:$F),EldoraNDD!$E:$E,"&gt;=5/1/2014",EldoraNDD!$E:$E,"&lt;=4/30/2015",(EldoraNDD!$C:$C),("PHOSPHORUS, TOTAL (AS P)"),(EldoraNDD!$H:$H),("FINAL EFFLUENT"),(EldoraNDD!$G:$G),("LBS/DAY"))</f>
        <v>7.5714493764705901</v>
      </c>
      <c r="M37" s="78">
        <f>SUMIFS(EldoraNDD!$F:$F,EldoraNDD!$E:$E,"&gt;=5/1/2014",EldoraNDD!$E:$E,"&lt;=4/30/2015",(EldoraNDD!$C:$C),("PHOSPHORUS, TOTAL (AS P)"),(EldoraNDD!$H:$H),("FINAL EFFLUENT"),(EldoraNDD!$G:$G),("LBS/DAY"))</f>
        <v>257.42927880000008</v>
      </c>
      <c r="N37" s="79">
        <f>L37*365</f>
        <v>2763.5790224117654</v>
      </c>
      <c r="O37" s="80">
        <f>((D37-J37))/D37</f>
        <v>0.39024187515584752</v>
      </c>
      <c r="P37" s="81">
        <f>((F37-L37))/F37</f>
        <v>0.3813130062927369</v>
      </c>
      <c r="Q37" s="82">
        <f>(F37-L37)*365</f>
        <v>1703.2661683235285</v>
      </c>
    </row>
    <row r="38" spans="1:17" s="21" customFormat="1" ht="5.25" customHeight="1" x14ac:dyDescent="0.2">
      <c r="A38" s="217"/>
      <c r="B38" s="73"/>
      <c r="C38" s="13"/>
      <c r="D38" s="14"/>
      <c r="E38" s="15"/>
      <c r="F38" s="16"/>
      <c r="G38" s="17"/>
      <c r="H38" s="18"/>
      <c r="I38" s="15"/>
      <c r="J38" s="14"/>
      <c r="K38" s="15"/>
      <c r="L38" s="16"/>
      <c r="M38" s="16"/>
      <c r="N38" s="18"/>
      <c r="O38" s="19"/>
      <c r="P38" s="20"/>
      <c r="Q38" s="43"/>
    </row>
    <row r="39" spans="1:17" s="54" customFormat="1" x14ac:dyDescent="0.2">
      <c r="A39" s="217"/>
      <c r="B39" s="83" t="s">
        <v>48</v>
      </c>
      <c r="C39" s="45">
        <f>COUNTIFS(EldoraNDD!$E:$E,"&gt;=1/1/2015",EldoraNDD!$E:$E,"&lt;=12/31/2015",EldoraNDD!$C:$C,"PHOSPHORUS, TOTAL (AS P)",EldoraNDD!$G:$G,"MG/L",EldoraNDD!$H:$H,"RAW WASTE")</f>
        <v>47</v>
      </c>
      <c r="D39" s="46">
        <f>AVERAGEIFS(EldoraNDD!$F:$F,EldoraNDD!$E:$E,"&gt;=1/1/2015",EldoraNDD!$E:$E,"&lt;=12/31/2015",(EldoraNDD!$C:$C),("PHOSPHORUS, TOTAL (AS P)"),(EldoraNDD!$H:$H),("RAW WASTE"),(EldoraNDD!$G:$G),("MG/L"))</f>
        <v>2.9341914893617025</v>
      </c>
      <c r="E39" s="45">
        <f>COUNTIFS(EldoraNDD!$E:$E,"&gt;=1/1/2015",EldoraNDD!$E:$E,"&lt;=12/31/2015",EldoraNDD!$C:$C,"PHOSPHORUS, TOTAL (AS P)",EldoraNDD!$G:$G,"LBS/DAY",EldoraNDD!$H:$H,"RAW WASTE")</f>
        <v>47</v>
      </c>
      <c r="F39" s="188">
        <f>AVERAGEIFS(EldoraNDD!$F:$F,EldoraNDD!$E:$E,"&gt;=1/1/2015",EldoraNDD!$E:$E,"&lt;=12/31/2015",(EldoraNDD!$C:$C),("PHOSPHORUS, TOTAL (AS P)"),(EldoraNDD!$H:$H),("RAW WASTE"),(EldoraNDD!$G:$G),("LBS/DAY"))</f>
        <v>13.537858851063827</v>
      </c>
      <c r="G39" s="47">
        <f>SUMIFS(EldoraNDD!$F:$F,EldoraNDD!$E:$E,"&gt;=1/1/2015",EldoraNDD!$E:$E,"&lt;=12/31/2015",(EldoraNDD!$C:$C),("PHOSPHORUS, TOTAL (AS P)"),(EldoraNDD!$H:$H),("RAW WASTE"),(EldoraNDD!$G:$G),("LBS/DAY"))</f>
        <v>636.27936599999987</v>
      </c>
      <c r="H39" s="48">
        <f>F39*365</f>
        <v>4941.3184806382969</v>
      </c>
      <c r="I39" s="45">
        <f>COUNTIFS(EldoraNDD!$E:$E,"&gt;=1/1/2015",EldoraNDD!$E:$E,"&lt;=12/31/2015",EldoraNDD!$C:$C,"PHOSPHORUS, TOTAL (AS P)",EldoraNDD!$G:$G,"MG/L",EldoraNDD!$H:$H,"FINAL EFFLUENT")</f>
        <v>47</v>
      </c>
      <c r="J39" s="49">
        <f>AVERAGEIFS(EldoraNDD!$F:$F,EldoraNDD!$E:$E,"&gt;=1/1/2015",EldoraNDD!$E:$E,"&lt;=12/31/2015",(EldoraNDD!$C:$C),("PHOSPHORUS, TOTAL (AS P)"),(EldoraNDD!$H:$H),("FINAL EFFLUENT"),(EldoraNDD!$G:$G),("MG/L"))</f>
        <v>1.7627021276595747</v>
      </c>
      <c r="K39" s="45">
        <f>COUNTIFS(EldoraNDD!$E:$E,"&gt;=1/1/2015",EldoraNDD!$E:$E,"&lt;=12/31/2015",EldoraNDD!$C:$C,"PHOSPHORUS, TOTAL (AS P)",EldoraNDD!$G:$G,"LBS/DAY",EldoraNDD!$H:$H,"FINAL EFFLUENT")</f>
        <v>47</v>
      </c>
      <c r="L39" s="189">
        <f>AVERAGEIFS((EldoraNDD!$F:$F),EldoraNDD!$E:$E,"&gt;=1/1/2015",EldoraNDD!$E:$E,"&lt;=12/31/2015",(EldoraNDD!$C:$C),("PHOSPHORUS, TOTAL (AS P)"),(EldoraNDD!$H:$H),("FINAL EFFLUENT"),(EldoraNDD!$G:$G),("LBS/DAY"))</f>
        <v>8.3950209234042568</v>
      </c>
      <c r="M39" s="47">
        <f>SUMIFS(EldoraNDD!$F:$F,EldoraNDD!$E:$E,"&gt;=1/1/2015",EldoraNDD!$E:$E,"&lt;=12/31/2015",(EldoraNDD!$C:$C),("PHOSPHORUS, TOTAL (AS P)"),(EldoraNDD!$H:$H),("FINAL EFFLUENT"),(EldoraNDD!$G:$G),("LBS/DAY"))</f>
        <v>394.56598340000011</v>
      </c>
      <c r="N39" s="50">
        <f>L39*365</f>
        <v>3064.1826370425538</v>
      </c>
      <c r="O39" s="51">
        <f>((D39-J39))/D39</f>
        <v>0.39925457010884147</v>
      </c>
      <c r="P39" s="52">
        <f>((F39-L39))/F39</f>
        <v>0.37988562181348479</v>
      </c>
      <c r="Q39" s="53">
        <f>(F39-L39)*365</f>
        <v>1877.1358435957432</v>
      </c>
    </row>
    <row r="40" spans="1:17" s="44" customFormat="1" x14ac:dyDescent="0.2">
      <c r="A40" s="217"/>
      <c r="B40" s="84" t="s">
        <v>52</v>
      </c>
      <c r="C40" s="55">
        <f>COUNTIFS(EldoraNDD!$E:$E,"&gt;=5/1/2015",EldoraNDD!$E:$E,"&lt;=4/30/2016",EldoraNDD!$C:$C,"PHOSPHORUS, TOTAL (AS P)",EldoraNDD!$G:$G,"MG/L",EldoraNDD!$H:$H,"RAW WASTE")</f>
        <v>47</v>
      </c>
      <c r="D40" s="56">
        <f>AVERAGEIFS(EldoraNDD!$F:$F,EldoraNDD!$E:$E,"&gt;=5/1/2015",EldoraNDD!$E:$E,"&lt;=4/30/2016",(EldoraNDD!$C:$C),("PHOSPHORUS, TOTAL (AS P)"),(EldoraNDD!$H:$H),("RAW WASTE"),(EldoraNDD!$G:$G),("MG/L"))</f>
        <v>2.4899361702127658</v>
      </c>
      <c r="E40" s="55">
        <f>COUNTIFS(EldoraNDD!$E:$E,"&gt;=5/1/2015",EldoraNDD!$E:$E,"&lt;=4/30/2016",EldoraNDD!$C:$C,"PHOSPHORUS, TOTAL (AS P)",EldoraNDD!$G:$G,"LBS/DAY",EldoraNDD!$H:$H,"RAW WASTE")</f>
        <v>47</v>
      </c>
      <c r="F40" s="190">
        <f>AVERAGEIFS(EldoraNDD!$F:$F,EldoraNDD!$E:$E,"&gt;=5/1/2015",EldoraNDD!$E:$E,"&lt;=4/30/2016",(EldoraNDD!$C:$C),("PHOSPHORUS, TOTAL (AS P)"),(EldoraNDD!$H:$H),("RAW WASTE"),(EldoraNDD!$G:$G),("LBS/DAY"))</f>
        <v>13.988843451063831</v>
      </c>
      <c r="G40" s="57">
        <f>SUMIFS(EldoraNDD!$F:$F,EldoraNDD!$E:$E,"&gt;=5/1/2015",EldoraNDD!$E:$E,"&lt;=4/30/2016",(EldoraNDD!$C:$C),("PHOSPHORUS, TOTAL (AS P)"),(EldoraNDD!$H:$H),("RAW WASTE"),(EldoraNDD!$G:$G),("LBS/DAY"))</f>
        <v>657.47564220000004</v>
      </c>
      <c r="H40" s="58">
        <f>F40*365</f>
        <v>5105.9278596382983</v>
      </c>
      <c r="I40" s="55">
        <f>COUNTIFS(EldoraNDD!$E:$E,"&gt;=5/1/2015",EldoraNDD!$E:$E,"&lt;=4/30/2016",EldoraNDD!$C:$C,"PHOSPHORUS, TOTAL (AS P)",EldoraNDD!$G:$G,"MG/L",EldoraNDD!$H:$H,"FINAL EFFLUENT")</f>
        <v>47</v>
      </c>
      <c r="J40" s="56">
        <f>AVERAGEIFS(EldoraNDD!$F:$F,EldoraNDD!$E:$E,"&gt;=5/1/2015",EldoraNDD!$E:$E,"&lt;=4/30/2016",(EldoraNDD!$C:$C),("PHOSPHORUS, TOTAL (AS P)"),(EldoraNDD!$H:$H),("FINAL EFFLUENT"),(EldoraNDD!$G:$G),("MG/L"))</f>
        <v>1.5453829787234041</v>
      </c>
      <c r="K40" s="55">
        <f>COUNTIFS(EldoraNDD!$E:$E,"&gt;=5/1/2015",EldoraNDD!$E:$E,"&lt;=4/30/2016",EldoraNDD!$C:$C,"PHOSPHORUS, TOTAL (AS P)",EldoraNDD!$G:$G,"LBS/DAY",EldoraNDD!$H:$H,"FINAL EFFLUENT")</f>
        <v>47</v>
      </c>
      <c r="L40" s="190">
        <f>AVERAGEIFS((EldoraNDD!$F:$F),EldoraNDD!$E:$E,"&gt;=5/1/2015",EldoraNDD!$E:$E,"&lt;=4/30/2016",(EldoraNDD!$C:$C),("PHOSPHORUS, TOTAL (AS P)"),(EldoraNDD!$H:$H),("FINAL EFFLUENT"),(EldoraNDD!$G:$G),("LBS/DAY"))</f>
        <v>8.6760455553191473</v>
      </c>
      <c r="M40" s="57">
        <f>SUMIFS(EldoraNDD!$F:$F,EldoraNDD!$E:$E,"&gt;=5/1/2015",EldoraNDD!$E:$E,"&lt;=4/30/2016",(EldoraNDD!$C:$C),("PHOSPHORUS, TOTAL (AS P)"),(EldoraNDD!$H:$H),("FINAL EFFLUENT"),(EldoraNDD!$G:$G),("LBS/DAY"))</f>
        <v>407.77414109999995</v>
      </c>
      <c r="N40" s="58">
        <f>L40*365</f>
        <v>3166.7566276914886</v>
      </c>
      <c r="O40" s="59">
        <f>((D40-J40))/D40</f>
        <v>0.37934835550770335</v>
      </c>
      <c r="P40" s="60">
        <f>((F40-L40))/F40</f>
        <v>0.37978821582570882</v>
      </c>
      <c r="Q40" s="61">
        <f>(F40-L40)*365</f>
        <v>1939.1712319468095</v>
      </c>
    </row>
    <row r="41" spans="1:17" s="71" customFormat="1" ht="5.25" customHeight="1" x14ac:dyDescent="0.2">
      <c r="A41" s="217"/>
      <c r="B41" s="85"/>
      <c r="C41" s="62"/>
      <c r="D41" s="63"/>
      <c r="E41" s="62"/>
      <c r="F41" s="191"/>
      <c r="G41" s="64"/>
      <c r="H41" s="65"/>
      <c r="I41" s="62"/>
      <c r="J41" s="66"/>
      <c r="K41" s="62"/>
      <c r="L41" s="192"/>
      <c r="M41" s="64"/>
      <c r="N41" s="67"/>
      <c r="O41" s="68"/>
      <c r="P41" s="69"/>
      <c r="Q41" s="70"/>
    </row>
    <row r="42" spans="1:17" s="71" customFormat="1" x14ac:dyDescent="0.2">
      <c r="A42" s="217"/>
      <c r="B42" s="86" t="s">
        <v>49</v>
      </c>
      <c r="C42" s="22">
        <f>COUNTIFS(EldoraNDD!$E:$E,"&gt;=1/1/2016",EldoraNDD!$E:$E,"&lt;=12/31/2016",EldoraNDD!$C:$C,"PHOSPHORUS, TOTAL (AS P)",EldoraNDD!$G:$G,"MG/L",EldoraNDD!$H:$H,"RAW WASTE")</f>
        <v>52</v>
      </c>
      <c r="D42" s="23">
        <f>AVERAGEIFS(EldoraNDD!$F:$F,EldoraNDD!$E:$E,"&gt;=1/1/2016",EldoraNDD!$E:$E,"&lt;=12/31/2016",(EldoraNDD!$C:$C),("PHOSPHORUS, TOTAL (AS P)"),(EldoraNDD!$H:$H),("RAW WASTE"),(EldoraNDD!$G:$G),("MG/L"))</f>
        <v>2.628076923076923</v>
      </c>
      <c r="E42" s="22">
        <f>COUNTIFS(EldoraNDD!$E:$E,"&gt;=1/1/2016",EldoraNDD!$E:$E,"&lt;=12/31/2016",EldoraNDD!$C:$C,"PHOSPHORUS, TOTAL (AS P)",EldoraNDD!$G:$G,"LBS/DAY",EldoraNDD!$H:$H,"RAW WASTE")</f>
        <v>52</v>
      </c>
      <c r="F42" s="193">
        <f>AVERAGEIFS(EldoraNDD!$F:$F,EldoraNDD!$E:$E,"&gt;=1/1/2016",EldoraNDD!$E:$E,"&lt;=12/31/2016",(EldoraNDD!$C:$C),("PHOSPHORUS, TOTAL (AS P)"),(EldoraNDD!$H:$H),("RAW WASTE"),(EldoraNDD!$G:$G),("LBS/DAY"))</f>
        <v>12.901665623076923</v>
      </c>
      <c r="G42" s="24">
        <f>SUMIFS(EldoraNDD!$F:$F,EldoraNDD!$E:$E,"&gt;=1/1/2016",EldoraNDD!$E:$E,"&lt;=12/31/2016",(EldoraNDD!$C:$C),("PHOSPHORUS, TOTAL (AS P)"),(EldoraNDD!$H:$H),("RAW WASTE"),(EldoraNDD!$G:$G),("LBS/DAY"))</f>
        <v>670.88661239999999</v>
      </c>
      <c r="H42" s="25">
        <f>F42*365</f>
        <v>4709.1079524230772</v>
      </c>
      <c r="I42" s="22">
        <f>COUNTIFS(EldoraNDD!$E:$E,"&gt;=1/1/2016",EldoraNDD!$E:$E,"&lt;=12/31/2016",EldoraNDD!$C:$C,"PHOSPHORUS, TOTAL (AS P)",EldoraNDD!$G:$G,"MG/L",EldoraNDD!$H:$H,"FINAL EFFLUENT")</f>
        <v>52</v>
      </c>
      <c r="J42" s="26">
        <f>AVERAGEIFS(EldoraNDD!$F:$F,EldoraNDD!$E:$E,"&gt;=1/1/2016",EldoraNDD!$E:$E,"&lt;=12/31/2016",(EldoraNDD!$C:$C),("PHOSPHORUS, TOTAL (AS P)"),(EldoraNDD!$H:$H),("FINAL EFFLUENT"),(EldoraNDD!$G:$G),("MG/L"))</f>
        <v>1.6207499999999995</v>
      </c>
      <c r="K42" s="22">
        <f>COUNTIFS(EldoraNDD!$E:$E,"&gt;=1/1/2016",EldoraNDD!$E:$E,"&lt;=12/31/2016",EldoraNDD!$C:$C,"PHOSPHORUS, TOTAL (AS P)",EldoraNDD!$G:$G,"LBS/DAY",EldoraNDD!$H:$H,"FINAL EFFLUENT")</f>
        <v>52</v>
      </c>
      <c r="L42" s="194">
        <f>AVERAGEIFS((EldoraNDD!$F:$F),EldoraNDD!$E:$E,"&gt;=1/1/2016",EldoraNDD!$E:$E,"&lt;=12/31/2016",(EldoraNDD!$C:$C),("PHOSPHORUS, TOTAL (AS P)"),(EldoraNDD!$H:$H),("FINAL EFFLUENT"),(EldoraNDD!$G:$G),("LBS/DAY"))</f>
        <v>7.7986290884615403</v>
      </c>
      <c r="M42" s="24">
        <f>SUMIFS(EldoraNDD!$F:$F,EldoraNDD!$E:$E,"&gt;=1/1/2016",EldoraNDD!$E:$E,"&lt;=12/31/2016",(EldoraNDD!$C:$C),("PHOSPHORUS, TOTAL (AS P)"),(EldoraNDD!$H:$H),("FINAL EFFLUENT"),(EldoraNDD!$G:$G),("LBS/DAY"))</f>
        <v>405.52871260000012</v>
      </c>
      <c r="N42" s="27">
        <f>L42*365</f>
        <v>2846.4996172884621</v>
      </c>
      <c r="O42" s="28">
        <f>((D42-J42))/D42</f>
        <v>0.38329430703936795</v>
      </c>
      <c r="P42" s="29">
        <f>((F42-L42))/F42</f>
        <v>0.39553315701250963</v>
      </c>
      <c r="Q42" s="72">
        <f>(F42-L42)*365</f>
        <v>1862.6083351346147</v>
      </c>
    </row>
    <row r="43" spans="1:17" s="44" customFormat="1" x14ac:dyDescent="0.2">
      <c r="A43" s="217"/>
      <c r="B43" s="87" t="s">
        <v>53</v>
      </c>
      <c r="C43" s="88">
        <f>COUNTIFS(EldoraNDD!$E:$E,"&gt;=5/1/2016",EldoraNDD!$E:$E,"&lt;=4/30/2017",EldoraNDD!$C:$C,"PHOSPHORUS, TOTAL (AS P)",EldoraNDD!$G:$G,"MG/L",EldoraNDD!$H:$H,"RAW WASTE")</f>
        <v>50</v>
      </c>
      <c r="D43" s="89">
        <f>AVERAGEIFS(EldoraNDD!$F:$F,EldoraNDD!$E:$E,"&gt;=5/1/2016",EldoraNDD!$E:$E,"&lt;=4/30/2017",(EldoraNDD!$C:$C),("PHOSPHORUS, TOTAL (AS P)"),(EldoraNDD!$H:$H),("RAW WASTE"),(EldoraNDD!$G:$G),("MG/L"))</f>
        <v>2.6724999999999999</v>
      </c>
      <c r="E43" s="88">
        <f>COUNTIFS(EldoraNDD!$E:$E,"&gt;=5/1/2016",EldoraNDD!$E:$E,"&lt;=4/30/2017",EldoraNDD!$C:$C,"PHOSPHORUS, TOTAL (AS P)",EldoraNDD!$G:$G,"LBS/DAY",EldoraNDD!$H:$H,"RAW WASTE")</f>
        <v>50</v>
      </c>
      <c r="F43" s="195">
        <f>AVERAGEIFS(EldoraNDD!$F:$F,EldoraNDD!$E:$E,"&gt;=5/1/2016",EldoraNDD!$E:$E,"&lt;=4/30/2017",(EldoraNDD!$C:$C),("PHOSPHORUS, TOTAL (AS P)"),(EldoraNDD!$H:$H),("RAW WASTE"),(EldoraNDD!$G:$G),("LBS/DAY"))</f>
        <v>12.499713428000002</v>
      </c>
      <c r="G43" s="90">
        <f>SUMIFS(EldoraNDD!$F:$F,EldoraNDD!$E:$E,"&gt;=5/1/2016",EldoraNDD!$E:$E,"&lt;=4/30/2017",(EldoraNDD!$C:$C),("PHOSPHORUS, TOTAL (AS P)"),(EldoraNDD!$H:$H),("RAW WASTE"),(EldoraNDD!$G:$G),("LBS/DAY"))</f>
        <v>624.98567140000011</v>
      </c>
      <c r="H43" s="91">
        <f>F43*365</f>
        <v>4562.3954012200002</v>
      </c>
      <c r="I43" s="88">
        <f>COUNTIFS(EldoraNDD!$E:$E,"&gt;=5/1/2016",EldoraNDD!$E:$E,"&lt;=4/30/2017",EldoraNDD!$C:$C,"PHOSPHORUS, TOTAL (AS P)",EldoraNDD!$G:$G,"MG/L",EldoraNDD!$H:$H,"FINAL EFFLUENT")</f>
        <v>50</v>
      </c>
      <c r="J43" s="89">
        <f>AVERAGEIFS(EldoraNDD!$F:$F,EldoraNDD!$E:$E,"&gt;=5/1/2016",EldoraNDD!$E:$E,"&lt;=4/30/2017",(EldoraNDD!$C:$C),("PHOSPHORUS, TOTAL (AS P)"),(EldoraNDD!$H:$H),("FINAL EFFLUENT"),(EldoraNDD!$G:$G),("MG/L"))</f>
        <v>1.6773599999999995</v>
      </c>
      <c r="K43" s="88">
        <f>COUNTIFS(EldoraNDD!$E:$E,"&gt;=5/1/2016",EldoraNDD!$E:$E,"&lt;=4/30/2017",EldoraNDD!$C:$C,"PHOSPHORUS, TOTAL (AS P)",EldoraNDD!$G:$G,"LBS/DAY",EldoraNDD!$H:$H,"FINAL EFFLUENT")</f>
        <v>50</v>
      </c>
      <c r="L43" s="195">
        <f>AVERAGEIFS((EldoraNDD!$F:$F),EldoraNDD!$E:$E,"&gt;=5/1/2016",EldoraNDD!$E:$E,"&lt;=4/30/2017",(EldoraNDD!$C:$C),("PHOSPHORUS, TOTAL (AS P)"),(EldoraNDD!$H:$H),("FINAL EFFLUENT"),(EldoraNDD!$G:$G),("LBS/DAY"))</f>
        <v>7.7542807799999993</v>
      </c>
      <c r="M43" s="90">
        <f>SUMIFS(EldoraNDD!$F:$F,EldoraNDD!$E:$E,"&gt;=5/1/2016",EldoraNDD!$E:$E,"&lt;=4/30/2017",(EldoraNDD!$C:$C),("PHOSPHORUS, TOTAL (AS P)"),(EldoraNDD!$H:$H),("FINAL EFFLUENT"),(EldoraNDD!$G:$G),("LBS/DAY"))</f>
        <v>387.71403899999996</v>
      </c>
      <c r="N43" s="91">
        <f>L43*365</f>
        <v>2830.3124846999999</v>
      </c>
      <c r="O43" s="92">
        <f>((D43-J43))/D43</f>
        <v>0.37236295603367647</v>
      </c>
      <c r="P43" s="93">
        <f>((F43-L43))/F43</f>
        <v>0.37964331545153579</v>
      </c>
      <c r="Q43" s="94">
        <f>(F43-L43)*365</f>
        <v>1732.0829165200007</v>
      </c>
    </row>
    <row r="44" spans="1:17" ht="5.25" customHeight="1" x14ac:dyDescent="0.2">
      <c r="A44" s="217"/>
      <c r="Q44" s="113"/>
    </row>
    <row r="45" spans="1:17" s="112" customFormat="1" x14ac:dyDescent="0.2">
      <c r="A45" s="217"/>
      <c r="B45" s="102" t="s">
        <v>54</v>
      </c>
      <c r="C45" s="103">
        <f>COUNTIFS(EldoraNDD!$E:$E,"&gt;=1/1/2017",EldoraNDD!$E:$E,"&lt;=12/31/2017",EldoraNDD!$C:$C,"PHOSPHORUS, TOTAL (AS P)",EldoraNDD!$G:$G,"MG/L",EldoraNDD!$H:$H,"RAW WASTE")</f>
        <v>48</v>
      </c>
      <c r="D45" s="104">
        <f>AVERAGEIFS(EldoraNDD!$F:$F,EldoraNDD!$E:$E,"&gt;=1/1/2017",EldoraNDD!$E:$E,"&lt;=12/31/2017",(EldoraNDD!$C:$C),("PHOSPHORUS, TOTAL (AS P)"),(EldoraNDD!$H:$H),("RAW WASTE"),(EldoraNDD!$G:$G),("MG/L"))</f>
        <v>3.3951249999999997</v>
      </c>
      <c r="E45" s="103">
        <f>COUNTIFS(EldoraNDD!$E:$E,"&gt;=1/1/2017",EldoraNDD!$E:$E,"&lt;=12/31/2017",EldoraNDD!$C:$C,"PHOSPHORUS, TOTAL (AS P)",EldoraNDD!$G:$G,"LBS/DAY",EldoraNDD!$H:$H,"RAW WASTE")</f>
        <v>48</v>
      </c>
      <c r="F45" s="196">
        <f>AVERAGEIFS(EldoraNDD!$F:$F,EldoraNDD!$E:$E,"&gt;=1/1/2017",EldoraNDD!$E:$E,"&lt;=12/31/2017",(EldoraNDD!$C:$C),("PHOSPHORUS, TOTAL (AS P)"),(EldoraNDD!$H:$H),("RAW WASTE"),(EldoraNDD!$G:$G),("LBS/DAY"))</f>
        <v>12.51301803333333</v>
      </c>
      <c r="G45" s="105">
        <f>SUMIFS(EldoraNDD!$F:$F,EldoraNDD!$E:$E,"&gt;=1/1/2017",EldoraNDD!$E:$E,"&lt;=12/31/2017",(EldoraNDD!$C:$C),("PHOSPHORUS, TOTAL (AS P)"),(EldoraNDD!$H:$H),("RAW WASTE"),(EldoraNDD!$G:$G),("LBS/DAY"))</f>
        <v>600.62486559999979</v>
      </c>
      <c r="H45" s="106">
        <f>F45*365</f>
        <v>4567.2515821666657</v>
      </c>
      <c r="I45" s="103">
        <f>COUNTIFS(EldoraNDD!$E:$E,"&gt;=1/1/2017",EldoraNDD!$E:$E,"&lt;=12/31/2017",EldoraNDD!$C:$C,"PHOSPHORUS, TOTAL (AS P)",EldoraNDD!$G:$G,"MG/L",EldoraNDD!$H:$H,"FINAL EFFLUENT")</f>
        <v>48</v>
      </c>
      <c r="J45" s="107">
        <f>AVERAGEIFS(EldoraNDD!$F:$F,EldoraNDD!$E:$E,"&gt;=1/1/2017",EldoraNDD!$E:$E,"&lt;=12/31/2017",(EldoraNDD!$C:$C),("PHOSPHORUS, TOTAL (AS P)"),(EldoraNDD!$H:$H),("FINAL EFFLUENT"),(EldoraNDD!$G:$G),("MG/L"))</f>
        <v>2.4013750000000003</v>
      </c>
      <c r="K45" s="103">
        <f>COUNTIFS(EldoraNDD!$E:$E,"&gt;=1/1/2017",EldoraNDD!$E:$E,"&lt;=12/31/2017",EldoraNDD!$C:$C,"PHOSPHORUS, TOTAL (AS P)",EldoraNDD!$G:$G,"LBS/DAY",EldoraNDD!$H:$H,"FINAL EFFLUENT")</f>
        <v>48</v>
      </c>
      <c r="L45" s="197">
        <f>AVERAGEIFS((EldoraNDD!$F:$F),EldoraNDD!$E:$E,"&gt;=1/1/2017",EldoraNDD!$E:$E,"&lt;=12/31/2017",(EldoraNDD!$C:$C),("PHOSPHORUS, TOTAL (AS P)"),(EldoraNDD!$H:$H),("FINAL EFFLUENT"),(EldoraNDD!$G:$G),("LBS/DAY"))</f>
        <v>8.6309130937499976</v>
      </c>
      <c r="M45" s="105">
        <f>SUMIFS(EldoraNDD!$F:$F,EldoraNDD!$E:$E,"&gt;=1/1/2017",EldoraNDD!$E:$E,"&lt;=12/31/2017",(EldoraNDD!$C:$C),("PHOSPHORUS, TOTAL (AS P)"),(EldoraNDD!$H:$H),("FINAL EFFLUENT"),(EldoraNDD!$G:$G),("LBS/DAY"))</f>
        <v>414.28382849999991</v>
      </c>
      <c r="N45" s="108">
        <f>L45*365</f>
        <v>3150.2832792187492</v>
      </c>
      <c r="O45" s="109">
        <f>((D45-J45))/D45</f>
        <v>0.2926990906078567</v>
      </c>
      <c r="P45" s="110">
        <f>((F45-L45))/F45</f>
        <v>0.31024529248194349</v>
      </c>
      <c r="Q45" s="111">
        <f>(F45-L45)*365</f>
        <v>1416.9683029479163</v>
      </c>
    </row>
    <row r="46" spans="1:17" s="44" customFormat="1" x14ac:dyDescent="0.2">
      <c r="A46" s="217"/>
      <c r="B46" s="169" t="s">
        <v>55</v>
      </c>
      <c r="C46" s="124">
        <f>COUNTIFS(EldoraNDD!$E:$E,"&gt;=5/1/2017",EldoraNDD!$E:$E,"&lt;=4/30/2018",EldoraNDD!$C:$C,"PHOSPHORUS, TOTAL (AS P)",EldoraNDD!$G:$G,"MG/L",EldoraNDD!$H:$H,"RAW WASTE")</f>
        <v>49</v>
      </c>
      <c r="D46" s="125">
        <f>AVERAGEIFS(EldoraNDD!$F:$F,EldoraNDD!$E:$E,"&gt;=5/1/2017",EldoraNDD!$E:$E,"&lt;=4/30/2018",(EldoraNDD!$C:$C),("PHOSPHORUS, TOTAL (AS P)"),(EldoraNDD!$H:$H),("RAW WASTE"),(EldoraNDD!$G:$G),("MG/L"))</f>
        <v>3.9247142857142858</v>
      </c>
      <c r="E46" s="124">
        <f>COUNTIFS(EldoraNDD!$E:$E,"&gt;=5/1/2017",EldoraNDD!$E:$E,"&lt;=4/30/2018",EldoraNDD!$C:$C,"PHOSPHORUS, TOTAL (AS P)",EldoraNDD!$G:$G,"LBS/DAY",EldoraNDD!$H:$H,"RAW WASTE")</f>
        <v>49</v>
      </c>
      <c r="F46" s="198">
        <f>AVERAGEIFS(EldoraNDD!$F:$F,EldoraNDD!$E:$E,"&gt;=5/1/2017",EldoraNDD!$E:$E,"&lt;=4/30/2018",(EldoraNDD!$C:$C),("PHOSPHORUS, TOTAL (AS P)"),(EldoraNDD!$H:$H),("RAW WASTE"),(EldoraNDD!$G:$G),("LBS/DAY"))</f>
        <v>12.746823661224488</v>
      </c>
      <c r="G46" s="126">
        <f>SUMIFS(EldoraNDD!$F:$F,EldoraNDD!$E:$E,"&gt;=5/1/2017",EldoraNDD!$E:$E,"&lt;=4/30/2018",(EldoraNDD!$C:$C),("PHOSPHORUS, TOTAL (AS P)"),(EldoraNDD!$H:$H),("RAW WASTE"),(EldoraNDD!$G:$G),("LBS/DAY"))</f>
        <v>624.59435939999992</v>
      </c>
      <c r="H46" s="127">
        <f>F46*365</f>
        <v>4652.5906363469376</v>
      </c>
      <c r="I46" s="124">
        <f>COUNTIFS(EldoraNDD!$E:$E,"&gt;=5/1/2017",EldoraNDD!$E:$E,"&lt;=4/30/2018",EldoraNDD!$C:$C,"PHOSPHORUS, TOTAL (AS P)",EldoraNDD!$G:$G,"MG/L",EldoraNDD!$H:$H,"FINAL EFFLUENT")</f>
        <v>49</v>
      </c>
      <c r="J46" s="125">
        <f>AVERAGEIFS(EldoraNDD!$F:$F,EldoraNDD!$E:$E,"&gt;=5/1/2017",EldoraNDD!$E:$E,"&lt;=4/30/2018",(EldoraNDD!$C:$C),("PHOSPHORUS, TOTAL (AS P)"),(EldoraNDD!$H:$H),("FINAL EFFLUENT"),(EldoraNDD!$G:$G),("MG/L"))</f>
        <v>2.6734897959183668</v>
      </c>
      <c r="K46" s="124">
        <f>COUNTIFS(EldoraNDD!$E:$E,"&gt;=5/1/2017",EldoraNDD!$E:$E,"&lt;=4/30/2018",EldoraNDD!$C:$C,"PHOSPHORUS, TOTAL (AS P)",EldoraNDD!$G:$G,"LBS/DAY",EldoraNDD!$H:$H,"FINAL EFFLUENT")</f>
        <v>49</v>
      </c>
      <c r="L46" s="198">
        <f>AVERAGEIFS((EldoraNDD!$F:$F),EldoraNDD!$E:$E,"&gt;=5/1/2017",EldoraNDD!$E:$E,"&lt;=4/30/2018",(EldoraNDD!$C:$C),("PHOSPHORUS, TOTAL (AS P)"),(EldoraNDD!$H:$H),("FINAL EFFLUENT"),(EldoraNDD!$G:$G),("LBS/DAY"))</f>
        <v>8.6012853918367345</v>
      </c>
      <c r="M46" s="126">
        <f>SUMIFS(EldoraNDD!$F:$F,EldoraNDD!$E:$E,"&gt;=5/1/2017",EldoraNDD!$E:$E,"&lt;=4/30/2018",(EldoraNDD!$C:$C),("PHOSPHORUS, TOTAL (AS P)"),(EldoraNDD!$H:$H),("FINAL EFFLUENT"),(EldoraNDD!$G:$G),("LBS/DAY"))</f>
        <v>421.46298419999999</v>
      </c>
      <c r="N46" s="127">
        <f>L46*365</f>
        <v>3139.4691680204082</v>
      </c>
      <c r="O46" s="128">
        <f>((D46-J46))/D46</f>
        <v>0.31880651652791586</v>
      </c>
      <c r="P46" s="129">
        <f>((F46-L46))/F46</f>
        <v>0.32522127704632603</v>
      </c>
      <c r="Q46" s="130">
        <f>(F46-L46)*365</f>
        <v>1513.1214683265298</v>
      </c>
    </row>
    <row r="47" spans="1:17" s="44" customFormat="1" ht="5.25" customHeight="1" x14ac:dyDescent="0.2">
      <c r="A47" s="217"/>
      <c r="B47" s="95"/>
      <c r="C47" s="96"/>
      <c r="D47" s="97"/>
      <c r="E47" s="96"/>
      <c r="F47" s="98"/>
      <c r="G47" s="99"/>
      <c r="H47" s="99"/>
      <c r="I47" s="96"/>
      <c r="J47" s="97"/>
      <c r="K47" s="96"/>
      <c r="L47" s="98"/>
      <c r="M47" s="99"/>
      <c r="N47" s="99"/>
      <c r="O47" s="100"/>
      <c r="P47" s="100"/>
      <c r="Q47" s="101"/>
    </row>
    <row r="48" spans="1:17" s="156" customFormat="1" x14ac:dyDescent="0.2">
      <c r="A48" s="217"/>
      <c r="B48" s="144" t="s">
        <v>60</v>
      </c>
      <c r="C48" s="145">
        <f>COUNTIFS(EldoraNDD!$E:$E,"&gt;=1/1/2018",EldoraNDD!$E:$E,"&lt;=12/31/2018",EldoraNDD!$C:$C,"PHOSPHORUS, TOTAL (AS P)",EldoraNDD!$G:$G,"MG/L",EldoraNDD!$H:$H,"RAW WASTE")</f>
        <v>16</v>
      </c>
      <c r="D48" s="146">
        <f>AVERAGEIFS(EldoraNDD!$F:$F,EldoraNDD!$E:$E,"&gt;=1/1/2018",EldoraNDD!$E:$E,"&lt;=12/31/2018",(EldoraNDD!$C:$C),("PHOSPHORUS, TOTAL (AS P)"),(EldoraNDD!$H:$H),("RAW WASTE"),(EldoraNDD!$G:$G),("MG/L"))</f>
        <v>4.0337500000000004</v>
      </c>
      <c r="E48" s="145">
        <f>COUNTIFS(EldoraNDD!$E:$E,"&gt;=1/1/2018",EldoraNDD!$E:$E,"&lt;=12/31/2018",EldoraNDD!$C:$C,"PHOSPHORUS, TOTAL (AS P)",EldoraNDD!$G:$G,"LBS/DAY",EldoraNDD!$H:$H,"RAW WASTE")</f>
        <v>16</v>
      </c>
      <c r="F48" s="147">
        <f>AVERAGEIFS(EldoraNDD!$F:$F,EldoraNDD!$E:$E,"&gt;=1/1/2018",EldoraNDD!$E:$E,"&lt;=12/31/2018",(EldoraNDD!$C:$C),("PHOSPHORUS, TOTAL (AS P)"),(EldoraNDD!$H:$H),("RAW WASTE"),(EldoraNDD!$G:$G),("LBS/DAY"))</f>
        <v>13.098386999999999</v>
      </c>
      <c r="G48" s="148">
        <f>SUMIFS(EldoraNDD!$F:$F,EldoraNDD!$E:$E,"&gt;=1/1/2018",EldoraNDD!$E:$E,"&lt;=12/31/2018",(EldoraNDD!$C:$C),("PHOSPHORUS, TOTAL (AS P)"),(EldoraNDD!$H:$H),("RAW WASTE"),(EldoraNDD!$G:$G),("LBS/DAY"))</f>
        <v>209.57419199999998</v>
      </c>
      <c r="H48" s="149">
        <f>F48*365</f>
        <v>4780.911255</v>
      </c>
      <c r="I48" s="145">
        <f>COUNTIFS(EldoraNDD!$E:$E,"&gt;=1/1/2018",EldoraNDD!$E:$E,"&lt;=12/31/2018",EldoraNDD!$C:$C,"PHOSPHORUS, TOTAL (AS P)",EldoraNDD!$G:$G,"MG/L",EldoraNDD!$H:$H,"FINAL EFFLUENT")</f>
        <v>16</v>
      </c>
      <c r="J48" s="150">
        <f>AVERAGEIFS(EldoraNDD!$F:$F,EldoraNDD!$E:$E,"&gt;=1/1/2018",EldoraNDD!$E:$E,"&lt;=12/31/2018",(EldoraNDD!$C:$C),("PHOSPHORUS, TOTAL (AS P)"),(EldoraNDD!$H:$H),("FINAL EFFLUENT"),(EldoraNDD!$G:$G),("MG/L"))</f>
        <v>2.285625</v>
      </c>
      <c r="K48" s="145">
        <f>COUNTIFS(EldoraNDD!$E:$E,"&gt;=1/1/2018",EldoraNDD!$E:$E,"&lt;=12/31/2018",EldoraNDD!$C:$C,"PHOSPHORUS, TOTAL (AS P)",EldoraNDD!$G:$G,"LBS/DAY",EldoraNDD!$H:$H,"FINAL EFFLUENT")</f>
        <v>16</v>
      </c>
      <c r="L48" s="151">
        <f>AVERAGEIFS((EldoraNDD!$F:$F),EldoraNDD!$E:$E,"&gt;=1/1/2018",EldoraNDD!$E:$E,"&lt;=12/31/2018",(EldoraNDD!$C:$C),("PHOSPHORUS, TOTAL (AS P)"),(EldoraNDD!$H:$H),("FINAL EFFLUENT"),(EldoraNDD!$G:$G),("LBS/DAY"))</f>
        <v>7.3108387875000016</v>
      </c>
      <c r="M48" s="148">
        <f>SUMIFS(EldoraNDD!$F:$F,EldoraNDD!$E:$E,"&gt;=1/1/2018",EldoraNDD!$E:$E,"&lt;=12/31/2018",(EldoraNDD!$C:$C),("PHOSPHORUS, TOTAL (AS P)"),(EldoraNDD!$H:$H),("FINAL EFFLUENT"),(EldoraNDD!$G:$G),("LBS/DAY"))</f>
        <v>116.97342060000003</v>
      </c>
      <c r="N48" s="152">
        <f>L48*365</f>
        <v>2668.4561574375007</v>
      </c>
      <c r="O48" s="153">
        <f>((D48-J48))/D48</f>
        <v>0.43337465137898984</v>
      </c>
      <c r="P48" s="154">
        <f>((F48-L48))/F48</f>
        <v>0.44185197860622061</v>
      </c>
      <c r="Q48" s="155">
        <f>(F48-L48)*365</f>
        <v>2112.4550975624988</v>
      </c>
    </row>
    <row r="49" spans="1:17" s="44" customFormat="1" ht="12" thickBot="1" x14ac:dyDescent="0.25">
      <c r="A49" s="218"/>
      <c r="B49" s="157" t="s">
        <v>61</v>
      </c>
      <c r="C49" s="158">
        <f>COUNTIFS(EldoraNDD!$E:$E,"&gt;=5/1/2018",EldoraNDD!$E:$E,"&lt;=4/30/2019",EldoraNDD!$C:$C,"PHOSPHORUS, TOTAL (AS P)",EldoraNDD!$G:$G,"MG/L",EldoraNDD!$H:$H,"RAW WASTE")</f>
        <v>0</v>
      </c>
      <c r="D49" s="159" t="e">
        <f>AVERAGEIFS(EldoraNDD!$F:$F,EldoraNDD!$E:$E,"&gt;=5/1/2018",EldoraNDD!$E:$E,"&lt;=4/30/2019",(EldoraNDD!$C:$C),("PHOSPHORUS, TOTAL (AS P)"),(EldoraNDD!$H:$H),("RAW WASTE"),(EldoraNDD!$G:$G),("MG/L"))</f>
        <v>#DIV/0!</v>
      </c>
      <c r="E49" s="158">
        <f>COUNTIFS(EldoraNDD!$E:$E,"&gt;=5/1/2018",EldoraNDD!$E:$E,"&lt;=4/30/2019",EldoraNDD!$C:$C,"PHOSPHORUS, TOTAL (AS P)",EldoraNDD!$G:$G,"LBS/DAY",EldoraNDD!$H:$H,"RAW WASTE")</f>
        <v>0</v>
      </c>
      <c r="F49" s="160" t="e">
        <f>AVERAGEIFS(EldoraNDD!$F:$F,EldoraNDD!$E:$E,"&gt;=5/1/2018",EldoraNDD!$E:$E,"&lt;=4/30/2019",(EldoraNDD!$C:$C),("PHOSPHORUS, TOTAL (AS P)"),(EldoraNDD!$H:$H),("RAW WASTE"),(EldoraNDD!$G:$G),("LBS/DAY"))</f>
        <v>#DIV/0!</v>
      </c>
      <c r="G49" s="161">
        <f>SUMIFS(EldoraNDD!$F:$F,EldoraNDD!$E:$E,"&gt;=5/1/2018",EldoraNDD!$E:$E,"&lt;=4/30/2019",(EldoraNDD!$C:$C),("PHOSPHORUS, TOTAL (AS P)"),(EldoraNDD!$H:$H),("RAW WASTE"),(EldoraNDD!$G:$G),("LBS/DAY"))</f>
        <v>0</v>
      </c>
      <c r="H49" s="162" t="e">
        <f>F49*365</f>
        <v>#DIV/0!</v>
      </c>
      <c r="I49" s="158">
        <f>COUNTIFS(EldoraNDD!$E:$E,"&gt;=5/1/2018",EldoraNDD!$E:$E,"&lt;=4/30/2019",EldoraNDD!$C:$C,"PHOSPHORUS, TOTAL (AS P)",EldoraNDD!$G:$G,"MG/L",EldoraNDD!$H:$H,"FINAL EFFLUENT")</f>
        <v>0</v>
      </c>
      <c r="J49" s="159" t="e">
        <f>AVERAGEIFS(EldoraNDD!$F:$F,EldoraNDD!$E:$E,"&gt;=5/1/2018",EldoraNDD!$E:$E,"&lt;=4/30/2019",(EldoraNDD!$C:$C),("PHOSPHORUS, TOTAL (AS P)"),(EldoraNDD!$H:$H),("FINAL EFFLUENT"),(EldoraNDD!$G:$G),("MG/L"))</f>
        <v>#DIV/0!</v>
      </c>
      <c r="K49" s="158">
        <f>COUNTIFS(EldoraNDD!$E:$E,"&gt;=5/1/2018",EldoraNDD!$E:$E,"&lt;=4/30/2019",EldoraNDD!$C:$C,"PHOSPHORUS, TOTAL (AS P)",EldoraNDD!$G:$G,"LBS/DAY",EldoraNDD!$H:$H,"FINAL EFFLUENT")</f>
        <v>0</v>
      </c>
      <c r="L49" s="160" t="e">
        <f>AVERAGEIFS((EldoraNDD!$F:$F),EldoraNDD!$E:$E,"&gt;=5/1/2018",EldoraNDD!$E:$E,"&lt;=4/30/2019",(EldoraNDD!$C:$C),("PHOSPHORUS, TOTAL (AS P)"),(EldoraNDD!$H:$H),("FINAL EFFLUENT"),(EldoraNDD!$G:$G),("LBS/DAY"))</f>
        <v>#DIV/0!</v>
      </c>
      <c r="M49" s="161">
        <f>SUMIFS(EldoraNDD!$F:$F,EldoraNDD!$E:$E,"&gt;=5/1/2018",EldoraNDD!$E:$E,"&lt;=4/30/2019",(EldoraNDD!$C:$C),("PHOSPHORUS, TOTAL (AS P)"),(EldoraNDD!$H:$H),("FINAL EFFLUENT"),(EldoraNDD!$G:$G),("LBS/DAY"))</f>
        <v>0</v>
      </c>
      <c r="N49" s="162" t="e">
        <f>L49*365</f>
        <v>#DIV/0!</v>
      </c>
      <c r="O49" s="163" t="e">
        <f>((D49-J49))/D49</f>
        <v>#DIV/0!</v>
      </c>
      <c r="P49" s="164" t="e">
        <f>((F49-L49))/F49</f>
        <v>#DIV/0!</v>
      </c>
      <c r="Q49" s="165" t="e">
        <f>(F49-L49)*365</f>
        <v>#DIV/0!</v>
      </c>
    </row>
    <row r="50" spans="1:17" x14ac:dyDescent="0.2">
      <c r="P50" s="166" t="s">
        <v>63</v>
      </c>
      <c r="Q50" s="99">
        <f>_xlfn.STDEV.P(Q40,Q43,Q46)</f>
        <v>173.956599715815</v>
      </c>
    </row>
    <row r="51" spans="1:17" x14ac:dyDescent="0.2">
      <c r="P51" s="166" t="s">
        <v>64</v>
      </c>
      <c r="Q51" s="167">
        <f>(Q50/(AVERAGE(Q40,Q43,Q46)))</f>
        <v>0.10066203487590544</v>
      </c>
    </row>
    <row r="52" spans="1:17" x14ac:dyDescent="0.2">
      <c r="P52" s="166" t="s">
        <v>65</v>
      </c>
      <c r="Q52" s="99">
        <f>_xlfn.STDEV.P(Q39,Q42,Q45)</f>
        <v>213.58325263500018</v>
      </c>
    </row>
    <row r="53" spans="1:17" x14ac:dyDescent="0.2">
      <c r="P53" s="166" t="s">
        <v>66</v>
      </c>
      <c r="Q53" s="167">
        <f>Q52/(AVERAGE(Q39,Q42,Q45))</f>
        <v>0.12425547481686738</v>
      </c>
    </row>
    <row r="54" spans="1:17" x14ac:dyDescent="0.2">
      <c r="P54" s="166" t="s">
        <v>67</v>
      </c>
      <c r="Q54" s="168">
        <f>_xlfn.STDEV.P(Q39:Q46)</f>
        <v>194.83482520667641</v>
      </c>
    </row>
    <row r="55" spans="1:17" x14ac:dyDescent="0.2">
      <c r="P55" s="166" t="s">
        <v>68</v>
      </c>
      <c r="Q55" s="100">
        <f>Q54/(AVERAGE(Q39:Q46))</f>
        <v>0.11304506258029412</v>
      </c>
    </row>
  </sheetData>
  <mergeCells count="26">
    <mergeCell ref="C3:F3"/>
    <mergeCell ref="A1:B1"/>
    <mergeCell ref="C1:D1"/>
    <mergeCell ref="E1:F1"/>
    <mergeCell ref="C2:D2"/>
    <mergeCell ref="E2:F2"/>
    <mergeCell ref="A6:A23"/>
    <mergeCell ref="B6:B8"/>
    <mergeCell ref="C6:H6"/>
    <mergeCell ref="I6:N6"/>
    <mergeCell ref="O6:P7"/>
    <mergeCell ref="O32:P33"/>
    <mergeCell ref="Q32:Q33"/>
    <mergeCell ref="C7:D7"/>
    <mergeCell ref="E7:H7"/>
    <mergeCell ref="I7:J7"/>
    <mergeCell ref="K7:N7"/>
    <mergeCell ref="Q6:Q7"/>
    <mergeCell ref="C33:D33"/>
    <mergeCell ref="E33:H33"/>
    <mergeCell ref="I33:J33"/>
    <mergeCell ref="K33:N33"/>
    <mergeCell ref="A32:A49"/>
    <mergeCell ref="B32:B34"/>
    <mergeCell ref="C32:H32"/>
    <mergeCell ref="I32:N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DavenportNDD</vt:lpstr>
      <vt:lpstr>DavenportCalcs</vt:lpstr>
      <vt:lpstr>EagleGrNDD</vt:lpstr>
      <vt:lpstr>EagleGrCalcs</vt:lpstr>
      <vt:lpstr>EldoraNDD</vt:lpstr>
      <vt:lpstr>EldoraCalcs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Cswercko, Courtney [DNR]</dc:creator>
  <cp:lastModifiedBy>Cswercko, Courtney [DNR]</cp:lastModifiedBy>
  <dcterms:created xsi:type="dcterms:W3CDTF">2017-04-14T15:52:31Z</dcterms:created>
  <dcterms:modified xsi:type="dcterms:W3CDTF">2019-02-22T15:36:32Z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