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905" windowHeight="6795"/>
  </bookViews>
  <sheets>
    <sheet name="CedarRapNDD" sheetId="1" r:id="rId1"/>
    <sheet name="CedarRapCalcs" sheetId="2" r:id="rId2"/>
    <sheet name="CharlesCityNDD" sheetId="5" r:id="rId3"/>
    <sheet name="CharlesCityCalcs" sheetId="6" r:id="rId4"/>
    <sheet name="CLSD_NDD" sheetId="7" r:id="rId5"/>
    <sheet name="CLSD_Calcs" sheetId="8" r:id="rId6"/>
    <sheet name="ClintonNDD" sheetId="9" r:id="rId7"/>
    <sheet name="ClintonCalcs" sheetId="10" r:id="rId8"/>
  </sheets>
  <definedNames>
    <definedName name="_xlnm._FilterDatabase" localSheetId="0" hidden="1">CedarRapNDD!$A$1:$N$1</definedName>
  </definedNames>
  <calcPr calcId="162913"/>
</workbook>
</file>

<file path=xl/calcChain.xml><?xml version="1.0" encoding="utf-8"?>
<calcChain xmlns="http://schemas.openxmlformats.org/spreadsheetml/2006/main">
  <c r="C8" i="8" l="1"/>
  <c r="C8" i="6"/>
  <c r="C8" i="10"/>
  <c r="M48" i="10"/>
  <c r="L48" i="10"/>
  <c r="K48" i="10"/>
  <c r="J48" i="10"/>
  <c r="I48" i="10"/>
  <c r="G48" i="10"/>
  <c r="F48" i="10"/>
  <c r="E48" i="10"/>
  <c r="D48" i="10"/>
  <c r="M47" i="10"/>
  <c r="L47" i="10"/>
  <c r="K47" i="10"/>
  <c r="J47" i="10"/>
  <c r="I47" i="10"/>
  <c r="G47" i="10"/>
  <c r="F47" i="10"/>
  <c r="E47" i="10"/>
  <c r="D47" i="10"/>
  <c r="C47" i="10"/>
  <c r="M45" i="10"/>
  <c r="L45" i="10"/>
  <c r="K45" i="10"/>
  <c r="J45" i="10"/>
  <c r="I45" i="10"/>
  <c r="G45" i="10"/>
  <c r="F45" i="10"/>
  <c r="E45" i="10"/>
  <c r="D45" i="10"/>
  <c r="C45" i="10"/>
  <c r="M44" i="10"/>
  <c r="L44" i="10"/>
  <c r="K44" i="10"/>
  <c r="J44" i="10"/>
  <c r="I44" i="10"/>
  <c r="G44" i="10"/>
  <c r="F44" i="10"/>
  <c r="E44" i="10"/>
  <c r="D44" i="10"/>
  <c r="C44" i="10"/>
  <c r="M42" i="10"/>
  <c r="L42" i="10"/>
  <c r="K42" i="10"/>
  <c r="J42" i="10"/>
  <c r="I42" i="10"/>
  <c r="G42" i="10"/>
  <c r="F42" i="10"/>
  <c r="E42" i="10"/>
  <c r="D42" i="10"/>
  <c r="C42" i="10"/>
  <c r="M41" i="10"/>
  <c r="L41" i="10"/>
  <c r="K41" i="10"/>
  <c r="J41" i="10"/>
  <c r="I41" i="10"/>
  <c r="G41" i="10"/>
  <c r="F41" i="10"/>
  <c r="E41" i="10"/>
  <c r="D41" i="10"/>
  <c r="C41" i="10"/>
  <c r="M39" i="10"/>
  <c r="L39" i="10"/>
  <c r="K39" i="10"/>
  <c r="J39" i="10"/>
  <c r="I39" i="10"/>
  <c r="G39" i="10"/>
  <c r="F39" i="10"/>
  <c r="E39" i="10"/>
  <c r="D39" i="10"/>
  <c r="C39" i="10"/>
  <c r="M38" i="10"/>
  <c r="L38" i="10"/>
  <c r="K38" i="10"/>
  <c r="J38" i="10"/>
  <c r="I38" i="10"/>
  <c r="G38" i="10"/>
  <c r="F38" i="10"/>
  <c r="E38" i="10"/>
  <c r="D38" i="10"/>
  <c r="C38" i="10"/>
  <c r="M36" i="10"/>
  <c r="L36" i="10"/>
  <c r="K36" i="10"/>
  <c r="J36" i="10"/>
  <c r="I36" i="10"/>
  <c r="G36" i="10"/>
  <c r="F36" i="10"/>
  <c r="E36" i="10"/>
  <c r="D36" i="10"/>
  <c r="C36" i="10"/>
  <c r="M34" i="10"/>
  <c r="L34" i="10"/>
  <c r="K34" i="10"/>
  <c r="J34" i="10"/>
  <c r="I34" i="10"/>
  <c r="G34" i="10"/>
  <c r="F34" i="10"/>
  <c r="E34" i="10"/>
  <c r="D34" i="10"/>
  <c r="C34" i="10"/>
  <c r="M22" i="10"/>
  <c r="L22" i="10"/>
  <c r="K22" i="10"/>
  <c r="J22" i="10"/>
  <c r="I22" i="10"/>
  <c r="G22" i="10"/>
  <c r="F22" i="10"/>
  <c r="E22" i="10"/>
  <c r="D22" i="10"/>
  <c r="C22" i="10"/>
  <c r="M21" i="10"/>
  <c r="L21" i="10"/>
  <c r="K21" i="10"/>
  <c r="J21" i="10"/>
  <c r="I21" i="10"/>
  <c r="G21" i="10"/>
  <c r="F21" i="10"/>
  <c r="E21" i="10"/>
  <c r="D21" i="10"/>
  <c r="C21" i="10"/>
  <c r="M19" i="10"/>
  <c r="L19" i="10"/>
  <c r="K19" i="10"/>
  <c r="J19" i="10"/>
  <c r="I19" i="10"/>
  <c r="G19" i="10"/>
  <c r="F19" i="10"/>
  <c r="E19" i="10"/>
  <c r="D19" i="10"/>
  <c r="C19" i="10"/>
  <c r="M18" i="10"/>
  <c r="L18" i="10"/>
  <c r="K18" i="10"/>
  <c r="J18" i="10"/>
  <c r="I18" i="10"/>
  <c r="G18" i="10"/>
  <c r="F18" i="10"/>
  <c r="E18" i="10"/>
  <c r="D18" i="10"/>
  <c r="C18" i="10"/>
  <c r="M16" i="10"/>
  <c r="L16" i="10"/>
  <c r="K16" i="10"/>
  <c r="J16" i="10"/>
  <c r="I16" i="10"/>
  <c r="G16" i="10"/>
  <c r="F16" i="10"/>
  <c r="E16" i="10"/>
  <c r="D16" i="10"/>
  <c r="C16" i="10"/>
  <c r="M15" i="10"/>
  <c r="L15" i="10"/>
  <c r="K15" i="10"/>
  <c r="J15" i="10"/>
  <c r="I15" i="10"/>
  <c r="G15" i="10"/>
  <c r="F15" i="10"/>
  <c r="E15" i="10"/>
  <c r="D15" i="10"/>
  <c r="C15" i="10"/>
  <c r="M13" i="10"/>
  <c r="L13" i="10"/>
  <c r="K13" i="10"/>
  <c r="J13" i="10"/>
  <c r="I13" i="10"/>
  <c r="G13" i="10"/>
  <c r="F13" i="10"/>
  <c r="E13" i="10"/>
  <c r="D13" i="10"/>
  <c r="O13" i="10" s="1"/>
  <c r="C13" i="10"/>
  <c r="M12" i="10"/>
  <c r="L12" i="10"/>
  <c r="K12" i="10"/>
  <c r="J12" i="10"/>
  <c r="I12" i="10"/>
  <c r="G12" i="10"/>
  <c r="F12" i="10"/>
  <c r="E12" i="10"/>
  <c r="D12" i="10"/>
  <c r="C12" i="10"/>
  <c r="M10" i="10"/>
  <c r="L10" i="10"/>
  <c r="K10" i="10"/>
  <c r="J10" i="10"/>
  <c r="I10" i="10"/>
  <c r="G10" i="10"/>
  <c r="F10" i="10"/>
  <c r="H10" i="10" s="1"/>
  <c r="E10" i="10"/>
  <c r="D10" i="10"/>
  <c r="C10" i="10"/>
  <c r="M8" i="10"/>
  <c r="L8" i="10"/>
  <c r="K8" i="10"/>
  <c r="J8" i="10"/>
  <c r="I8" i="10"/>
  <c r="G8" i="10"/>
  <c r="F8" i="10"/>
  <c r="P8" i="10" s="1"/>
  <c r="E8" i="10"/>
  <c r="D8" i="10"/>
  <c r="O8" i="10" s="1"/>
  <c r="B3" i="10"/>
  <c r="B2" i="10"/>
  <c r="O48" i="10"/>
  <c r="N48" i="10"/>
  <c r="H48" i="10"/>
  <c r="Q48" i="10"/>
  <c r="N47" i="10"/>
  <c r="H47" i="10"/>
  <c r="Q47" i="10"/>
  <c r="Q51" i="10" s="1"/>
  <c r="Q52" i="10" s="1"/>
  <c r="O47" i="10"/>
  <c r="N45" i="10"/>
  <c r="Q45" i="10"/>
  <c r="O45" i="10"/>
  <c r="N44" i="10"/>
  <c r="P44" i="10"/>
  <c r="O44" i="10"/>
  <c r="N42" i="10"/>
  <c r="O42" i="10"/>
  <c r="P42" i="10"/>
  <c r="N41" i="10"/>
  <c r="O41" i="10"/>
  <c r="P41" i="10"/>
  <c r="N39" i="10"/>
  <c r="O39" i="10"/>
  <c r="P39" i="10"/>
  <c r="O38" i="10"/>
  <c r="N38" i="10"/>
  <c r="P38" i="10"/>
  <c r="O36" i="10"/>
  <c r="N36" i="10"/>
  <c r="P36" i="10"/>
  <c r="Q34" i="10"/>
  <c r="O34" i="10"/>
  <c r="N34" i="10"/>
  <c r="H34" i="10"/>
  <c r="Q22" i="10"/>
  <c r="O22" i="10"/>
  <c r="N22" i="10"/>
  <c r="H22" i="10"/>
  <c r="Q21" i="10"/>
  <c r="Q25" i="10" s="1"/>
  <c r="Q26" i="10" s="1"/>
  <c r="O21" i="10"/>
  <c r="N21" i="10"/>
  <c r="P21" i="10"/>
  <c r="Q19" i="10"/>
  <c r="Q27" i="10" s="1"/>
  <c r="Q28" i="10" s="1"/>
  <c r="O19" i="10"/>
  <c r="N19" i="10"/>
  <c r="H19" i="10"/>
  <c r="O18" i="10"/>
  <c r="N18" i="10"/>
  <c r="H18" i="10"/>
  <c r="O16" i="10"/>
  <c r="N16" i="10"/>
  <c r="H16" i="10"/>
  <c r="O15" i="10"/>
  <c r="N15" i="10"/>
  <c r="H15" i="10"/>
  <c r="N13" i="10"/>
  <c r="H13" i="10"/>
  <c r="O12" i="10"/>
  <c r="N12" i="10"/>
  <c r="H12" i="10"/>
  <c r="O10" i="10"/>
  <c r="N10" i="10"/>
  <c r="N8" i="10"/>
  <c r="Q8" i="10" l="1"/>
  <c r="E2" i="10"/>
  <c r="Q53" i="10"/>
  <c r="Q54" i="10" s="1"/>
  <c r="Q49" i="10"/>
  <c r="Q50" i="10" s="1"/>
  <c r="P10" i="10"/>
  <c r="P12" i="10"/>
  <c r="P13" i="10"/>
  <c r="P15" i="10"/>
  <c r="P16" i="10"/>
  <c r="P18" i="10"/>
  <c r="P19" i="10"/>
  <c r="P22" i="10"/>
  <c r="P34" i="10"/>
  <c r="P47" i="10"/>
  <c r="Q23" i="10"/>
  <c r="Q24" i="10" s="1"/>
  <c r="P48" i="10"/>
  <c r="H8" i="10"/>
  <c r="H21" i="10"/>
  <c r="H36" i="10"/>
  <c r="H38" i="10"/>
  <c r="H39" i="10"/>
  <c r="H41" i="10"/>
  <c r="H42" i="10"/>
  <c r="H44" i="10"/>
  <c r="H45" i="10"/>
  <c r="P45" i="10"/>
  <c r="M48" i="8" l="1"/>
  <c r="L48" i="8"/>
  <c r="K48" i="8"/>
  <c r="J48" i="8"/>
  <c r="I48" i="8"/>
  <c r="G48" i="8"/>
  <c r="F48" i="8"/>
  <c r="E48" i="8"/>
  <c r="D48" i="8"/>
  <c r="C48" i="8"/>
  <c r="M47" i="8"/>
  <c r="L47" i="8"/>
  <c r="K47" i="8"/>
  <c r="J47" i="8"/>
  <c r="I47" i="8"/>
  <c r="G47" i="8"/>
  <c r="F47" i="8"/>
  <c r="E47" i="8"/>
  <c r="D47" i="8"/>
  <c r="C47" i="8"/>
  <c r="M45" i="8"/>
  <c r="L45" i="8"/>
  <c r="K45" i="8"/>
  <c r="J45" i="8"/>
  <c r="I45" i="8"/>
  <c r="G45" i="8"/>
  <c r="F45" i="8"/>
  <c r="E45" i="8"/>
  <c r="D45" i="8"/>
  <c r="C45" i="8"/>
  <c r="M44" i="8"/>
  <c r="L44" i="8"/>
  <c r="K44" i="8"/>
  <c r="J44" i="8"/>
  <c r="I44" i="8"/>
  <c r="G44" i="8"/>
  <c r="F44" i="8"/>
  <c r="E44" i="8"/>
  <c r="D44" i="8"/>
  <c r="C44" i="8"/>
  <c r="M42" i="8"/>
  <c r="L42" i="8"/>
  <c r="K42" i="8"/>
  <c r="J42" i="8"/>
  <c r="I42" i="8"/>
  <c r="G42" i="8"/>
  <c r="F42" i="8"/>
  <c r="E42" i="8"/>
  <c r="D42" i="8"/>
  <c r="C42" i="8"/>
  <c r="M41" i="8"/>
  <c r="L41" i="8"/>
  <c r="K41" i="8"/>
  <c r="J41" i="8"/>
  <c r="I41" i="8"/>
  <c r="G41" i="8"/>
  <c r="F41" i="8"/>
  <c r="E41" i="8"/>
  <c r="D41" i="8"/>
  <c r="C41" i="8"/>
  <c r="M39" i="8"/>
  <c r="K39" i="8"/>
  <c r="I39" i="8"/>
  <c r="G39" i="8"/>
  <c r="E39" i="8"/>
  <c r="C39" i="8"/>
  <c r="M38" i="8"/>
  <c r="K38" i="8"/>
  <c r="I38" i="8"/>
  <c r="G38" i="8"/>
  <c r="E38" i="8"/>
  <c r="C38" i="8"/>
  <c r="M36" i="8"/>
  <c r="K36" i="8"/>
  <c r="I36" i="8"/>
  <c r="G36" i="8"/>
  <c r="E36" i="8"/>
  <c r="C36" i="8"/>
  <c r="M34" i="8"/>
  <c r="L34" i="8"/>
  <c r="K34" i="8"/>
  <c r="J34" i="8"/>
  <c r="I34" i="8"/>
  <c r="G34" i="8"/>
  <c r="F34" i="8"/>
  <c r="E34" i="8"/>
  <c r="D34" i="8"/>
  <c r="C34" i="8"/>
  <c r="M22" i="8"/>
  <c r="L22" i="8"/>
  <c r="K22" i="8"/>
  <c r="J22" i="8"/>
  <c r="I22" i="8"/>
  <c r="G22" i="8"/>
  <c r="F22" i="8"/>
  <c r="E22" i="8"/>
  <c r="D22" i="8"/>
  <c r="C22" i="8"/>
  <c r="M21" i="8"/>
  <c r="L21" i="8"/>
  <c r="K21" i="8"/>
  <c r="J21" i="8"/>
  <c r="I21" i="8"/>
  <c r="G21" i="8"/>
  <c r="F21" i="8"/>
  <c r="E21" i="8"/>
  <c r="D21" i="8"/>
  <c r="C21" i="8"/>
  <c r="M19" i="8"/>
  <c r="L19" i="8"/>
  <c r="K19" i="8"/>
  <c r="J19" i="8"/>
  <c r="I19" i="8"/>
  <c r="G19" i="8"/>
  <c r="F19" i="8"/>
  <c r="E19" i="8"/>
  <c r="D19" i="8"/>
  <c r="C19" i="8"/>
  <c r="M18" i="8"/>
  <c r="L18" i="8"/>
  <c r="K18" i="8"/>
  <c r="J18" i="8"/>
  <c r="I18" i="8"/>
  <c r="G18" i="8"/>
  <c r="F18" i="8"/>
  <c r="E18" i="8"/>
  <c r="D18" i="8"/>
  <c r="C18" i="8"/>
  <c r="M16" i="8"/>
  <c r="L16" i="8"/>
  <c r="K16" i="8"/>
  <c r="J16" i="8"/>
  <c r="I16" i="8"/>
  <c r="G16" i="8"/>
  <c r="F16" i="8"/>
  <c r="E16" i="8"/>
  <c r="D16" i="8"/>
  <c r="C16" i="8"/>
  <c r="M15" i="8"/>
  <c r="L15" i="8"/>
  <c r="K15" i="8"/>
  <c r="J15" i="8"/>
  <c r="I15" i="8"/>
  <c r="G15" i="8"/>
  <c r="F15" i="8"/>
  <c r="E15" i="8"/>
  <c r="D15" i="8"/>
  <c r="C15" i="8"/>
  <c r="M13" i="8"/>
  <c r="K13" i="8"/>
  <c r="I13" i="8"/>
  <c r="G13" i="8"/>
  <c r="E13" i="8"/>
  <c r="C13" i="8"/>
  <c r="M12" i="8"/>
  <c r="K12" i="8"/>
  <c r="I12" i="8"/>
  <c r="G12" i="8"/>
  <c r="E12" i="8"/>
  <c r="C12" i="8"/>
  <c r="M10" i="8"/>
  <c r="K10" i="8"/>
  <c r="I10" i="8"/>
  <c r="G10" i="8"/>
  <c r="E10" i="8"/>
  <c r="C10" i="8"/>
  <c r="M8" i="8"/>
  <c r="L8" i="8"/>
  <c r="K8" i="8"/>
  <c r="J8" i="8"/>
  <c r="I8" i="8"/>
  <c r="G8" i="8"/>
  <c r="F8" i="8"/>
  <c r="P8" i="8" s="1"/>
  <c r="E8" i="8"/>
  <c r="D8" i="8"/>
  <c r="B3" i="8"/>
  <c r="B2" i="8"/>
  <c r="E2" i="8" s="1"/>
  <c r="O48" i="8"/>
  <c r="N48" i="8"/>
  <c r="Q48" i="8"/>
  <c r="Q47" i="8"/>
  <c r="P47" i="8"/>
  <c r="H47" i="8"/>
  <c r="O47" i="8"/>
  <c r="Q45" i="8"/>
  <c r="O45" i="8"/>
  <c r="N45" i="8"/>
  <c r="P45" i="8"/>
  <c r="Q44" i="8"/>
  <c r="Q51" i="8" s="1"/>
  <c r="Q52" i="8" s="1"/>
  <c r="O44" i="8"/>
  <c r="N44" i="8"/>
  <c r="P44" i="8"/>
  <c r="Q42" i="8"/>
  <c r="O42" i="8"/>
  <c r="P42" i="8"/>
  <c r="H42" i="8"/>
  <c r="Q41" i="8"/>
  <c r="O41" i="8"/>
  <c r="N41" i="8"/>
  <c r="P41" i="8"/>
  <c r="N34" i="8"/>
  <c r="H34" i="8"/>
  <c r="Q34" i="8"/>
  <c r="O34" i="8"/>
  <c r="N22" i="8"/>
  <c r="H22" i="8"/>
  <c r="Q22" i="8"/>
  <c r="O22" i="8"/>
  <c r="N21" i="8"/>
  <c r="Q21" i="8"/>
  <c r="O21" i="8"/>
  <c r="N19" i="8"/>
  <c r="H19" i="8"/>
  <c r="Q19" i="8"/>
  <c r="O19" i="8"/>
  <c r="N18" i="8"/>
  <c r="Q18" i="8"/>
  <c r="Q25" i="8" s="1"/>
  <c r="Q26" i="8" s="1"/>
  <c r="O18" i="8"/>
  <c r="N16" i="8"/>
  <c r="O16" i="8"/>
  <c r="Q16" i="8"/>
  <c r="Q15" i="8"/>
  <c r="O15" i="8"/>
  <c r="N15" i="8"/>
  <c r="H15" i="8"/>
  <c r="N8" i="8"/>
  <c r="O8" i="8" l="1"/>
  <c r="Q8" i="8"/>
  <c r="Q53" i="8"/>
  <c r="Q54" i="8" s="1"/>
  <c r="Q23" i="8"/>
  <c r="Q24" i="8" s="1"/>
  <c r="H8" i="8"/>
  <c r="P15" i="8"/>
  <c r="P19" i="8"/>
  <c r="P22" i="8"/>
  <c r="P34" i="8"/>
  <c r="Q27" i="8"/>
  <c r="Q28" i="8" s="1"/>
  <c r="H41" i="8"/>
  <c r="N42" i="8"/>
  <c r="H45" i="8"/>
  <c r="N47" i="8"/>
  <c r="H48" i="8"/>
  <c r="P48" i="8"/>
  <c r="H16" i="8"/>
  <c r="P16" i="8"/>
  <c r="H18" i="8"/>
  <c r="P18" i="8"/>
  <c r="H21" i="8"/>
  <c r="P21" i="8"/>
  <c r="Q49" i="8"/>
  <c r="Q50" i="8" s="1"/>
  <c r="H44" i="8"/>
  <c r="M48" i="6" l="1"/>
  <c r="L48" i="6"/>
  <c r="K48" i="6"/>
  <c r="J48" i="6"/>
  <c r="I48" i="6"/>
  <c r="G48" i="6"/>
  <c r="F48" i="6"/>
  <c r="E48" i="6"/>
  <c r="D48" i="6"/>
  <c r="C48" i="6"/>
  <c r="M47" i="6"/>
  <c r="L47" i="6"/>
  <c r="K47" i="6"/>
  <c r="J47" i="6"/>
  <c r="I47" i="6"/>
  <c r="G47" i="6"/>
  <c r="F47" i="6"/>
  <c r="E47" i="6"/>
  <c r="D47" i="6"/>
  <c r="C47" i="6"/>
  <c r="M45" i="6"/>
  <c r="L45" i="6"/>
  <c r="K45" i="6"/>
  <c r="J45" i="6"/>
  <c r="I45" i="6"/>
  <c r="G45" i="6"/>
  <c r="F45" i="6"/>
  <c r="E45" i="6"/>
  <c r="D45" i="6"/>
  <c r="C45" i="6"/>
  <c r="M44" i="6"/>
  <c r="L44" i="6"/>
  <c r="K44" i="6"/>
  <c r="J44" i="6"/>
  <c r="I44" i="6"/>
  <c r="G44" i="6"/>
  <c r="F44" i="6"/>
  <c r="E44" i="6"/>
  <c r="D44" i="6"/>
  <c r="C44" i="6"/>
  <c r="M42" i="6"/>
  <c r="L42" i="6"/>
  <c r="K42" i="6"/>
  <c r="J42" i="6"/>
  <c r="I42" i="6"/>
  <c r="G42" i="6"/>
  <c r="F42" i="6"/>
  <c r="E42" i="6"/>
  <c r="D42" i="6"/>
  <c r="C42" i="6"/>
  <c r="M41" i="6"/>
  <c r="L41" i="6"/>
  <c r="K41" i="6"/>
  <c r="J41" i="6"/>
  <c r="I41" i="6"/>
  <c r="G41" i="6"/>
  <c r="F41" i="6"/>
  <c r="E41" i="6"/>
  <c r="D41" i="6"/>
  <c r="C41" i="6"/>
  <c r="M39" i="6"/>
  <c r="L39" i="6"/>
  <c r="K39" i="6"/>
  <c r="J39" i="6"/>
  <c r="I39" i="6"/>
  <c r="G39" i="6"/>
  <c r="F39" i="6"/>
  <c r="E39" i="6"/>
  <c r="D39" i="6"/>
  <c r="C39" i="6"/>
  <c r="M38" i="6"/>
  <c r="L38" i="6"/>
  <c r="K38" i="6"/>
  <c r="J38" i="6"/>
  <c r="I38" i="6"/>
  <c r="G38" i="6"/>
  <c r="F38" i="6"/>
  <c r="E38" i="6"/>
  <c r="D38" i="6"/>
  <c r="C38" i="6"/>
  <c r="M36" i="6"/>
  <c r="L36" i="6"/>
  <c r="K36" i="6"/>
  <c r="J36" i="6"/>
  <c r="I36" i="6"/>
  <c r="G36" i="6"/>
  <c r="F36" i="6"/>
  <c r="E36" i="6"/>
  <c r="D36" i="6"/>
  <c r="C36" i="6"/>
  <c r="M34" i="6"/>
  <c r="L34" i="6"/>
  <c r="K34" i="6"/>
  <c r="J34" i="6"/>
  <c r="I34" i="6"/>
  <c r="G34" i="6"/>
  <c r="F34" i="6"/>
  <c r="E34" i="6"/>
  <c r="D34" i="6"/>
  <c r="C34" i="6"/>
  <c r="M22" i="6"/>
  <c r="L22" i="6"/>
  <c r="K22" i="6"/>
  <c r="J22" i="6"/>
  <c r="I22" i="6"/>
  <c r="G22" i="6"/>
  <c r="F22" i="6"/>
  <c r="E22" i="6"/>
  <c r="D22" i="6"/>
  <c r="C22" i="6"/>
  <c r="M21" i="6"/>
  <c r="L21" i="6"/>
  <c r="K21" i="6"/>
  <c r="J21" i="6"/>
  <c r="I21" i="6"/>
  <c r="G21" i="6"/>
  <c r="F21" i="6"/>
  <c r="E21" i="6"/>
  <c r="D21" i="6"/>
  <c r="C21" i="6"/>
  <c r="M19" i="6"/>
  <c r="L19" i="6"/>
  <c r="K19" i="6"/>
  <c r="J19" i="6"/>
  <c r="I19" i="6"/>
  <c r="G19" i="6"/>
  <c r="F19" i="6"/>
  <c r="E19" i="6"/>
  <c r="D19" i="6"/>
  <c r="C19" i="6"/>
  <c r="M18" i="6"/>
  <c r="L18" i="6"/>
  <c r="K18" i="6"/>
  <c r="J18" i="6"/>
  <c r="I18" i="6"/>
  <c r="G18" i="6"/>
  <c r="F18" i="6"/>
  <c r="E18" i="6"/>
  <c r="D18" i="6"/>
  <c r="C18" i="6"/>
  <c r="M16" i="6"/>
  <c r="L16" i="6"/>
  <c r="K16" i="6"/>
  <c r="J16" i="6"/>
  <c r="I16" i="6"/>
  <c r="G16" i="6"/>
  <c r="F16" i="6"/>
  <c r="E16" i="6"/>
  <c r="D16" i="6"/>
  <c r="C16" i="6"/>
  <c r="M15" i="6"/>
  <c r="L15" i="6"/>
  <c r="K15" i="6"/>
  <c r="J15" i="6"/>
  <c r="I15" i="6"/>
  <c r="G15" i="6"/>
  <c r="F15" i="6"/>
  <c r="E15" i="6"/>
  <c r="D15" i="6"/>
  <c r="C15" i="6"/>
  <c r="M13" i="6"/>
  <c r="L13" i="6"/>
  <c r="K13" i="6"/>
  <c r="J13" i="6"/>
  <c r="I13" i="6"/>
  <c r="G13" i="6"/>
  <c r="F13" i="6"/>
  <c r="H13" i="6" s="1"/>
  <c r="E13" i="6"/>
  <c r="D13" i="6"/>
  <c r="C13" i="6"/>
  <c r="M12" i="6"/>
  <c r="L12" i="6"/>
  <c r="K12" i="6"/>
  <c r="J12" i="6"/>
  <c r="I12" i="6"/>
  <c r="G12" i="6"/>
  <c r="F12" i="6"/>
  <c r="E12" i="6"/>
  <c r="D12" i="6"/>
  <c r="C12" i="6"/>
  <c r="M10" i="6"/>
  <c r="L10" i="6"/>
  <c r="K10" i="6"/>
  <c r="J10" i="6"/>
  <c r="I10" i="6"/>
  <c r="G10" i="6"/>
  <c r="F10" i="6"/>
  <c r="E10" i="6"/>
  <c r="D10" i="6"/>
  <c r="C10" i="6"/>
  <c r="M8" i="6"/>
  <c r="L8" i="6"/>
  <c r="K8" i="6"/>
  <c r="J8" i="6"/>
  <c r="I8" i="6"/>
  <c r="G8" i="6"/>
  <c r="F8" i="6"/>
  <c r="E8" i="6"/>
  <c r="D8" i="6"/>
  <c r="B3" i="6"/>
  <c r="B2" i="6"/>
  <c r="O48" i="6"/>
  <c r="N48" i="6"/>
  <c r="H48" i="6"/>
  <c r="Q48" i="6"/>
  <c r="Q47" i="6"/>
  <c r="N47" i="6"/>
  <c r="O47" i="6"/>
  <c r="P47" i="6"/>
  <c r="Q45" i="6"/>
  <c r="O45" i="6"/>
  <c r="N45" i="6"/>
  <c r="H45" i="6"/>
  <c r="Q44" i="6"/>
  <c r="O44" i="6"/>
  <c r="N44" i="6"/>
  <c r="P44" i="6"/>
  <c r="Q42" i="6"/>
  <c r="O42" i="6"/>
  <c r="N42" i="6"/>
  <c r="P42" i="6"/>
  <c r="Q41" i="6"/>
  <c r="O41" i="6"/>
  <c r="N41" i="6"/>
  <c r="H41" i="6"/>
  <c r="Q39" i="6"/>
  <c r="O39" i="6"/>
  <c r="N39" i="6"/>
  <c r="P39" i="6"/>
  <c r="Q38" i="6"/>
  <c r="Q53" i="6" s="1"/>
  <c r="Q54" i="6" s="1"/>
  <c r="O38" i="6"/>
  <c r="N38" i="6"/>
  <c r="H38" i="6"/>
  <c r="Q36" i="6"/>
  <c r="O36" i="6"/>
  <c r="N36" i="6"/>
  <c r="P36" i="6"/>
  <c r="Q34" i="6"/>
  <c r="O34" i="6"/>
  <c r="N34" i="6"/>
  <c r="P34" i="6"/>
  <c r="Q22" i="6"/>
  <c r="O22" i="6"/>
  <c r="N22" i="6"/>
  <c r="P22" i="6"/>
  <c r="Q21" i="6"/>
  <c r="O21" i="6"/>
  <c r="P21" i="6"/>
  <c r="H21" i="6"/>
  <c r="Q19" i="6"/>
  <c r="O19" i="6"/>
  <c r="N19" i="6"/>
  <c r="P19" i="6"/>
  <c r="Q18" i="6"/>
  <c r="O18" i="6"/>
  <c r="P18" i="6"/>
  <c r="H18" i="6"/>
  <c r="Q16" i="6"/>
  <c r="O16" i="6"/>
  <c r="H16" i="6"/>
  <c r="Q15" i="6"/>
  <c r="N15" i="6"/>
  <c r="P15" i="6"/>
  <c r="O13" i="6"/>
  <c r="P13" i="6"/>
  <c r="P12" i="6"/>
  <c r="O10" i="6"/>
  <c r="N8" i="6"/>
  <c r="P8" i="6" l="1"/>
  <c r="Q8" i="6"/>
  <c r="P10" i="6"/>
  <c r="O12" i="6"/>
  <c r="P16" i="6"/>
  <c r="O15" i="6"/>
  <c r="O8" i="6"/>
  <c r="Q13" i="6"/>
  <c r="Q23" i="6" s="1"/>
  <c r="Q24" i="6" s="1"/>
  <c r="Q12" i="6"/>
  <c r="Q27" i="6" s="1"/>
  <c r="Q28" i="6" s="1"/>
  <c r="Q10" i="6"/>
  <c r="N12" i="6"/>
  <c r="H10" i="6"/>
  <c r="Q49" i="6"/>
  <c r="Q50" i="6" s="1"/>
  <c r="E2" i="6"/>
  <c r="Q51" i="6"/>
  <c r="Q52" i="6" s="1"/>
  <c r="Q25" i="6"/>
  <c r="Q26" i="6" s="1"/>
  <c r="H8" i="6"/>
  <c r="N10" i="6"/>
  <c r="H12" i="6"/>
  <c r="N13" i="6"/>
  <c r="H15" i="6"/>
  <c r="N16" i="6"/>
  <c r="N18" i="6"/>
  <c r="H19" i="6"/>
  <c r="N21" i="6"/>
  <c r="H22" i="6"/>
  <c r="H34" i="6"/>
  <c r="P38" i="6"/>
  <c r="P41" i="6"/>
  <c r="P45" i="6"/>
  <c r="P48" i="6"/>
  <c r="H36" i="6"/>
  <c r="H39" i="6"/>
  <c r="H42" i="6"/>
  <c r="H44" i="6"/>
  <c r="H47" i="6"/>
  <c r="M48" i="2" l="1"/>
  <c r="M47" i="2"/>
  <c r="L48" i="2"/>
  <c r="L47" i="2"/>
  <c r="N47" i="2" s="1"/>
  <c r="K48" i="2"/>
  <c r="K47" i="2"/>
  <c r="J48" i="2"/>
  <c r="J47" i="2"/>
  <c r="I48" i="2"/>
  <c r="I47" i="2"/>
  <c r="G48" i="2"/>
  <c r="G47" i="2"/>
  <c r="F48" i="2"/>
  <c r="F47" i="2"/>
  <c r="E48" i="2"/>
  <c r="E47" i="2"/>
  <c r="D48" i="2"/>
  <c r="D47" i="2"/>
  <c r="C48" i="2"/>
  <c r="C47" i="2"/>
  <c r="H48" i="2"/>
  <c r="M22" i="2"/>
  <c r="M21" i="2"/>
  <c r="L22" i="2"/>
  <c r="N22" i="2" s="1"/>
  <c r="L21" i="2"/>
  <c r="N21" i="2" s="1"/>
  <c r="K22" i="2"/>
  <c r="K21" i="2"/>
  <c r="J22" i="2"/>
  <c r="J21" i="2"/>
  <c r="I22" i="2"/>
  <c r="I21" i="2"/>
  <c r="G22" i="2"/>
  <c r="G21" i="2"/>
  <c r="F22" i="2"/>
  <c r="F21" i="2"/>
  <c r="E22" i="2"/>
  <c r="E21" i="2"/>
  <c r="D22" i="2"/>
  <c r="D21" i="2"/>
  <c r="C22" i="2"/>
  <c r="C21" i="2"/>
  <c r="Q48" i="2" l="1"/>
  <c r="N48" i="2"/>
  <c r="P48" i="2"/>
  <c r="Q47" i="2"/>
  <c r="O48" i="2"/>
  <c r="O47" i="2"/>
  <c r="H47" i="2"/>
  <c r="P47" i="2"/>
  <c r="Q22" i="2"/>
  <c r="P21" i="2"/>
  <c r="O22" i="2"/>
  <c r="O21" i="2"/>
  <c r="H22" i="2"/>
  <c r="P22" i="2"/>
  <c r="Q21" i="2"/>
  <c r="H21" i="2"/>
  <c r="M45" i="2"/>
  <c r="L45" i="2"/>
  <c r="K45" i="2"/>
  <c r="J45" i="2"/>
  <c r="I45" i="2"/>
  <c r="G45" i="2"/>
  <c r="F45" i="2"/>
  <c r="E45" i="2"/>
  <c r="D45" i="2"/>
  <c r="C45" i="2"/>
  <c r="M44" i="2"/>
  <c r="L44" i="2"/>
  <c r="K44" i="2"/>
  <c r="J44" i="2"/>
  <c r="I44" i="2"/>
  <c r="G44" i="2"/>
  <c r="F44" i="2"/>
  <c r="H44" i="2" s="1"/>
  <c r="E44" i="2"/>
  <c r="D44" i="2"/>
  <c r="C44" i="2"/>
  <c r="M42" i="2"/>
  <c r="L42" i="2"/>
  <c r="N42" i="2" s="1"/>
  <c r="K42" i="2"/>
  <c r="J42" i="2"/>
  <c r="I42" i="2"/>
  <c r="G42" i="2"/>
  <c r="F42" i="2"/>
  <c r="H42" i="2" s="1"/>
  <c r="E42" i="2"/>
  <c r="D42" i="2"/>
  <c r="C42" i="2"/>
  <c r="M41" i="2"/>
  <c r="L41" i="2"/>
  <c r="N41" i="2" s="1"/>
  <c r="K41" i="2"/>
  <c r="J41" i="2"/>
  <c r="I41" i="2"/>
  <c r="G41" i="2"/>
  <c r="F41" i="2"/>
  <c r="E41" i="2"/>
  <c r="D41" i="2"/>
  <c r="C41" i="2"/>
  <c r="M39" i="2"/>
  <c r="L39" i="2"/>
  <c r="N39" i="2" s="1"/>
  <c r="K39" i="2"/>
  <c r="J39" i="2"/>
  <c r="I39" i="2"/>
  <c r="G39" i="2"/>
  <c r="F39" i="2"/>
  <c r="E39" i="2"/>
  <c r="D39" i="2"/>
  <c r="C39" i="2"/>
  <c r="M38" i="2"/>
  <c r="L38" i="2"/>
  <c r="K38" i="2"/>
  <c r="J38" i="2"/>
  <c r="I38" i="2"/>
  <c r="G38" i="2"/>
  <c r="F38" i="2"/>
  <c r="H38" i="2" s="1"/>
  <c r="E38" i="2"/>
  <c r="D38" i="2"/>
  <c r="C38" i="2"/>
  <c r="M36" i="2"/>
  <c r="L36" i="2"/>
  <c r="N36" i="2" s="1"/>
  <c r="K36" i="2"/>
  <c r="J36" i="2"/>
  <c r="I36" i="2"/>
  <c r="G36" i="2"/>
  <c r="F36" i="2"/>
  <c r="H36" i="2" s="1"/>
  <c r="E36" i="2"/>
  <c r="D36" i="2"/>
  <c r="C36" i="2"/>
  <c r="M34" i="2"/>
  <c r="L34" i="2"/>
  <c r="N34" i="2" s="1"/>
  <c r="K34" i="2"/>
  <c r="J34" i="2"/>
  <c r="I34" i="2"/>
  <c r="G34" i="2"/>
  <c r="F34" i="2"/>
  <c r="E34" i="2"/>
  <c r="D34" i="2"/>
  <c r="C34" i="2"/>
  <c r="M19" i="2"/>
  <c r="L19" i="2"/>
  <c r="K19" i="2"/>
  <c r="J19" i="2"/>
  <c r="I19" i="2"/>
  <c r="G19" i="2"/>
  <c r="F19" i="2"/>
  <c r="E19" i="2"/>
  <c r="D19" i="2"/>
  <c r="C19" i="2"/>
  <c r="M18" i="2"/>
  <c r="L18" i="2"/>
  <c r="K18" i="2"/>
  <c r="J18" i="2"/>
  <c r="I18" i="2"/>
  <c r="G18" i="2"/>
  <c r="F18" i="2"/>
  <c r="H18" i="2" s="1"/>
  <c r="E18" i="2"/>
  <c r="D18" i="2"/>
  <c r="C18" i="2"/>
  <c r="M16" i="2"/>
  <c r="L16" i="2"/>
  <c r="N16" i="2" s="1"/>
  <c r="K16" i="2"/>
  <c r="J16" i="2"/>
  <c r="I16" i="2"/>
  <c r="G16" i="2"/>
  <c r="F16" i="2"/>
  <c r="H16" i="2" s="1"/>
  <c r="E16" i="2"/>
  <c r="D16" i="2"/>
  <c r="C16" i="2"/>
  <c r="M15" i="2"/>
  <c r="L15" i="2"/>
  <c r="N15" i="2" s="1"/>
  <c r="K15" i="2"/>
  <c r="J15" i="2"/>
  <c r="I15" i="2"/>
  <c r="G15" i="2"/>
  <c r="F15" i="2"/>
  <c r="H15" i="2" s="1"/>
  <c r="E15" i="2"/>
  <c r="D15" i="2"/>
  <c r="C15" i="2"/>
  <c r="M13" i="2"/>
  <c r="L13" i="2"/>
  <c r="N13" i="2" s="1"/>
  <c r="K13" i="2"/>
  <c r="J13" i="2"/>
  <c r="I13" i="2"/>
  <c r="G13" i="2"/>
  <c r="F13" i="2"/>
  <c r="H13" i="2" s="1"/>
  <c r="E13" i="2"/>
  <c r="D13" i="2"/>
  <c r="C13" i="2"/>
  <c r="M12" i="2"/>
  <c r="L12" i="2"/>
  <c r="K12" i="2"/>
  <c r="J12" i="2"/>
  <c r="I12" i="2"/>
  <c r="G12" i="2"/>
  <c r="F12" i="2"/>
  <c r="H12" i="2" s="1"/>
  <c r="E12" i="2"/>
  <c r="D12" i="2"/>
  <c r="C12" i="2"/>
  <c r="M10" i="2"/>
  <c r="L10" i="2"/>
  <c r="N10" i="2" s="1"/>
  <c r="K10" i="2"/>
  <c r="J10" i="2"/>
  <c r="I10" i="2"/>
  <c r="G10" i="2"/>
  <c r="F10" i="2"/>
  <c r="E10" i="2"/>
  <c r="D10" i="2"/>
  <c r="C10" i="2"/>
  <c r="M8" i="2"/>
  <c r="L8" i="2"/>
  <c r="N8" i="2" s="1"/>
  <c r="K8" i="2"/>
  <c r="J8" i="2"/>
  <c r="I8" i="2"/>
  <c r="G8" i="2"/>
  <c r="F8" i="2"/>
  <c r="E8" i="2"/>
  <c r="D8" i="2"/>
  <c r="C8" i="2"/>
  <c r="B3" i="2"/>
  <c r="B2" i="2"/>
  <c r="N45" i="2"/>
  <c r="Q45" i="2" l="1"/>
  <c r="O44" i="2"/>
  <c r="O41" i="2"/>
  <c r="O38" i="2"/>
  <c r="P44" i="2"/>
  <c r="O12" i="2"/>
  <c r="O39" i="2"/>
  <c r="Q44" i="2"/>
  <c r="Q51" i="2" s="1"/>
  <c r="Q52" i="2" s="1"/>
  <c r="O16" i="2"/>
  <c r="Q18" i="2"/>
  <c r="Q25" i="2" s="1"/>
  <c r="Q26" i="2" s="1"/>
  <c r="O19" i="2"/>
  <c r="O36" i="2"/>
  <c r="P38" i="2"/>
  <c r="O42" i="2"/>
  <c r="O45" i="2"/>
  <c r="O18" i="2"/>
  <c r="Q34" i="2"/>
  <c r="O8" i="2"/>
  <c r="O15" i="2"/>
  <c r="P18" i="2"/>
  <c r="E2" i="2"/>
  <c r="O13" i="2"/>
  <c r="Q19" i="2"/>
  <c r="O34" i="2"/>
  <c r="Q8" i="2"/>
  <c r="O10" i="2"/>
  <c r="P12" i="2"/>
  <c r="N19" i="2"/>
  <c r="H10" i="2"/>
  <c r="P10" i="2"/>
  <c r="P16" i="2"/>
  <c r="P36" i="2"/>
  <c r="P42" i="2"/>
  <c r="H8" i="2"/>
  <c r="P8" i="2"/>
  <c r="N12" i="2"/>
  <c r="P15" i="2"/>
  <c r="N18" i="2"/>
  <c r="H34" i="2"/>
  <c r="P34" i="2"/>
  <c r="N38" i="2"/>
  <c r="H41" i="2"/>
  <c r="P41" i="2"/>
  <c r="N44" i="2"/>
  <c r="P13" i="2"/>
  <c r="H19" i="2"/>
  <c r="P19" i="2"/>
  <c r="H39" i="2"/>
  <c r="P39" i="2"/>
  <c r="H45" i="2"/>
  <c r="P45" i="2"/>
  <c r="Q27" i="2" l="1"/>
  <c r="Q28" i="2" s="1"/>
  <c r="Q23" i="2"/>
  <c r="Q24" i="2" s="1"/>
  <c r="Q53" i="2"/>
  <c r="Q54" i="2" s="1"/>
  <c r="Q49" i="2"/>
  <c r="Q50" i="2" s="1"/>
</calcChain>
</file>

<file path=xl/sharedStrings.xml><?xml version="1.0" encoding="utf-8"?>
<sst xmlns="http://schemas.openxmlformats.org/spreadsheetml/2006/main" count="35762" uniqueCount="116">
  <si>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</si>
  <si>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</si>
  <si>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</si>
  <si>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</si>
  <si>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</si>
  <si>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</si>
  <si>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</si>
  <si>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Out #</t>
  </si>
  <si>
    <t>Mon Freq</t>
  </si>
  <si>
    <t>Facility Type</t>
  </si>
  <si>
    <t>Description</t>
  </si>
  <si>
    <t>NITROGEN, TOTAL (AS N)</t>
  </si>
  <si>
    <t>MONITORING ONLY</t>
  </si>
  <si>
    <t>MG/L</t>
  </si>
  <si>
    <t>RAW WASTE</t>
  </si>
  <si>
    <t>1 TIME PER WEEK</t>
  </si>
  <si>
    <t>LBS/DAY</t>
  </si>
  <si>
    <t>EFFLUENT AFTER DISINFECTION</t>
  </si>
  <si>
    <t>FINAL EFFLUENT</t>
  </si>
  <si>
    <t>PHOSPHORUS, TOTAL (AS P)</t>
  </si>
  <si>
    <t>Mon Locat
Adjusted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</si>
  <si>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</si>
  <si>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</si>
  <si>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</si>
  <si>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</si>
  <si>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</si>
  <si>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</si>
  <si>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</si>
  <si>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</si>
  <si>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</si>
  <si>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</si>
  <si>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</si>
  <si>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</si>
  <si>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</si>
  <si>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</si>
  <si>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</si>
  <si>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</si>
  <si>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</si>
  <si>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</si>
  <si>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</si>
  <si>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</si>
  <si>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</si>
  <si>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</si>
  <si>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</si>
  <si>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</si>
  <si>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</si>
  <si>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</si>
  <si>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</si>
  <si>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</si>
  <si>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5/1/14 - 4/30/15</t>
  </si>
  <si>
    <t>5/1/15 - 4/30/16</t>
  </si>
  <si>
    <t>5/1/16 - 4/30/17</t>
  </si>
  <si>
    <t>2017 (1/1/17-12/31/17)</t>
  </si>
  <si>
    <t>5/1/17 - 4/30/18</t>
  </si>
  <si>
    <t>ACT SLUDGE</t>
  </si>
  <si>
    <t>5715001</t>
  </si>
  <si>
    <t>TOTAL RAW WASTE</t>
  </si>
  <si>
    <t>Cedar Rapids</t>
  </si>
  <si>
    <t>CEDAR RAPIDS</t>
  </si>
  <si>
    <t>COMBINED SHORELINE AND DIFFUSER DISCHARGE WHEN CEDAR RIVER FLOW AT UPSTREAM USGS GAUGE IS GREATER THAN 12,900 CFS.</t>
  </si>
  <si>
    <t>DIFFUSER DISCH TRICK FILT/ACT SLUDGE WWTP WHEN CEDAR RIVER FLOW AT UPSTREAM USGS GAUGE IS LESS THAN 12,900 CFS</t>
  </si>
  <si>
    <t>-</t>
  </si>
  <si>
    <t>Average lbs of P removed</t>
  </si>
  <si>
    <t>2018 (1/1/18-12/31/18)</t>
  </si>
  <si>
    <t>5/1/18 - 4/30/19</t>
  </si>
  <si>
    <t>std dev reporting yr</t>
  </si>
  <si>
    <t>CV reporting year</t>
  </si>
  <si>
    <t>std dev calendar yr</t>
  </si>
  <si>
    <t>CV calendar year</t>
  </si>
  <si>
    <t>std dev all</t>
  </si>
  <si>
    <t>CV all</t>
  </si>
  <si>
    <t>Original Mon Locat</t>
  </si>
  <si>
    <t>Orig Daily Value</t>
  </si>
  <si>
    <t>Mon Locat</t>
  </si>
  <si>
    <t>3405001</t>
  </si>
  <si>
    <t>CHARLES CITY</t>
  </si>
  <si>
    <t>TRICKLING FILTER</t>
  </si>
  <si>
    <t>DISCHARGE FROM A TRICK FILT WWTP VIA EFFLUENT DIFFUSER.</t>
  </si>
  <si>
    <t>MONITORING &amp; LIMITS</t>
  </si>
  <si>
    <t>DISCHARGE FROM A TRICK FILT WWTP VIA SHORELINE DISCHARGE WHEN RECEIVING STREAM FLOW IS AT OR ABOVE 520 CFS.</t>
  </si>
  <si>
    <t>TRICK FILT</t>
  </si>
  <si>
    <t>2 TIME PER WEEK</t>
  </si>
  <si>
    <t>3 TIME PER WEEK</t>
  </si>
  <si>
    <t>4 TIME PER WEEK</t>
  </si>
  <si>
    <t>5 TIME PER WEEK</t>
  </si>
  <si>
    <t>6 TIME PER WEEK</t>
  </si>
  <si>
    <t>7 TIME PER WEEK</t>
  </si>
  <si>
    <t>8 TIME PER WEEK</t>
  </si>
  <si>
    <t>9 TIME PER WEEK</t>
  </si>
  <si>
    <t>10 TIME PER WEEK</t>
  </si>
  <si>
    <t>11 TIME PER WEEK</t>
  </si>
  <si>
    <t>12 TIME PER WEEK</t>
  </si>
  <si>
    <t>13 TIME PER WEEK</t>
  </si>
  <si>
    <t>14 TIME PER WEEK</t>
  </si>
  <si>
    <t>15 TIME PER WEEK</t>
  </si>
  <si>
    <t>16 TIME PER WEEK</t>
  </si>
  <si>
    <t>17 TIME PER WEEK</t>
  </si>
  <si>
    <t>18 TIME PER WEEK</t>
  </si>
  <si>
    <t>Charles City</t>
  </si>
  <si>
    <t>2015 &amp; 2016 - TN: redacted days w/ same raw &amp; final (2016-1, 2015-2), days w/ only final, &amp; 1 day w/ large final outlier</t>
  </si>
  <si>
    <t>2015 &amp; 2016 - TP: redacted days w/ zero raw values, days w/ only raw or final, &amp; days w/ no raw mass</t>
  </si>
  <si>
    <t>1716901</t>
  </si>
  <si>
    <t>CLSD</t>
  </si>
  <si>
    <t>SBR</t>
  </si>
  <si>
    <t>DISCHARGE FROM AN ACTIVATED SLUDGE (SBR) WWTF.</t>
  </si>
  <si>
    <t>DISCHARGE FROM AN ACT SLUDGE (SBR) WWTF.</t>
  </si>
  <si>
    <t>Clear Lake SD</t>
  </si>
  <si>
    <t>2016 &amp; 2017 - TN &amp; TP: redacted values for days with only raw data</t>
  </si>
  <si>
    <t>2326001</t>
  </si>
  <si>
    <t>CLINTON CITY OF STP</t>
  </si>
  <si>
    <t>DISCHARGE FROM AN ACTIVATED SLUDGE WWTP</t>
  </si>
  <si>
    <t>1 EVERY 2 MONTHS</t>
  </si>
  <si>
    <t>Clinton</t>
  </si>
  <si>
    <t>no redactions</t>
  </si>
  <si>
    <t>=</t>
  </si>
  <si>
    <t xml:space="preserve">2017 &amp; 2018 - TN &amp; TP: redacted days with zero values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</si>
</sst>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m/d/yyyy"/>
    <numFmt numFmtId="165" formatCode="[$-10409]0.00;\(0.00\)"/>
    <numFmt numFmtId="166" formatCode="0.0"/>
    <numFmt numFmtId="167" formatCode="0.0%"/>
    <numFmt numFmtId="168" formatCode="[$-10409]mm/dd/yyyy"/>
  </numFmts>
  <fonts count="27" x14ac:knownFonts="1">
    <font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rgb="FFC00000"/>
      <name val="Tahoma"/>
      <family val="2"/>
    </font>
    <font>
      <sz val="8"/>
      <color rgb="FFC00000"/>
      <name val="Calibri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65">
    <xf numFmtId="0" fontId="0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9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7" fontId="11" fillId="0" borderId="10" xfId="0" applyNumberFormat="1" applyFont="1" applyFill="1" applyBorder="1" applyAlignment="1">
      <alignment horizontal="center" vertical="center"/>
    </xf>
    <xf numFmtId="167" fontId="11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8" xfId="0" applyFont="1" applyFill="1" applyBorder="1"/>
    <xf numFmtId="14" fontId="5" fillId="0" borderId="10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7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7" fontId="9" fillId="0" borderId="7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14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1" fontId="7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3" borderId="7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1" fontId="16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9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167" fontId="17" fillId="0" borderId="10" xfId="0" applyNumberFormat="1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3" fontId="10" fillId="0" borderId="1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1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7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6" borderId="4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167" fontId="6" fillId="6" borderId="4" xfId="0" applyNumberFormat="1" applyFont="1" applyFill="1" applyBorder="1" applyAlignment="1">
      <alignment horizontal="center" vertical="center"/>
    </xf>
    <xf numFmtId="167" fontId="6" fillId="6" borderId="7" xfId="0" applyNumberFormat="1" applyFont="1" applyFill="1" applyBorder="1" applyAlignment="1">
      <alignment horizontal="center" vertical="center"/>
    </xf>
    <xf numFmtId="3" fontId="7" fillId="6" borderId="1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1" fontId="7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5" borderId="9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67" fontId="6" fillId="5" borderId="10" xfId="0" applyNumberFormat="1" applyFont="1" applyFill="1" applyBorder="1" applyAlignment="1">
      <alignment horizontal="center" vertical="center"/>
    </xf>
    <xf numFmtId="167" fontId="6" fillId="5" borderId="9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/>
    </xf>
    <xf numFmtId="1" fontId="18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7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19" fillId="0" borderId="7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5" fillId="0" borderId="20" xfId="0" applyFont="1" applyFill="1" applyBorder="1"/>
    <xf numFmtId="167" fontId="6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7" borderId="7" xfId="0" applyNumberFormat="1" applyFont="1" applyFill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167" fontId="6" fillId="7" borderId="4" xfId="0" applyNumberFormat="1" applyFont="1" applyFill="1" applyBorder="1" applyAlignment="1">
      <alignment horizontal="center" vertical="center"/>
    </xf>
    <xf numFmtId="167" fontId="6" fillId="7" borderId="7" xfId="0" applyNumberFormat="1" applyFont="1" applyFill="1" applyBorder="1" applyAlignment="1">
      <alignment horizontal="center" vertical="center"/>
    </xf>
    <xf numFmtId="3" fontId="7" fillId="7" borderId="19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vertical="top" wrapText="1" readingOrder="1"/>
    </xf>
    <xf numFmtId="0" fontId="1" fillId="2" borderId="25" xfId="0" applyNumberFormat="1" applyFont="1" applyFill="1" applyBorder="1" applyAlignment="1">
      <alignment horizontal="left" vertical="top" wrapText="1" readingOrder="1"/>
    </xf>
    <xf numFmtId="0" fontId="3" fillId="0" borderId="25" xfId="0" applyFont="1" applyFill="1" applyBorder="1"/>
    <xf numFmtId="0" fontId="2" fillId="0" borderId="25" xfId="0" applyNumberFormat="1" applyFont="1" applyFill="1" applyBorder="1" applyAlignment="1">
      <alignment vertical="top" wrapText="1" readingOrder="1"/>
    </xf>
    <xf numFmtId="164" fontId="2" fillId="0" borderId="25" xfId="0" applyNumberFormat="1" applyFont="1" applyFill="1" applyBorder="1" applyAlignment="1">
      <alignment horizontal="left" vertical="top" wrapText="1" readingOrder="1"/>
    </xf>
    <xf numFmtId="165" fontId="2" fillId="0" borderId="25" xfId="0" applyNumberFormat="1" applyFont="1" applyFill="1" applyBorder="1" applyAlignment="1">
      <alignment horizontal="left" vertical="top" wrapText="1" readingOrder="1"/>
    </xf>
    <xf numFmtId="0" fontId="2" fillId="0" borderId="25" xfId="0" applyNumberFormat="1" applyFont="1" applyFill="1" applyBorder="1" applyAlignment="1">
      <alignment horizontal="left" vertical="top" wrapText="1" readingOrder="1"/>
    </xf>
    <xf numFmtId="0" fontId="2" fillId="8" borderId="25" xfId="0" applyNumberFormat="1" applyFont="1" applyFill="1" applyBorder="1" applyAlignment="1">
      <alignment horizontal="left" vertical="top" wrapText="1" readingOrder="1"/>
    </xf>
    <xf numFmtId="0" fontId="2" fillId="8" borderId="25" xfId="0" applyNumberFormat="1" applyFont="1" applyFill="1" applyBorder="1" applyAlignment="1">
      <alignment vertical="top" wrapText="1" readingOrder="1"/>
    </xf>
    <xf numFmtId="3" fontId="3" fillId="0" borderId="25" xfId="0" applyNumberFormat="1" applyFont="1" applyFill="1" applyBorder="1"/>
    <xf numFmtId="0" fontId="20" fillId="0" borderId="25" xfId="0" applyNumberFormat="1" applyFont="1" applyFill="1" applyBorder="1" applyAlignment="1">
      <alignment vertical="top" wrapText="1" readingOrder="1"/>
    </xf>
    <xf numFmtId="164" fontId="20" fillId="0" borderId="25" xfId="0" applyNumberFormat="1" applyFont="1" applyFill="1" applyBorder="1" applyAlignment="1">
      <alignment horizontal="left" vertical="top" wrapText="1" readingOrder="1"/>
    </xf>
    <xf numFmtId="0" fontId="20" fillId="0" borderId="25" xfId="0" applyNumberFormat="1" applyFont="1" applyFill="1" applyBorder="1" applyAlignment="1">
      <alignment horizontal="left" vertical="top" wrapText="1" readingOrder="1"/>
    </xf>
    <xf numFmtId="0" fontId="21" fillId="0" borderId="25" xfId="0" applyFont="1" applyFill="1" applyBorder="1"/>
    <xf numFmtId="165" fontId="20" fillId="0" borderId="25" xfId="0" applyNumberFormat="1" applyFont="1" applyFill="1" applyBorder="1" applyAlignment="1">
      <alignment horizontal="left" vertical="top" wrapText="1" readingOrder="1"/>
    </xf>
    <xf numFmtId="165" fontId="2" fillId="8" borderId="25" xfId="0" applyNumberFormat="1" applyFont="1" applyFill="1" applyBorder="1" applyAlignment="1">
      <alignment horizontal="left" vertical="top" wrapText="1" readingOrder="1"/>
    </xf>
    <xf numFmtId="0" fontId="22" fillId="0" borderId="7" xfId="0" applyFont="1" applyFill="1" applyBorder="1" applyAlignment="1">
      <alignment horizontal="left"/>
    </xf>
    <xf numFmtId="1" fontId="2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7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166" fontId="22" fillId="0" borderId="7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167" fontId="23" fillId="0" borderId="4" xfId="0" applyNumberFormat="1" applyFont="1" applyFill="1" applyBorder="1" applyAlignment="1">
      <alignment horizontal="center" vertical="center"/>
    </xf>
    <xf numFmtId="167" fontId="23" fillId="0" borderId="7" xfId="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7" fillId="9" borderId="26" xfId="0" applyFont="1" applyFill="1" applyBorder="1" applyAlignment="1">
      <alignment horizontal="left"/>
    </xf>
    <xf numFmtId="1" fontId="7" fillId="9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7" fillId="9" borderId="28" xfId="0" applyNumberFormat="1" applyFont="1" applyFill="1" applyBorder="1" applyAlignment="1">
      <alignment horizontal="center" vertical="center"/>
    </xf>
    <xf numFmtId="3" fontId="7" fillId="9" borderId="29" xfId="0" applyNumberFormat="1" applyFont="1" applyFill="1" applyBorder="1" applyAlignment="1">
      <alignment horizontal="center" vertical="center"/>
    </xf>
    <xf numFmtId="3" fontId="7" fillId="9" borderId="28" xfId="0" applyNumberFormat="1" applyFont="1" applyFill="1" applyBorder="1" applyAlignment="1">
      <alignment horizontal="center" vertical="center"/>
    </xf>
    <xf numFmtId="167" fontId="6" fillId="9" borderId="29" xfId="0" applyNumberFormat="1" applyFont="1" applyFill="1" applyBorder="1" applyAlignment="1">
      <alignment horizontal="center" vertical="center"/>
    </xf>
    <xf numFmtId="167" fontId="6" fillId="9" borderId="28" xfId="0" applyNumberFormat="1" applyFont="1" applyFill="1" applyBorder="1" applyAlignment="1">
      <alignment horizontal="center" vertical="center"/>
    </xf>
    <xf numFmtId="3" fontId="7" fillId="9" borderId="3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14" fillId="0" borderId="4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25" xfId="0" applyNumberFormat="1" applyFont="1" applyFill="1" applyBorder="1" applyAlignment="1">
      <alignment vertical="top" wrapText="1" readingOrder="1"/>
    </xf>
    <xf numFmtId="167" fontId="6" fillId="0" borderId="9" xfId="0" applyNumberFormat="1" applyFont="1" applyFill="1" applyBorder="1" applyAlignment="1">
      <alignment horizontal="center" vertical="center" wrapText="1"/>
    </xf>
    <xf numFmtId="0" fontId="24" fillId="2" borderId="31" xfId="0" applyNumberFormat="1" applyFont="1" applyFill="1" applyBorder="1" applyAlignment="1">
      <alignment vertical="top" wrapText="1" readingOrder="1"/>
    </xf>
    <xf numFmtId="0" fontId="3" fillId="0" borderId="31" xfId="0" applyFont="1" applyFill="1" applyBorder="1"/>
    <xf numFmtId="0" fontId="25" fillId="0" borderId="31" xfId="0" applyNumberFormat="1" applyFont="1" applyFill="1" applyBorder="1" applyAlignment="1">
      <alignment vertical="top" wrapText="1" readingOrder="1"/>
    </xf>
    <xf numFmtId="164" fontId="25" fillId="0" borderId="31" xfId="0" applyNumberFormat="1" applyFont="1" applyFill="1" applyBorder="1" applyAlignment="1">
      <alignment horizontal="left" vertical="top" wrapText="1" readingOrder="1"/>
    </xf>
    <xf numFmtId="2" fontId="25" fillId="0" borderId="31" xfId="0" applyNumberFormat="1" applyFont="1" applyFill="1" applyBorder="1" applyAlignment="1">
      <alignment horizontal="left" vertical="top" wrapText="1" readingOrder="1"/>
    </xf>
    <xf numFmtId="0" fontId="25" fillId="0" borderId="31" xfId="0" applyNumberFormat="1" applyFont="1" applyFill="1" applyBorder="1" applyAlignment="1">
      <alignment horizontal="left" vertical="top" wrapText="1" readingOrder="1"/>
    </xf>
    <xf numFmtId="0" fontId="3" fillId="0" borderId="31" xfId="0" applyFont="1" applyFill="1" applyBorder="1" applyAlignment="1">
      <alignment horizontal="left" readingOrder="1"/>
    </xf>
    <xf numFmtId="2" fontId="3" fillId="0" borderId="31" xfId="0" applyNumberFormat="1" applyFont="1" applyFill="1" applyBorder="1" applyAlignment="1">
      <alignment horizontal="left" readingOrder="1"/>
    </xf>
    <xf numFmtId="166" fontId="5" fillId="0" borderId="0" xfId="0" applyNumberFormat="1" applyFont="1" applyFill="1" applyBorder="1"/>
    <xf numFmtId="0" fontId="13" fillId="0" borderId="0" xfId="0" applyFont="1" applyFill="1" applyBorder="1"/>
    <xf numFmtId="166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10" fillId="0" borderId="10" xfId="0" applyNumberFormat="1" applyFont="1" applyFill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66" fontId="7" fillId="5" borderId="10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7" fillId="7" borderId="4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166" fontId="7" fillId="9" borderId="29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 vertical="center"/>
    </xf>
    <xf numFmtId="0" fontId="24" fillId="2" borderId="31" xfId="0" applyNumberFormat="1" applyFont="1" applyFill="1" applyBorder="1" applyAlignment="1">
      <alignment horizontal="left" vertical="top" wrapText="1" readingOrder="1"/>
    </xf>
    <xf numFmtId="0" fontId="26" fillId="0" borderId="31" xfId="0" applyFont="1" applyFill="1" applyBorder="1"/>
    <xf numFmtId="0" fontId="25" fillId="0" borderId="1" xfId="0" applyNumberFormat="1" applyFont="1" applyFill="1" applyBorder="1" applyAlignment="1">
      <alignment vertical="top" wrapText="1" readingOrder="1"/>
    </xf>
    <xf numFmtId="164" fontId="25" fillId="0" borderId="1" xfId="0" applyNumberFormat="1" applyFont="1" applyFill="1" applyBorder="1" applyAlignment="1">
      <alignment horizontal="left" vertical="top" wrapText="1" readingOrder="1"/>
    </xf>
    <xf numFmtId="165" fontId="25" fillId="0" borderId="1" xfId="0" applyNumberFormat="1" applyFont="1" applyFill="1" applyBorder="1" applyAlignment="1">
      <alignment horizontal="left" vertical="top" wrapText="1" readingOrder="1"/>
    </xf>
    <xf numFmtId="0" fontId="25" fillId="0" borderId="1" xfId="0" applyNumberFormat="1" applyFont="1" applyFill="1" applyBorder="1" applyAlignment="1">
      <alignment horizontal="left" vertical="top" wrapText="1" readingOrder="1"/>
    </xf>
    <xf numFmtId="164" fontId="25" fillId="0" borderId="32" xfId="0" applyNumberFormat="1" applyFont="1" applyFill="1" applyBorder="1" applyAlignment="1">
      <alignment horizontal="left" vertical="top" wrapText="1" readingOrder="1"/>
    </xf>
    <xf numFmtId="165" fontId="25" fillId="0" borderId="32" xfId="0" applyNumberFormat="1" applyFont="1" applyFill="1" applyBorder="1" applyAlignment="1">
      <alignment horizontal="left" vertical="top" wrapText="1" readingOrder="1"/>
    </xf>
    <xf numFmtId="0" fontId="25" fillId="0" borderId="32" xfId="0" applyNumberFormat="1" applyFont="1" applyFill="1" applyBorder="1" applyAlignment="1">
      <alignment horizontal="left" vertical="top" wrapText="1" readingOrder="1"/>
    </xf>
    <xf numFmtId="0" fontId="25" fillId="0" borderId="32" xfId="0" applyNumberFormat="1" applyFont="1" applyFill="1" applyBorder="1" applyAlignment="1">
      <alignment vertical="top" wrapText="1" readingOrder="1"/>
    </xf>
    <xf numFmtId="0" fontId="25" fillId="0" borderId="33" xfId="0" applyNumberFormat="1" applyFont="1" applyFill="1" applyBorder="1" applyAlignment="1">
      <alignment vertical="top" wrapText="1" readingOrder="1"/>
    </xf>
    <xf numFmtId="164" fontId="25" fillId="0" borderId="25" xfId="0" applyNumberFormat="1" applyFont="1" applyFill="1" applyBorder="1" applyAlignment="1">
      <alignment horizontal="left" vertical="top" wrapText="1" readingOrder="1"/>
    </xf>
    <xf numFmtId="165" fontId="25" fillId="0" borderId="25" xfId="0" applyNumberFormat="1" applyFont="1" applyFill="1" applyBorder="1" applyAlignment="1">
      <alignment horizontal="left" vertical="top" wrapText="1" readingOrder="1"/>
    </xf>
    <xf numFmtId="0" fontId="25" fillId="0" borderId="25" xfId="0" applyNumberFormat="1" applyFont="1" applyFill="1" applyBorder="1" applyAlignment="1">
      <alignment horizontal="left" vertical="top" wrapText="1" readingOrder="1"/>
    </xf>
    <xf numFmtId="0" fontId="25" fillId="0" borderId="25" xfId="0" applyNumberFormat="1" applyFont="1" applyFill="1" applyBorder="1" applyAlignment="1">
      <alignment vertical="top" wrapText="1" readingOrder="1"/>
    </xf>
    <xf numFmtId="0" fontId="25" fillId="0" borderId="34" xfId="0" applyNumberFormat="1" applyFont="1" applyFill="1" applyBorder="1" applyAlignment="1">
      <alignment horizontal="left" vertical="top" wrapText="1" readingOrder="1"/>
    </xf>
    <xf numFmtId="168" fontId="25" fillId="0" borderId="25" xfId="0" applyNumberFormat="1" applyFont="1" applyBorder="1" applyAlignment="1" applyProtection="1">
      <alignment horizontal="left" vertical="top" wrapText="1" readingOrder="1"/>
      <protection locked="0"/>
    </xf>
    <xf numFmtId="2" fontId="25" fillId="0" borderId="25" xfId="0" applyNumberFormat="1" applyFont="1" applyBorder="1" applyAlignment="1" applyProtection="1">
      <alignment horizontal="left" vertical="top" wrapText="1" readingOrder="1"/>
      <protection locked="0"/>
    </xf>
    <xf numFmtId="168" fontId="25" fillId="0" borderId="1" xfId="0" applyNumberFormat="1" applyFont="1" applyBorder="1" applyAlignment="1" applyProtection="1">
      <alignment horizontal="left" vertical="top" wrapText="1" readingOrder="1"/>
      <protection locked="0"/>
    </xf>
    <xf numFmtId="2" fontId="25" fillId="0" borderId="1" xfId="0" applyNumberFormat="1" applyFont="1" applyBorder="1" applyAlignment="1" applyProtection="1">
      <alignment horizontal="left" vertical="top" wrapText="1" readingOrder="1"/>
      <protection locked="0"/>
    </xf>
    <xf numFmtId="0" fontId="7" fillId="0" borderId="6" xfId="0" applyFont="1" applyFill="1" applyBorder="1" applyAlignment="1">
      <alignment horizontal="left"/>
    </xf>
    <xf numFmtId="166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left" vertical="top" wrapText="1" readingOrder="1"/>
    </xf>
    <xf numFmtId="165" fontId="25" fillId="8" borderId="25" xfId="0" applyNumberFormat="1" applyFont="1" applyFill="1" applyBorder="1" applyAlignment="1">
      <alignment horizontal="left" vertical="top" wrapText="1" readingOrder="1"/>
    </xf>
    <xf numFmtId="3" fontId="25" fillId="8" borderId="25" xfId="0" applyNumberFormat="1" applyFont="1" applyFill="1" applyBorder="1" applyAlignment="1">
      <alignment horizontal="left" vertical="top" wrapText="1" readingOrder="1"/>
    </xf>
    <xf numFmtId="0" fontId="25" fillId="8" borderId="25" xfId="0" applyNumberFormat="1" applyFont="1" applyFill="1" applyBorder="1" applyAlignment="1">
      <alignment horizontal="left" vertical="top" wrapText="1" readingOrder="1"/>
    </xf>
    <xf numFmtId="0" fontId="25" fillId="8" borderId="25" xfId="0" applyNumberFormat="1" applyFont="1" applyFill="1" applyBorder="1" applyAlignment="1">
      <alignment vertical="top" wrapText="1" readingOrder="1"/>
    </xf>
    <xf numFmtId="3" fontId="24" fillId="2" borderId="25" xfId="0" applyNumberFormat="1" applyFont="1" applyFill="1" applyBorder="1" applyAlignment="1">
      <alignment vertical="top" wrapText="1" readingOrder="1"/>
    </xf>
    <xf numFmtId="0" fontId="24" fillId="2" borderId="25" xfId="0" applyNumberFormat="1" applyFont="1" applyFill="1" applyBorder="1" applyAlignment="1">
      <alignment horizontal="left" vertical="top" wrapText="1" readingOrder="1"/>
    </xf>
    <xf numFmtId="0" fontId="26" fillId="0" borderId="25" xfId="0" applyFont="1" applyFill="1" applyBorder="1"/>
    <xf numFmtId="2" fontId="25" fillId="8" borderId="31" xfId="0" applyNumberFormat="1" applyFont="1" applyFill="1" applyBorder="1" applyAlignment="1">
      <alignment horizontal="left" vertical="top" wrapText="1" readingOrder="1"/>
    </xf>
    <xf numFmtId="0" fontId="25" fillId="8" borderId="31" xfId="0" applyNumberFormat="1" applyFont="1" applyFill="1" applyBorder="1" applyAlignment="1">
      <alignment horizontal="left" vertical="top" wrapText="1" readingOrder="1"/>
    </xf>
    <xf numFmtId="0" fontId="25" fillId="8" borderId="31" xfId="0" applyNumberFormat="1" applyFont="1" applyFill="1" applyBorder="1" applyAlignment="1">
      <alignment vertical="top" wrapText="1" readingOrder="1"/>
    </xf>
    <xf numFmtId="168" fontId="25" fillId="0" borderId="31" xfId="0" applyNumberFormat="1" applyFont="1" applyBorder="1" applyAlignment="1" applyProtection="1">
      <alignment horizontal="left" vertical="top" wrapText="1" readingOrder="1"/>
      <protection locked="0"/>
    </xf>
    <xf numFmtId="2" fontId="25" fillId="0" borderId="31" xfId="0" applyNumberFormat="1" applyFont="1" applyBorder="1" applyAlignment="1" applyProtection="1">
      <alignment horizontal="left" vertical="top" wrapText="1" readingOrder="1"/>
      <protection locked="0"/>
    </xf>
    <xf numFmtId="168" fontId="25" fillId="0" borderId="31" xfId="0" applyNumberFormat="1" applyFont="1" applyBorder="1" applyAlignment="1" applyProtection="1">
      <alignment horizontal="left" vertical="top" wrapText="1"/>
      <protection locked="0"/>
    </xf>
    <xf numFmtId="2" fontId="25" fillId="0" borderId="31" xfId="0" applyNumberFormat="1" applyFont="1" applyBorder="1" applyAlignment="1" applyProtection="1">
      <alignment horizontal="left" vertical="top" wrapText="1"/>
      <protection locked="0"/>
    </xf>
    <xf numFmtId="2" fontId="24" fillId="2" borderId="31" xfId="0" applyNumberFormat="1" applyFont="1" applyFill="1" applyBorder="1" applyAlignment="1">
      <alignment horizontal="left" vertical="top" wrapText="1" readingOrder="1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right"/>
    </xf>
    <xf numFmtId="14" fontId="5" fillId="0" borderId="11" xfId="0" applyNumberFormat="1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 vertical="center" wrapText="1"/>
    </xf>
    <xf numFmtId="167" fontId="6" fillId="0" borderId="9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9"/>
  <sheetViews>
    <sheetView showGridLines="0" tabSelected="1" workbookViewId="0">
      <pane ySplit="1" topLeftCell="A2" activePane="bottomLeft" state="frozen"/>
      <selection pane="bottomLeft" activeCell="A22" sqref="A22"/>
    </sheetView>
  </sheetViews>
  <sheetFormatPr defaultRowHeight="11.25" x14ac:dyDescent="0.2"/>
  <cols>
    <col min="1" max="1" width="7.5703125" style="120" customWidth="1"/>
    <col min="2" max="2" width="12.7109375" style="120" customWidth="1"/>
    <col min="3" max="3" width="22.140625" style="120" customWidth="1"/>
    <col min="4" max="4" width="15.42578125" style="120" customWidth="1"/>
    <col min="5" max="5" width="10" style="120" customWidth="1"/>
    <col min="6" max="6" width="7.42578125" style="127" customWidth="1"/>
    <col min="7" max="7" width="8" style="120" customWidth="1"/>
    <col min="8" max="8" width="14.140625" style="120" customWidth="1"/>
    <col min="9" max="9" width="4.28515625" style="120" customWidth="1"/>
    <col min="10" max="10" width="14.28515625" style="120" customWidth="1"/>
    <col min="11" max="11" width="11.5703125" style="120" customWidth="1"/>
    <col min="12" max="12" width="102.140625" style="120" customWidth="1"/>
    <col min="13" max="13" width="25.140625" style="120" customWidth="1"/>
    <col min="14" max="16384" width="9.140625" style="120"/>
  </cols>
  <sheetData>
    <row r="1" spans="1:14" s="228" customFormat="1" ht="21" x14ac:dyDescent="0.2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4</v>
      </c>
      <c r="F1" s="226" t="s">
        <v>5</v>
      </c>
      <c r="G1" s="164" t="s">
        <v>6</v>
      </c>
      <c r="H1" s="164" t="s">
        <v>20</v>
      </c>
      <c r="I1" s="227" t="s">
        <v>7</v>
      </c>
      <c r="J1" s="227" t="s">
        <v>8</v>
      </c>
      <c r="K1" s="227" t="s">
        <v>9</v>
      </c>
      <c r="L1" s="164" t="s">
        <v>10</v>
      </c>
      <c r="M1" s="164" t="s">
        <v>71</v>
      </c>
      <c r="N1" s="164" t="s">
        <v>72</v>
      </c>
    </row>
    <row r="2" spans="1:14" x14ac:dyDescent="0.2">
      <c r="A2" s="211" t="s">
        <v>55</v>
      </c>
      <c r="B2" s="211" t="s">
        <v>58</v>
      </c>
      <c r="C2" s="211" t="s">
        <v>11</v>
      </c>
      <c r="D2" s="211" t="s">
        <v>12</v>
      </c>
      <c r="E2" s="208">
        <v>43214</v>
      </c>
      <c r="F2" s="209">
        <v>59.751130500000002</v>
      </c>
      <c r="G2" s="210" t="s">
        <v>13</v>
      </c>
      <c r="H2" s="211" t="s">
        <v>14</v>
      </c>
      <c r="I2" s="210">
        <v>1</v>
      </c>
      <c r="J2" s="210" t="s">
        <v>15</v>
      </c>
      <c r="K2" s="210" t="s">
        <v>54</v>
      </c>
      <c r="L2" s="211" t="s">
        <v>60</v>
      </c>
      <c r="M2" s="211" t="s">
        <v>56</v>
      </c>
    </row>
    <row r="3" spans="1:14" x14ac:dyDescent="0.2">
      <c r="A3" s="211" t="s">
        <v>55</v>
      </c>
      <c r="B3" s="211" t="s">
        <v>58</v>
      </c>
      <c r="C3" s="211" t="s">
        <v>11</v>
      </c>
      <c r="D3" s="211" t="s">
        <v>12</v>
      </c>
      <c r="E3" s="208">
        <v>43214</v>
      </c>
      <c r="F3" s="221">
        <v>25469.3615393</v>
      </c>
      <c r="G3" s="210" t="s">
        <v>16</v>
      </c>
      <c r="H3" s="211" t="s">
        <v>14</v>
      </c>
      <c r="I3" s="210">
        <v>1</v>
      </c>
      <c r="J3" s="210" t="s">
        <v>15</v>
      </c>
      <c r="K3" s="210" t="s">
        <v>54</v>
      </c>
      <c r="L3" s="211" t="s">
        <v>60</v>
      </c>
      <c r="M3" s="211" t="s">
        <v>56</v>
      </c>
    </row>
    <row r="4" spans="1:14" x14ac:dyDescent="0.2">
      <c r="A4" s="211" t="s">
        <v>55</v>
      </c>
      <c r="B4" s="211" t="s">
        <v>58</v>
      </c>
      <c r="C4" s="211" t="s">
        <v>11</v>
      </c>
      <c r="D4" s="211" t="s">
        <v>12</v>
      </c>
      <c r="E4" s="208">
        <v>43214</v>
      </c>
      <c r="F4" s="209">
        <v>32</v>
      </c>
      <c r="G4" s="210" t="s">
        <v>13</v>
      </c>
      <c r="H4" s="211" t="s">
        <v>18</v>
      </c>
      <c r="I4" s="210">
        <v>117</v>
      </c>
      <c r="J4" s="210" t="s">
        <v>15</v>
      </c>
      <c r="K4" s="210" t="s">
        <v>54</v>
      </c>
      <c r="L4" s="211" t="s">
        <v>59</v>
      </c>
      <c r="M4" s="211" t="s">
        <v>17</v>
      </c>
    </row>
    <row r="5" spans="1:14" x14ac:dyDescent="0.2">
      <c r="A5" s="211" t="s">
        <v>55</v>
      </c>
      <c r="B5" s="211" t="s">
        <v>58</v>
      </c>
      <c r="C5" s="211" t="s">
        <v>11</v>
      </c>
      <c r="D5" s="211" t="s">
        <v>12</v>
      </c>
      <c r="E5" s="208">
        <v>43214</v>
      </c>
      <c r="F5" s="221">
        <v>13640.236800000001</v>
      </c>
      <c r="G5" s="210" t="s">
        <v>16</v>
      </c>
      <c r="H5" s="211" t="s">
        <v>18</v>
      </c>
      <c r="I5" s="210">
        <v>117</v>
      </c>
      <c r="J5" s="210" t="s">
        <v>15</v>
      </c>
      <c r="K5" s="210" t="s">
        <v>54</v>
      </c>
      <c r="L5" s="211" t="s">
        <v>59</v>
      </c>
      <c r="M5" s="211" t="s">
        <v>17</v>
      </c>
    </row>
    <row r="6" spans="1:14" x14ac:dyDescent="0.2">
      <c r="A6" s="211" t="s">
        <v>55</v>
      </c>
      <c r="B6" s="211" t="s">
        <v>58</v>
      </c>
      <c r="C6" s="211" t="s">
        <v>11</v>
      </c>
      <c r="D6" s="211" t="s">
        <v>12</v>
      </c>
      <c r="E6" s="208">
        <v>43207</v>
      </c>
      <c r="F6" s="209">
        <v>59.254089399999998</v>
      </c>
      <c r="G6" s="210" t="s">
        <v>13</v>
      </c>
      <c r="H6" s="211" t="s">
        <v>14</v>
      </c>
      <c r="I6" s="210">
        <v>1</v>
      </c>
      <c r="J6" s="210" t="s">
        <v>15</v>
      </c>
      <c r="K6" s="210" t="s">
        <v>54</v>
      </c>
      <c r="L6" s="211" t="s">
        <v>60</v>
      </c>
      <c r="M6" s="211" t="s">
        <v>56</v>
      </c>
    </row>
    <row r="7" spans="1:14" x14ac:dyDescent="0.2">
      <c r="A7" s="211" t="s">
        <v>55</v>
      </c>
      <c r="B7" s="211" t="s">
        <v>58</v>
      </c>
      <c r="C7" s="211" t="s">
        <v>11</v>
      </c>
      <c r="D7" s="211" t="s">
        <v>12</v>
      </c>
      <c r="E7" s="208">
        <v>43207</v>
      </c>
      <c r="F7" s="221">
        <v>25366.213499599999</v>
      </c>
      <c r="G7" s="210" t="s">
        <v>16</v>
      </c>
      <c r="H7" s="211" t="s">
        <v>14</v>
      </c>
      <c r="I7" s="210">
        <v>1</v>
      </c>
      <c r="J7" s="210" t="s">
        <v>15</v>
      </c>
      <c r="K7" s="210" t="s">
        <v>54</v>
      </c>
      <c r="L7" s="211" t="s">
        <v>60</v>
      </c>
      <c r="M7" s="211" t="s">
        <v>56</v>
      </c>
    </row>
    <row r="8" spans="1:14" x14ac:dyDescent="0.2">
      <c r="A8" s="211" t="s">
        <v>55</v>
      </c>
      <c r="B8" s="211" t="s">
        <v>58</v>
      </c>
      <c r="C8" s="211" t="s">
        <v>11</v>
      </c>
      <c r="D8" s="211" t="s">
        <v>12</v>
      </c>
      <c r="E8" s="208">
        <v>43207</v>
      </c>
      <c r="F8" s="209">
        <v>23.7</v>
      </c>
      <c r="G8" s="210" t="s">
        <v>13</v>
      </c>
      <c r="H8" s="211" t="s">
        <v>18</v>
      </c>
      <c r="I8" s="210">
        <v>117</v>
      </c>
      <c r="J8" s="210" t="s">
        <v>15</v>
      </c>
      <c r="K8" s="210" t="s">
        <v>54</v>
      </c>
      <c r="L8" s="211" t="s">
        <v>59</v>
      </c>
      <c r="M8" s="211" t="s">
        <v>17</v>
      </c>
    </row>
    <row r="9" spans="1:14" x14ac:dyDescent="0.2">
      <c r="A9" s="211" t="s">
        <v>55</v>
      </c>
      <c r="B9" s="211" t="s">
        <v>58</v>
      </c>
      <c r="C9" s="211" t="s">
        <v>11</v>
      </c>
      <c r="D9" s="211" t="s">
        <v>12</v>
      </c>
      <c r="E9" s="208">
        <v>43207</v>
      </c>
      <c r="F9" s="221">
        <v>10145.78514</v>
      </c>
      <c r="G9" s="210" t="s">
        <v>16</v>
      </c>
      <c r="H9" s="211" t="s">
        <v>18</v>
      </c>
      <c r="I9" s="210">
        <v>117</v>
      </c>
      <c r="J9" s="210" t="s">
        <v>15</v>
      </c>
      <c r="K9" s="210" t="s">
        <v>54</v>
      </c>
      <c r="L9" s="211" t="s">
        <v>59</v>
      </c>
      <c r="M9" s="211" t="s">
        <v>17</v>
      </c>
    </row>
    <row r="10" spans="1:14" x14ac:dyDescent="0.2">
      <c r="A10" s="211" t="s">
        <v>55</v>
      </c>
      <c r="B10" s="211" t="s">
        <v>58</v>
      </c>
      <c r="C10" s="211" t="s">
        <v>11</v>
      </c>
      <c r="D10" s="211" t="s">
        <v>12</v>
      </c>
      <c r="E10" s="208">
        <v>43200</v>
      </c>
      <c r="F10" s="209">
        <v>45.104521699999999</v>
      </c>
      <c r="G10" s="210" t="s">
        <v>13</v>
      </c>
      <c r="H10" s="211" t="s">
        <v>14</v>
      </c>
      <c r="I10" s="210">
        <v>1</v>
      </c>
      <c r="J10" s="210" t="s">
        <v>15</v>
      </c>
      <c r="K10" s="210" t="s">
        <v>54</v>
      </c>
      <c r="L10" s="211" t="s">
        <v>60</v>
      </c>
      <c r="M10" s="211" t="s">
        <v>56</v>
      </c>
    </row>
    <row r="11" spans="1:14" x14ac:dyDescent="0.2">
      <c r="A11" s="211" t="s">
        <v>55</v>
      </c>
      <c r="B11" s="211" t="s">
        <v>58</v>
      </c>
      <c r="C11" s="211" t="s">
        <v>11</v>
      </c>
      <c r="D11" s="211" t="s">
        <v>12</v>
      </c>
      <c r="E11" s="208">
        <v>43200</v>
      </c>
      <c r="F11" s="221">
        <v>17439.3205524</v>
      </c>
      <c r="G11" s="210" t="s">
        <v>16</v>
      </c>
      <c r="H11" s="211" t="s">
        <v>14</v>
      </c>
      <c r="I11" s="210">
        <v>1</v>
      </c>
      <c r="J11" s="210" t="s">
        <v>15</v>
      </c>
      <c r="K11" s="210" t="s">
        <v>54</v>
      </c>
      <c r="L11" s="211" t="s">
        <v>60</v>
      </c>
      <c r="M11" s="211" t="s">
        <v>56</v>
      </c>
    </row>
    <row r="12" spans="1:14" x14ac:dyDescent="0.2">
      <c r="A12" s="211" t="s">
        <v>55</v>
      </c>
      <c r="B12" s="211" t="s">
        <v>58</v>
      </c>
      <c r="C12" s="211" t="s">
        <v>11</v>
      </c>
      <c r="D12" s="211" t="s">
        <v>12</v>
      </c>
      <c r="E12" s="208">
        <v>43200</v>
      </c>
      <c r="F12" s="209">
        <v>9.64</v>
      </c>
      <c r="G12" s="210" t="s">
        <v>13</v>
      </c>
      <c r="H12" s="211" t="s">
        <v>18</v>
      </c>
      <c r="I12" s="210">
        <v>1</v>
      </c>
      <c r="J12" s="210" t="s">
        <v>15</v>
      </c>
      <c r="K12" s="210" t="s">
        <v>54</v>
      </c>
      <c r="L12" s="211" t="s">
        <v>60</v>
      </c>
      <c r="M12" s="211" t="s">
        <v>17</v>
      </c>
    </row>
    <row r="13" spans="1:14" x14ac:dyDescent="0.2">
      <c r="A13" s="211" t="s">
        <v>55</v>
      </c>
      <c r="B13" s="211" t="s">
        <v>58</v>
      </c>
      <c r="C13" s="211" t="s">
        <v>11</v>
      </c>
      <c r="D13" s="211" t="s">
        <v>12</v>
      </c>
      <c r="E13" s="208">
        <v>43200</v>
      </c>
      <c r="F13" s="221">
        <v>3727.2327359999999</v>
      </c>
      <c r="G13" s="210" t="s">
        <v>16</v>
      </c>
      <c r="H13" s="211" t="s">
        <v>18</v>
      </c>
      <c r="I13" s="210">
        <v>1</v>
      </c>
      <c r="J13" s="210" t="s">
        <v>15</v>
      </c>
      <c r="K13" s="210" t="s">
        <v>54</v>
      </c>
      <c r="L13" s="211" t="s">
        <v>60</v>
      </c>
      <c r="M13" s="211" t="s">
        <v>17</v>
      </c>
    </row>
    <row r="14" spans="1:14" x14ac:dyDescent="0.2">
      <c r="A14" s="211" t="s">
        <v>55</v>
      </c>
      <c r="B14" s="211" t="s">
        <v>58</v>
      </c>
      <c r="C14" s="211" t="s">
        <v>11</v>
      </c>
      <c r="D14" s="211" t="s">
        <v>12</v>
      </c>
      <c r="E14" s="208">
        <v>43194</v>
      </c>
      <c r="F14" s="209">
        <v>17.899999999999999</v>
      </c>
      <c r="G14" s="210" t="s">
        <v>13</v>
      </c>
      <c r="H14" s="211" t="s">
        <v>18</v>
      </c>
      <c r="I14" s="210">
        <v>1</v>
      </c>
      <c r="J14" s="210" t="s">
        <v>15</v>
      </c>
      <c r="K14" s="210" t="s">
        <v>54</v>
      </c>
      <c r="L14" s="211" t="s">
        <v>60</v>
      </c>
      <c r="M14" s="211" t="s">
        <v>17</v>
      </c>
    </row>
    <row r="15" spans="1:14" x14ac:dyDescent="0.2">
      <c r="A15" s="211" t="s">
        <v>55</v>
      </c>
      <c r="B15" s="211" t="s">
        <v>58</v>
      </c>
      <c r="C15" s="211" t="s">
        <v>11</v>
      </c>
      <c r="D15" s="211" t="s">
        <v>12</v>
      </c>
      <c r="E15" s="208">
        <v>43194</v>
      </c>
      <c r="F15" s="221">
        <v>8328.6659400000008</v>
      </c>
      <c r="G15" s="210" t="s">
        <v>16</v>
      </c>
      <c r="H15" s="211" t="s">
        <v>18</v>
      </c>
      <c r="I15" s="210">
        <v>1</v>
      </c>
      <c r="J15" s="210" t="s">
        <v>15</v>
      </c>
      <c r="K15" s="210" t="s">
        <v>54</v>
      </c>
      <c r="L15" s="211" t="s">
        <v>60</v>
      </c>
      <c r="M15" s="211" t="s">
        <v>17</v>
      </c>
    </row>
    <row r="16" spans="1:14" x14ac:dyDescent="0.2">
      <c r="A16" s="211" t="s">
        <v>55</v>
      </c>
      <c r="B16" s="211" t="s">
        <v>58</v>
      </c>
      <c r="C16" s="211" t="s">
        <v>11</v>
      </c>
      <c r="D16" s="211" t="s">
        <v>12</v>
      </c>
      <c r="E16" s="208">
        <v>43193</v>
      </c>
      <c r="F16" s="209">
        <v>48.733970499999998</v>
      </c>
      <c r="G16" s="210" t="s">
        <v>13</v>
      </c>
      <c r="H16" s="211" t="s">
        <v>14</v>
      </c>
      <c r="I16" s="210">
        <v>1</v>
      </c>
      <c r="J16" s="210" t="s">
        <v>15</v>
      </c>
      <c r="K16" s="210" t="s">
        <v>54</v>
      </c>
      <c r="L16" s="211" t="s">
        <v>60</v>
      </c>
      <c r="M16" s="211" t="s">
        <v>56</v>
      </c>
    </row>
    <row r="17" spans="1:13" x14ac:dyDescent="0.2">
      <c r="A17" s="211" t="s">
        <v>55</v>
      </c>
      <c r="B17" s="211" t="s">
        <v>58</v>
      </c>
      <c r="C17" s="211" t="s">
        <v>11</v>
      </c>
      <c r="D17" s="211" t="s">
        <v>12</v>
      </c>
      <c r="E17" s="208">
        <v>43193</v>
      </c>
      <c r="F17" s="221">
        <v>22781.035677</v>
      </c>
      <c r="G17" s="210" t="s">
        <v>16</v>
      </c>
      <c r="H17" s="211" t="s">
        <v>14</v>
      </c>
      <c r="I17" s="210">
        <v>1</v>
      </c>
      <c r="J17" s="210" t="s">
        <v>15</v>
      </c>
      <c r="K17" s="210" t="s">
        <v>54</v>
      </c>
      <c r="L17" s="211" t="s">
        <v>60</v>
      </c>
      <c r="M17" s="211" t="s">
        <v>56</v>
      </c>
    </row>
    <row r="18" spans="1:13" x14ac:dyDescent="0.2">
      <c r="A18" s="211" t="s">
        <v>55</v>
      </c>
      <c r="B18" s="211" t="s">
        <v>58</v>
      </c>
      <c r="C18" s="211" t="s">
        <v>11</v>
      </c>
      <c r="D18" s="211" t="s">
        <v>12</v>
      </c>
      <c r="E18" s="208">
        <v>43185</v>
      </c>
      <c r="F18" s="209">
        <v>53.736770399999997</v>
      </c>
      <c r="G18" s="210" t="s">
        <v>13</v>
      </c>
      <c r="H18" s="211" t="s">
        <v>14</v>
      </c>
      <c r="I18" s="210">
        <v>1</v>
      </c>
      <c r="J18" s="210" t="s">
        <v>15</v>
      </c>
      <c r="K18" s="210" t="s">
        <v>54</v>
      </c>
      <c r="L18" s="211" t="s">
        <v>60</v>
      </c>
      <c r="M18" s="211" t="s">
        <v>56</v>
      </c>
    </row>
    <row r="19" spans="1:13" x14ac:dyDescent="0.2">
      <c r="A19" s="211" t="s">
        <v>55</v>
      </c>
      <c r="B19" s="211" t="s">
        <v>58</v>
      </c>
      <c r="C19" s="211" t="s">
        <v>11</v>
      </c>
      <c r="D19" s="211" t="s">
        <v>12</v>
      </c>
      <c r="E19" s="208">
        <v>43185</v>
      </c>
      <c r="F19" s="221">
        <v>20732.097419999998</v>
      </c>
      <c r="G19" s="210" t="s">
        <v>16</v>
      </c>
      <c r="H19" s="211" t="s">
        <v>14</v>
      </c>
      <c r="I19" s="210">
        <v>1</v>
      </c>
      <c r="J19" s="210" t="s">
        <v>15</v>
      </c>
      <c r="K19" s="210" t="s">
        <v>54</v>
      </c>
      <c r="L19" s="211" t="s">
        <v>60</v>
      </c>
      <c r="M19" s="211" t="s">
        <v>56</v>
      </c>
    </row>
    <row r="20" spans="1:13" x14ac:dyDescent="0.2">
      <c r="A20" s="211" t="s">
        <v>55</v>
      </c>
      <c r="B20" s="211" t="s">
        <v>58</v>
      </c>
      <c r="C20" s="211" t="s">
        <v>11</v>
      </c>
      <c r="D20" s="211" t="s">
        <v>12</v>
      </c>
      <c r="E20" s="208">
        <v>43185</v>
      </c>
      <c r="F20" s="209">
        <v>34.9</v>
      </c>
      <c r="G20" s="210" t="s">
        <v>13</v>
      </c>
      <c r="H20" s="211" t="s">
        <v>18</v>
      </c>
      <c r="I20" s="210">
        <v>1</v>
      </c>
      <c r="J20" s="210" t="s">
        <v>15</v>
      </c>
      <c r="K20" s="210" t="s">
        <v>54</v>
      </c>
      <c r="L20" s="211" t="s">
        <v>60</v>
      </c>
      <c r="M20" s="211" t="s">
        <v>17</v>
      </c>
    </row>
    <row r="21" spans="1:13" x14ac:dyDescent="0.2">
      <c r="A21" s="211" t="s">
        <v>55</v>
      </c>
      <c r="B21" s="211" t="s">
        <v>58</v>
      </c>
      <c r="C21" s="211" t="s">
        <v>11</v>
      </c>
      <c r="D21" s="211" t="s">
        <v>12</v>
      </c>
      <c r="E21" s="208">
        <v>43185</v>
      </c>
      <c r="F21" s="221">
        <v>13464.713159999999</v>
      </c>
      <c r="G21" s="210" t="s">
        <v>16</v>
      </c>
      <c r="H21" s="211" t="s">
        <v>18</v>
      </c>
      <c r="I21" s="210">
        <v>1</v>
      </c>
      <c r="J21" s="210" t="s">
        <v>15</v>
      </c>
      <c r="K21" s="210" t="s">
        <v>54</v>
      </c>
      <c r="L21" s="211" t="s">
        <v>60</v>
      </c>
      <c r="M21" s="211" t="s">
        <v>17</v>
      </c>
    </row>
    <row r="22" spans="1:13" x14ac:dyDescent="0.2">
      <c r="A22" s="211" t="s">
        <v>55</v>
      </c>
      <c r="B22" s="211" t="s">
        <v>58</v>
      </c>
      <c r="C22" s="211" t="s">
        <v>11</v>
      </c>
      <c r="D22" s="211" t="s">
        <v>12</v>
      </c>
      <c r="E22" s="208">
        <v>43179</v>
      </c>
      <c r="F22" s="209">
        <v>43.286024900000001</v>
      </c>
      <c r="G22" s="210" t="s">
        <v>13</v>
      </c>
      <c r="H22" s="211" t="s">
        <v>14</v>
      </c>
      <c r="I22" s="210">
        <v>1</v>
      </c>
      <c r="J22" s="210" t="s">
        <v>15</v>
      </c>
      <c r="K22" s="210" t="s">
        <v>54</v>
      </c>
      <c r="L22" s="211" t="s">
        <v>60</v>
      </c>
      <c r="M22" s="211" t="s">
        <v>56</v>
      </c>
    </row>
    <row r="23" spans="1:13" x14ac:dyDescent="0.2">
      <c r="A23" s="211" t="s">
        <v>55</v>
      </c>
      <c r="B23" s="211" t="s">
        <v>58</v>
      </c>
      <c r="C23" s="211" t="s">
        <v>11</v>
      </c>
      <c r="D23" s="211" t="s">
        <v>12</v>
      </c>
      <c r="E23" s="208">
        <v>43179</v>
      </c>
      <c r="F23" s="221">
        <v>14775.95298</v>
      </c>
      <c r="G23" s="210" t="s">
        <v>16</v>
      </c>
      <c r="H23" s="211" t="s">
        <v>14</v>
      </c>
      <c r="I23" s="210">
        <v>1</v>
      </c>
      <c r="J23" s="210" t="s">
        <v>15</v>
      </c>
      <c r="K23" s="210" t="s">
        <v>54</v>
      </c>
      <c r="L23" s="211" t="s">
        <v>60</v>
      </c>
      <c r="M23" s="211" t="s">
        <v>56</v>
      </c>
    </row>
    <row r="24" spans="1:13" x14ac:dyDescent="0.2">
      <c r="A24" s="211" t="s">
        <v>55</v>
      </c>
      <c r="B24" s="211" t="s">
        <v>58</v>
      </c>
      <c r="C24" s="211" t="s">
        <v>11</v>
      </c>
      <c r="D24" s="211" t="s">
        <v>12</v>
      </c>
      <c r="E24" s="208">
        <v>43179</v>
      </c>
      <c r="F24" s="209">
        <v>34.299999999999997</v>
      </c>
      <c r="G24" s="210" t="s">
        <v>13</v>
      </c>
      <c r="H24" s="211" t="s">
        <v>18</v>
      </c>
      <c r="I24" s="210">
        <v>1</v>
      </c>
      <c r="J24" s="210" t="s">
        <v>15</v>
      </c>
      <c r="K24" s="210" t="s">
        <v>54</v>
      </c>
      <c r="L24" s="211" t="s">
        <v>60</v>
      </c>
      <c r="M24" s="211" t="s">
        <v>17</v>
      </c>
    </row>
    <row r="25" spans="1:13" x14ac:dyDescent="0.2">
      <c r="A25" s="211" t="s">
        <v>55</v>
      </c>
      <c r="B25" s="211" t="s">
        <v>58</v>
      </c>
      <c r="C25" s="211" t="s">
        <v>11</v>
      </c>
      <c r="D25" s="211" t="s">
        <v>12</v>
      </c>
      <c r="E25" s="208">
        <v>43179</v>
      </c>
      <c r="F25" s="221">
        <v>11708.51766</v>
      </c>
      <c r="G25" s="210" t="s">
        <v>16</v>
      </c>
      <c r="H25" s="211" t="s">
        <v>18</v>
      </c>
      <c r="I25" s="210">
        <v>1</v>
      </c>
      <c r="J25" s="210" t="s">
        <v>15</v>
      </c>
      <c r="K25" s="210" t="s">
        <v>54</v>
      </c>
      <c r="L25" s="211" t="s">
        <v>60</v>
      </c>
      <c r="M25" s="211" t="s">
        <v>17</v>
      </c>
    </row>
    <row r="26" spans="1:13" x14ac:dyDescent="0.2">
      <c r="A26" s="211" t="s">
        <v>55</v>
      </c>
      <c r="B26" s="211" t="s">
        <v>58</v>
      </c>
      <c r="C26" s="211" t="s">
        <v>11</v>
      </c>
      <c r="D26" s="211" t="s">
        <v>12</v>
      </c>
      <c r="E26" s="208">
        <v>43172</v>
      </c>
      <c r="F26" s="209">
        <v>56.608909400000002</v>
      </c>
      <c r="G26" s="210" t="s">
        <v>13</v>
      </c>
      <c r="H26" s="211" t="s">
        <v>14</v>
      </c>
      <c r="I26" s="210">
        <v>1</v>
      </c>
      <c r="J26" s="210" t="s">
        <v>15</v>
      </c>
      <c r="K26" s="210" t="s">
        <v>54</v>
      </c>
      <c r="L26" s="211" t="s">
        <v>60</v>
      </c>
      <c r="M26" s="211" t="s">
        <v>56</v>
      </c>
    </row>
    <row r="27" spans="1:13" x14ac:dyDescent="0.2">
      <c r="A27" s="211" t="s">
        <v>55</v>
      </c>
      <c r="B27" s="211" t="s">
        <v>58</v>
      </c>
      <c r="C27" s="211" t="s">
        <v>11</v>
      </c>
      <c r="D27" s="211" t="s">
        <v>12</v>
      </c>
      <c r="E27" s="208">
        <v>43172</v>
      </c>
      <c r="F27" s="221">
        <v>19559.861380800001</v>
      </c>
      <c r="G27" s="210" t="s">
        <v>16</v>
      </c>
      <c r="H27" s="211" t="s">
        <v>14</v>
      </c>
      <c r="I27" s="210">
        <v>1</v>
      </c>
      <c r="J27" s="210" t="s">
        <v>15</v>
      </c>
      <c r="K27" s="210" t="s">
        <v>54</v>
      </c>
      <c r="L27" s="211" t="s">
        <v>60</v>
      </c>
      <c r="M27" s="211" t="s">
        <v>56</v>
      </c>
    </row>
    <row r="28" spans="1:13" x14ac:dyDescent="0.2">
      <c r="A28" s="211" t="s">
        <v>55</v>
      </c>
      <c r="B28" s="211" t="s">
        <v>58</v>
      </c>
      <c r="C28" s="211" t="s">
        <v>11</v>
      </c>
      <c r="D28" s="211" t="s">
        <v>12</v>
      </c>
      <c r="E28" s="208">
        <v>43172</v>
      </c>
      <c r="F28" s="209">
        <v>23.3</v>
      </c>
      <c r="G28" s="210" t="s">
        <v>13</v>
      </c>
      <c r="H28" s="211" t="s">
        <v>18</v>
      </c>
      <c r="I28" s="210">
        <v>1</v>
      </c>
      <c r="J28" s="210" t="s">
        <v>15</v>
      </c>
      <c r="K28" s="210" t="s">
        <v>54</v>
      </c>
      <c r="L28" s="211" t="s">
        <v>60</v>
      </c>
      <c r="M28" s="211" t="s">
        <v>17</v>
      </c>
    </row>
    <row r="29" spans="1:13" x14ac:dyDescent="0.2">
      <c r="A29" s="211" t="s">
        <v>55</v>
      </c>
      <c r="B29" s="211" t="s">
        <v>58</v>
      </c>
      <c r="C29" s="211" t="s">
        <v>11</v>
      </c>
      <c r="D29" s="211" t="s">
        <v>12</v>
      </c>
      <c r="E29" s="208">
        <v>43172</v>
      </c>
      <c r="F29" s="221">
        <v>8050.7604600000004</v>
      </c>
      <c r="G29" s="210" t="s">
        <v>16</v>
      </c>
      <c r="H29" s="211" t="s">
        <v>18</v>
      </c>
      <c r="I29" s="210">
        <v>1</v>
      </c>
      <c r="J29" s="210" t="s">
        <v>15</v>
      </c>
      <c r="K29" s="210" t="s">
        <v>54</v>
      </c>
      <c r="L29" s="211" t="s">
        <v>60</v>
      </c>
      <c r="M29" s="211" t="s">
        <v>17</v>
      </c>
    </row>
    <row r="30" spans="1:13" x14ac:dyDescent="0.2">
      <c r="A30" s="211" t="s">
        <v>55</v>
      </c>
      <c r="B30" s="211" t="s">
        <v>58</v>
      </c>
      <c r="C30" s="211" t="s">
        <v>11</v>
      </c>
      <c r="D30" s="211" t="s">
        <v>12</v>
      </c>
      <c r="E30" s="208">
        <v>43163</v>
      </c>
      <c r="F30" s="209">
        <v>50.0446873</v>
      </c>
      <c r="G30" s="210" t="s">
        <v>13</v>
      </c>
      <c r="H30" s="211" t="s">
        <v>14</v>
      </c>
      <c r="I30" s="210">
        <v>1</v>
      </c>
      <c r="J30" s="210" t="s">
        <v>15</v>
      </c>
      <c r="K30" s="210" t="s">
        <v>54</v>
      </c>
      <c r="L30" s="211" t="s">
        <v>60</v>
      </c>
      <c r="M30" s="211" t="s">
        <v>56</v>
      </c>
    </row>
    <row r="31" spans="1:13" x14ac:dyDescent="0.2">
      <c r="A31" s="211" t="s">
        <v>55</v>
      </c>
      <c r="B31" s="211" t="s">
        <v>58</v>
      </c>
      <c r="C31" s="211" t="s">
        <v>11</v>
      </c>
      <c r="D31" s="211" t="s">
        <v>12</v>
      </c>
      <c r="E31" s="208">
        <v>43163</v>
      </c>
      <c r="F31" s="221">
        <v>17755.034339999998</v>
      </c>
      <c r="G31" s="210" t="s">
        <v>16</v>
      </c>
      <c r="H31" s="211" t="s">
        <v>14</v>
      </c>
      <c r="I31" s="210">
        <v>1</v>
      </c>
      <c r="J31" s="210" t="s">
        <v>15</v>
      </c>
      <c r="K31" s="210" t="s">
        <v>54</v>
      </c>
      <c r="L31" s="211" t="s">
        <v>60</v>
      </c>
      <c r="M31" s="211" t="s">
        <v>56</v>
      </c>
    </row>
    <row r="32" spans="1:13" x14ac:dyDescent="0.2">
      <c r="A32" s="211" t="s">
        <v>55</v>
      </c>
      <c r="B32" s="211" t="s">
        <v>58</v>
      </c>
      <c r="C32" s="211" t="s">
        <v>11</v>
      </c>
      <c r="D32" s="211" t="s">
        <v>12</v>
      </c>
      <c r="E32" s="208">
        <v>43163</v>
      </c>
      <c r="F32" s="209">
        <v>23.2</v>
      </c>
      <c r="G32" s="210" t="s">
        <v>13</v>
      </c>
      <c r="H32" s="211" t="s">
        <v>18</v>
      </c>
      <c r="I32" s="210">
        <v>1</v>
      </c>
      <c r="J32" s="210" t="s">
        <v>15</v>
      </c>
      <c r="K32" s="210" t="s">
        <v>54</v>
      </c>
      <c r="L32" s="211" t="s">
        <v>60</v>
      </c>
      <c r="M32" s="211" t="s">
        <v>17</v>
      </c>
    </row>
    <row r="33" spans="1:13" x14ac:dyDescent="0.2">
      <c r="A33" s="211" t="s">
        <v>55</v>
      </c>
      <c r="B33" s="211" t="s">
        <v>58</v>
      </c>
      <c r="C33" s="211" t="s">
        <v>11</v>
      </c>
      <c r="D33" s="211" t="s">
        <v>12</v>
      </c>
      <c r="E33" s="208">
        <v>43163</v>
      </c>
      <c r="F33" s="221">
        <v>8230.9795200000008</v>
      </c>
      <c r="G33" s="210" t="s">
        <v>16</v>
      </c>
      <c r="H33" s="211" t="s">
        <v>18</v>
      </c>
      <c r="I33" s="210">
        <v>1</v>
      </c>
      <c r="J33" s="210" t="s">
        <v>15</v>
      </c>
      <c r="K33" s="210" t="s">
        <v>54</v>
      </c>
      <c r="L33" s="211" t="s">
        <v>60</v>
      </c>
      <c r="M33" s="211" t="s">
        <v>17</v>
      </c>
    </row>
    <row r="34" spans="1:13" x14ac:dyDescent="0.2">
      <c r="A34" s="211" t="s">
        <v>55</v>
      </c>
      <c r="B34" s="211" t="s">
        <v>58</v>
      </c>
      <c r="C34" s="211" t="s">
        <v>11</v>
      </c>
      <c r="D34" s="211" t="s">
        <v>12</v>
      </c>
      <c r="E34" s="208">
        <v>43159</v>
      </c>
      <c r="F34" s="209">
        <v>57.358562999999997</v>
      </c>
      <c r="G34" s="210" t="s">
        <v>13</v>
      </c>
      <c r="H34" s="211" t="s">
        <v>14</v>
      </c>
      <c r="I34" s="210">
        <v>1</v>
      </c>
      <c r="J34" s="210" t="s">
        <v>15</v>
      </c>
      <c r="K34" s="210" t="s">
        <v>54</v>
      </c>
      <c r="L34" s="211" t="s">
        <v>60</v>
      </c>
      <c r="M34" s="211" t="s">
        <v>56</v>
      </c>
    </row>
    <row r="35" spans="1:13" x14ac:dyDescent="0.2">
      <c r="A35" s="211" t="s">
        <v>55</v>
      </c>
      <c r="B35" s="211" t="s">
        <v>58</v>
      </c>
      <c r="C35" s="211" t="s">
        <v>11</v>
      </c>
      <c r="D35" s="211" t="s">
        <v>12</v>
      </c>
      <c r="E35" s="208">
        <v>43159</v>
      </c>
      <c r="F35" s="221">
        <v>21172.674599999998</v>
      </c>
      <c r="G35" s="210" t="s">
        <v>16</v>
      </c>
      <c r="H35" s="211" t="s">
        <v>14</v>
      </c>
      <c r="I35" s="210">
        <v>1</v>
      </c>
      <c r="J35" s="210" t="s">
        <v>15</v>
      </c>
      <c r="K35" s="210" t="s">
        <v>54</v>
      </c>
      <c r="L35" s="211" t="s">
        <v>60</v>
      </c>
      <c r="M35" s="211" t="s">
        <v>56</v>
      </c>
    </row>
    <row r="36" spans="1:13" x14ac:dyDescent="0.2">
      <c r="A36" s="211" t="s">
        <v>55</v>
      </c>
      <c r="B36" s="211" t="s">
        <v>58</v>
      </c>
      <c r="C36" s="211" t="s">
        <v>11</v>
      </c>
      <c r="D36" s="211" t="s">
        <v>12</v>
      </c>
      <c r="E36" s="208">
        <v>43159</v>
      </c>
      <c r="F36" s="209">
        <v>28.3</v>
      </c>
      <c r="G36" s="210" t="s">
        <v>13</v>
      </c>
      <c r="H36" s="211" t="s">
        <v>18</v>
      </c>
      <c r="I36" s="210">
        <v>1</v>
      </c>
      <c r="J36" s="210" t="s">
        <v>15</v>
      </c>
      <c r="K36" s="210" t="s">
        <v>54</v>
      </c>
      <c r="L36" s="211" t="s">
        <v>60</v>
      </c>
      <c r="M36" s="211" t="s">
        <v>17</v>
      </c>
    </row>
    <row r="37" spans="1:13" x14ac:dyDescent="0.2">
      <c r="A37" s="211" t="s">
        <v>55</v>
      </c>
      <c r="B37" s="211" t="s">
        <v>58</v>
      </c>
      <c r="C37" s="211" t="s">
        <v>11</v>
      </c>
      <c r="D37" s="211" t="s">
        <v>12</v>
      </c>
      <c r="E37" s="208">
        <v>43159</v>
      </c>
      <c r="F37" s="221">
        <v>10446.333720000001</v>
      </c>
      <c r="G37" s="210" t="s">
        <v>16</v>
      </c>
      <c r="H37" s="211" t="s">
        <v>18</v>
      </c>
      <c r="I37" s="210">
        <v>1</v>
      </c>
      <c r="J37" s="210" t="s">
        <v>15</v>
      </c>
      <c r="K37" s="210" t="s">
        <v>54</v>
      </c>
      <c r="L37" s="211" t="s">
        <v>60</v>
      </c>
      <c r="M37" s="211" t="s">
        <v>17</v>
      </c>
    </row>
    <row r="38" spans="1:13" x14ac:dyDescent="0.2">
      <c r="A38" s="211" t="s">
        <v>55</v>
      </c>
      <c r="B38" s="211" t="s">
        <v>58</v>
      </c>
      <c r="C38" s="211" t="s">
        <v>11</v>
      </c>
      <c r="D38" s="211" t="s">
        <v>12</v>
      </c>
      <c r="E38" s="208">
        <v>43152</v>
      </c>
      <c r="F38" s="209">
        <v>81.036952700000001</v>
      </c>
      <c r="G38" s="210" t="s">
        <v>13</v>
      </c>
      <c r="H38" s="211" t="s">
        <v>14</v>
      </c>
      <c r="I38" s="210">
        <v>1</v>
      </c>
      <c r="J38" s="210" t="s">
        <v>15</v>
      </c>
      <c r="K38" s="210" t="s">
        <v>54</v>
      </c>
      <c r="L38" s="211" t="s">
        <v>60</v>
      </c>
      <c r="M38" s="211" t="s">
        <v>56</v>
      </c>
    </row>
    <row r="39" spans="1:13" x14ac:dyDescent="0.2">
      <c r="A39" s="211" t="s">
        <v>55</v>
      </c>
      <c r="B39" s="211" t="s">
        <v>58</v>
      </c>
      <c r="C39" s="211" t="s">
        <v>11</v>
      </c>
      <c r="D39" s="211" t="s">
        <v>12</v>
      </c>
      <c r="E39" s="208">
        <v>43152</v>
      </c>
      <c r="F39" s="221">
        <v>30865.986634199999</v>
      </c>
      <c r="G39" s="210" t="s">
        <v>16</v>
      </c>
      <c r="H39" s="211" t="s">
        <v>14</v>
      </c>
      <c r="I39" s="210">
        <v>1</v>
      </c>
      <c r="J39" s="210" t="s">
        <v>15</v>
      </c>
      <c r="K39" s="210" t="s">
        <v>54</v>
      </c>
      <c r="L39" s="211" t="s">
        <v>60</v>
      </c>
      <c r="M39" s="211" t="s">
        <v>56</v>
      </c>
    </row>
    <row r="40" spans="1:13" x14ac:dyDescent="0.2">
      <c r="A40" s="211" t="s">
        <v>55</v>
      </c>
      <c r="B40" s="211" t="s">
        <v>58</v>
      </c>
      <c r="C40" s="211" t="s">
        <v>11</v>
      </c>
      <c r="D40" s="211" t="s">
        <v>12</v>
      </c>
      <c r="E40" s="208">
        <v>43152</v>
      </c>
      <c r="F40" s="209">
        <v>20.6</v>
      </c>
      <c r="G40" s="210" t="s">
        <v>13</v>
      </c>
      <c r="H40" s="211" t="s">
        <v>18</v>
      </c>
      <c r="I40" s="210">
        <v>1</v>
      </c>
      <c r="J40" s="210" t="s">
        <v>15</v>
      </c>
      <c r="K40" s="210" t="s">
        <v>54</v>
      </c>
      <c r="L40" s="211" t="s">
        <v>60</v>
      </c>
      <c r="M40" s="211" t="s">
        <v>17</v>
      </c>
    </row>
    <row r="41" spans="1:13" x14ac:dyDescent="0.2">
      <c r="A41" s="211" t="s">
        <v>55</v>
      </c>
      <c r="B41" s="211" t="s">
        <v>58</v>
      </c>
      <c r="C41" s="211" t="s">
        <v>11</v>
      </c>
      <c r="D41" s="211" t="s">
        <v>12</v>
      </c>
      <c r="E41" s="208">
        <v>43152</v>
      </c>
      <c r="F41" s="221">
        <v>7846.2886799999997</v>
      </c>
      <c r="G41" s="210" t="s">
        <v>16</v>
      </c>
      <c r="H41" s="211" t="s">
        <v>18</v>
      </c>
      <c r="I41" s="210">
        <v>1</v>
      </c>
      <c r="J41" s="210" t="s">
        <v>15</v>
      </c>
      <c r="K41" s="210" t="s">
        <v>54</v>
      </c>
      <c r="L41" s="211" t="s">
        <v>60</v>
      </c>
      <c r="M41" s="211" t="s">
        <v>17</v>
      </c>
    </row>
    <row r="42" spans="1:13" x14ac:dyDescent="0.2">
      <c r="A42" s="211" t="s">
        <v>55</v>
      </c>
      <c r="B42" s="211" t="s">
        <v>58</v>
      </c>
      <c r="C42" s="211" t="s">
        <v>11</v>
      </c>
      <c r="D42" s="211" t="s">
        <v>12</v>
      </c>
      <c r="E42" s="208">
        <v>43145</v>
      </c>
      <c r="F42" s="209">
        <v>56.509480500000002</v>
      </c>
      <c r="G42" s="210" t="s">
        <v>13</v>
      </c>
      <c r="H42" s="211" t="s">
        <v>14</v>
      </c>
      <c r="I42" s="210">
        <v>1</v>
      </c>
      <c r="J42" s="210" t="s">
        <v>15</v>
      </c>
      <c r="K42" s="210" t="s">
        <v>54</v>
      </c>
      <c r="L42" s="211" t="s">
        <v>60</v>
      </c>
      <c r="M42" s="211" t="s">
        <v>56</v>
      </c>
    </row>
    <row r="43" spans="1:13" x14ac:dyDescent="0.2">
      <c r="A43" s="211" t="s">
        <v>55</v>
      </c>
      <c r="B43" s="211" t="s">
        <v>58</v>
      </c>
      <c r="C43" s="211" t="s">
        <v>11</v>
      </c>
      <c r="D43" s="211" t="s">
        <v>12</v>
      </c>
      <c r="E43" s="208">
        <v>43145</v>
      </c>
      <c r="F43" s="221">
        <v>20232.439679999999</v>
      </c>
      <c r="G43" s="210" t="s">
        <v>16</v>
      </c>
      <c r="H43" s="211" t="s">
        <v>14</v>
      </c>
      <c r="I43" s="210">
        <v>1</v>
      </c>
      <c r="J43" s="210" t="s">
        <v>15</v>
      </c>
      <c r="K43" s="210" t="s">
        <v>54</v>
      </c>
      <c r="L43" s="211" t="s">
        <v>60</v>
      </c>
      <c r="M43" s="211" t="s">
        <v>56</v>
      </c>
    </row>
    <row r="44" spans="1:13" x14ac:dyDescent="0.2">
      <c r="A44" s="211" t="s">
        <v>55</v>
      </c>
      <c r="B44" s="211" t="s">
        <v>58</v>
      </c>
      <c r="C44" s="211" t="s">
        <v>11</v>
      </c>
      <c r="D44" s="211" t="s">
        <v>12</v>
      </c>
      <c r="E44" s="208">
        <v>43145</v>
      </c>
      <c r="F44" s="209">
        <v>31</v>
      </c>
      <c r="G44" s="210" t="s">
        <v>13</v>
      </c>
      <c r="H44" s="211" t="s">
        <v>18</v>
      </c>
      <c r="I44" s="210">
        <v>1</v>
      </c>
      <c r="J44" s="210" t="s">
        <v>15</v>
      </c>
      <c r="K44" s="210" t="s">
        <v>54</v>
      </c>
      <c r="L44" s="211" t="s">
        <v>60</v>
      </c>
      <c r="M44" s="211" t="s">
        <v>17</v>
      </c>
    </row>
    <row r="45" spans="1:13" x14ac:dyDescent="0.2">
      <c r="A45" s="211" t="s">
        <v>55</v>
      </c>
      <c r="B45" s="211" t="s">
        <v>58</v>
      </c>
      <c r="C45" s="211" t="s">
        <v>11</v>
      </c>
      <c r="D45" s="211" t="s">
        <v>12</v>
      </c>
      <c r="E45" s="208">
        <v>43145</v>
      </c>
      <c r="F45" s="221">
        <v>11099.1222</v>
      </c>
      <c r="G45" s="210" t="s">
        <v>16</v>
      </c>
      <c r="H45" s="211" t="s">
        <v>18</v>
      </c>
      <c r="I45" s="210">
        <v>1</v>
      </c>
      <c r="J45" s="210" t="s">
        <v>15</v>
      </c>
      <c r="K45" s="210" t="s">
        <v>54</v>
      </c>
      <c r="L45" s="211" t="s">
        <v>60</v>
      </c>
      <c r="M45" s="211" t="s">
        <v>17</v>
      </c>
    </row>
    <row r="46" spans="1:13" x14ac:dyDescent="0.2">
      <c r="A46" s="211" t="s">
        <v>55</v>
      </c>
      <c r="B46" s="211" t="s">
        <v>58</v>
      </c>
      <c r="C46" s="211" t="s">
        <v>11</v>
      </c>
      <c r="D46" s="211" t="s">
        <v>12</v>
      </c>
      <c r="E46" s="208">
        <v>43139</v>
      </c>
      <c r="F46" s="209">
        <v>70.311298500000007</v>
      </c>
      <c r="G46" s="210" t="s">
        <v>13</v>
      </c>
      <c r="H46" s="211" t="s">
        <v>14</v>
      </c>
      <c r="I46" s="210">
        <v>1</v>
      </c>
      <c r="J46" s="210" t="s">
        <v>15</v>
      </c>
      <c r="K46" s="210" t="s">
        <v>54</v>
      </c>
      <c r="L46" s="211" t="s">
        <v>60</v>
      </c>
      <c r="M46" s="211" t="s">
        <v>56</v>
      </c>
    </row>
    <row r="47" spans="1:13" x14ac:dyDescent="0.2">
      <c r="A47" s="211" t="s">
        <v>55</v>
      </c>
      <c r="B47" s="211" t="s">
        <v>58</v>
      </c>
      <c r="C47" s="211" t="s">
        <v>11</v>
      </c>
      <c r="D47" s="211" t="s">
        <v>12</v>
      </c>
      <c r="E47" s="208">
        <v>43139</v>
      </c>
      <c r="F47" s="221">
        <v>23924.966173199999</v>
      </c>
      <c r="G47" s="210" t="s">
        <v>16</v>
      </c>
      <c r="H47" s="211" t="s">
        <v>14</v>
      </c>
      <c r="I47" s="210">
        <v>1</v>
      </c>
      <c r="J47" s="210" t="s">
        <v>15</v>
      </c>
      <c r="K47" s="210" t="s">
        <v>54</v>
      </c>
      <c r="L47" s="211" t="s">
        <v>60</v>
      </c>
      <c r="M47" s="211" t="s">
        <v>56</v>
      </c>
    </row>
    <row r="48" spans="1:13" x14ac:dyDescent="0.2">
      <c r="A48" s="211" t="s">
        <v>55</v>
      </c>
      <c r="B48" s="211" t="s">
        <v>58</v>
      </c>
      <c r="C48" s="211" t="s">
        <v>11</v>
      </c>
      <c r="D48" s="211" t="s">
        <v>12</v>
      </c>
      <c r="E48" s="208">
        <v>43139</v>
      </c>
      <c r="F48" s="209">
        <v>24.4</v>
      </c>
      <c r="G48" s="210" t="s">
        <v>13</v>
      </c>
      <c r="H48" s="211" t="s">
        <v>18</v>
      </c>
      <c r="I48" s="210">
        <v>1</v>
      </c>
      <c r="J48" s="210" t="s">
        <v>15</v>
      </c>
      <c r="K48" s="210" t="s">
        <v>54</v>
      </c>
      <c r="L48" s="211" t="s">
        <v>60</v>
      </c>
      <c r="M48" s="211" t="s">
        <v>17</v>
      </c>
    </row>
    <row r="49" spans="1:13" x14ac:dyDescent="0.2">
      <c r="A49" s="211" t="s">
        <v>55</v>
      </c>
      <c r="B49" s="211" t="s">
        <v>58</v>
      </c>
      <c r="C49" s="211" t="s">
        <v>11</v>
      </c>
      <c r="D49" s="211" t="s">
        <v>12</v>
      </c>
      <c r="E49" s="208">
        <v>43139</v>
      </c>
      <c r="F49" s="221">
        <v>8302.6368000000002</v>
      </c>
      <c r="G49" s="210" t="s">
        <v>16</v>
      </c>
      <c r="H49" s="211" t="s">
        <v>18</v>
      </c>
      <c r="I49" s="210">
        <v>1</v>
      </c>
      <c r="J49" s="210" t="s">
        <v>15</v>
      </c>
      <c r="K49" s="210" t="s">
        <v>54</v>
      </c>
      <c r="L49" s="211" t="s">
        <v>60</v>
      </c>
      <c r="M49" s="211" t="s">
        <v>17</v>
      </c>
    </row>
    <row r="50" spans="1:13" x14ac:dyDescent="0.2">
      <c r="A50" s="211" t="s">
        <v>55</v>
      </c>
      <c r="B50" s="211" t="s">
        <v>58</v>
      </c>
      <c r="C50" s="211" t="s">
        <v>11</v>
      </c>
      <c r="D50" s="211" t="s">
        <v>12</v>
      </c>
      <c r="E50" s="208">
        <v>43128</v>
      </c>
      <c r="F50" s="209">
        <v>55.282117499999998</v>
      </c>
      <c r="G50" s="210" t="s">
        <v>13</v>
      </c>
      <c r="H50" s="211" t="s">
        <v>14</v>
      </c>
      <c r="I50" s="210">
        <v>1</v>
      </c>
      <c r="J50" s="210" t="s">
        <v>15</v>
      </c>
      <c r="K50" s="210" t="s">
        <v>54</v>
      </c>
      <c r="L50" s="211" t="s">
        <v>60</v>
      </c>
      <c r="M50" s="211" t="s">
        <v>56</v>
      </c>
    </row>
    <row r="51" spans="1:13" x14ac:dyDescent="0.2">
      <c r="A51" s="211" t="s">
        <v>55</v>
      </c>
      <c r="B51" s="211" t="s">
        <v>58</v>
      </c>
      <c r="C51" s="211" t="s">
        <v>11</v>
      </c>
      <c r="D51" s="211" t="s">
        <v>12</v>
      </c>
      <c r="E51" s="208">
        <v>43128</v>
      </c>
      <c r="F51" s="221">
        <v>18898.556759999999</v>
      </c>
      <c r="G51" s="210" t="s">
        <v>16</v>
      </c>
      <c r="H51" s="211" t="s">
        <v>14</v>
      </c>
      <c r="I51" s="210">
        <v>1</v>
      </c>
      <c r="J51" s="210" t="s">
        <v>15</v>
      </c>
      <c r="K51" s="210" t="s">
        <v>54</v>
      </c>
      <c r="L51" s="211" t="s">
        <v>60</v>
      </c>
      <c r="M51" s="211" t="s">
        <v>56</v>
      </c>
    </row>
    <row r="52" spans="1:13" x14ac:dyDescent="0.2">
      <c r="A52" s="211" t="s">
        <v>55</v>
      </c>
      <c r="B52" s="211" t="s">
        <v>58</v>
      </c>
      <c r="C52" s="211" t="s">
        <v>11</v>
      </c>
      <c r="D52" s="211" t="s">
        <v>12</v>
      </c>
      <c r="E52" s="208">
        <v>43128</v>
      </c>
      <c r="F52" s="209">
        <v>29.1</v>
      </c>
      <c r="G52" s="210" t="s">
        <v>13</v>
      </c>
      <c r="H52" s="211" t="s">
        <v>18</v>
      </c>
      <c r="I52" s="210">
        <v>1</v>
      </c>
      <c r="J52" s="210" t="s">
        <v>15</v>
      </c>
      <c r="K52" s="210" t="s">
        <v>54</v>
      </c>
      <c r="L52" s="211" t="s">
        <v>60</v>
      </c>
      <c r="M52" s="211" t="s">
        <v>17</v>
      </c>
    </row>
    <row r="53" spans="1:13" x14ac:dyDescent="0.2">
      <c r="A53" s="211" t="s">
        <v>55</v>
      </c>
      <c r="B53" s="211" t="s">
        <v>58</v>
      </c>
      <c r="C53" s="211" t="s">
        <v>11</v>
      </c>
      <c r="D53" s="211" t="s">
        <v>12</v>
      </c>
      <c r="E53" s="208">
        <v>43128</v>
      </c>
      <c r="F53" s="221">
        <v>9948.0270600000003</v>
      </c>
      <c r="G53" s="210" t="s">
        <v>16</v>
      </c>
      <c r="H53" s="211" t="s">
        <v>18</v>
      </c>
      <c r="I53" s="210">
        <v>1</v>
      </c>
      <c r="J53" s="210" t="s">
        <v>15</v>
      </c>
      <c r="K53" s="210" t="s">
        <v>54</v>
      </c>
      <c r="L53" s="211" t="s">
        <v>60</v>
      </c>
      <c r="M53" s="211" t="s">
        <v>17</v>
      </c>
    </row>
    <row r="54" spans="1:13" x14ac:dyDescent="0.2">
      <c r="A54" s="211" t="s">
        <v>55</v>
      </c>
      <c r="B54" s="211" t="s">
        <v>58</v>
      </c>
      <c r="C54" s="211" t="s">
        <v>11</v>
      </c>
      <c r="D54" s="211" t="s">
        <v>12</v>
      </c>
      <c r="E54" s="208">
        <v>43125</v>
      </c>
      <c r="F54" s="209">
        <v>54.248640700000003</v>
      </c>
      <c r="G54" s="210" t="s">
        <v>13</v>
      </c>
      <c r="H54" s="211" t="s">
        <v>14</v>
      </c>
      <c r="I54" s="210">
        <v>1</v>
      </c>
      <c r="J54" s="210" t="s">
        <v>15</v>
      </c>
      <c r="K54" s="210" t="s">
        <v>54</v>
      </c>
      <c r="L54" s="211" t="s">
        <v>60</v>
      </c>
      <c r="M54" s="211" t="s">
        <v>56</v>
      </c>
    </row>
    <row r="55" spans="1:13" x14ac:dyDescent="0.2">
      <c r="A55" s="211" t="s">
        <v>55</v>
      </c>
      <c r="B55" s="211" t="s">
        <v>58</v>
      </c>
      <c r="C55" s="211" t="s">
        <v>11</v>
      </c>
      <c r="D55" s="211" t="s">
        <v>12</v>
      </c>
      <c r="E55" s="208">
        <v>43125</v>
      </c>
      <c r="F55" s="221">
        <v>18472.866480000001</v>
      </c>
      <c r="G55" s="210" t="s">
        <v>16</v>
      </c>
      <c r="H55" s="211" t="s">
        <v>14</v>
      </c>
      <c r="I55" s="210">
        <v>1</v>
      </c>
      <c r="J55" s="210" t="s">
        <v>15</v>
      </c>
      <c r="K55" s="210" t="s">
        <v>54</v>
      </c>
      <c r="L55" s="211" t="s">
        <v>60</v>
      </c>
      <c r="M55" s="211" t="s">
        <v>56</v>
      </c>
    </row>
    <row r="56" spans="1:13" x14ac:dyDescent="0.2">
      <c r="A56" s="211" t="s">
        <v>55</v>
      </c>
      <c r="B56" s="211" t="s">
        <v>58</v>
      </c>
      <c r="C56" s="211" t="s">
        <v>11</v>
      </c>
      <c r="D56" s="211" t="s">
        <v>12</v>
      </c>
      <c r="E56" s="208">
        <v>43125</v>
      </c>
      <c r="F56" s="209">
        <v>25</v>
      </c>
      <c r="G56" s="210" t="s">
        <v>13</v>
      </c>
      <c r="H56" s="211" t="s">
        <v>18</v>
      </c>
      <c r="I56" s="210">
        <v>1</v>
      </c>
      <c r="J56" s="210" t="s">
        <v>15</v>
      </c>
      <c r="K56" s="210" t="s">
        <v>54</v>
      </c>
      <c r="L56" s="211" t="s">
        <v>60</v>
      </c>
      <c r="M56" s="211" t="s">
        <v>17</v>
      </c>
    </row>
    <row r="57" spans="1:13" x14ac:dyDescent="0.2">
      <c r="A57" s="211" t="s">
        <v>55</v>
      </c>
      <c r="B57" s="211" t="s">
        <v>58</v>
      </c>
      <c r="C57" s="211" t="s">
        <v>11</v>
      </c>
      <c r="D57" s="211" t="s">
        <v>12</v>
      </c>
      <c r="E57" s="208">
        <v>43125</v>
      </c>
      <c r="F57" s="221">
        <v>8513.0550000000003</v>
      </c>
      <c r="G57" s="210" t="s">
        <v>16</v>
      </c>
      <c r="H57" s="211" t="s">
        <v>18</v>
      </c>
      <c r="I57" s="210">
        <v>1</v>
      </c>
      <c r="J57" s="210" t="s">
        <v>15</v>
      </c>
      <c r="K57" s="210" t="s">
        <v>54</v>
      </c>
      <c r="L57" s="211" t="s">
        <v>60</v>
      </c>
      <c r="M57" s="211" t="s">
        <v>17</v>
      </c>
    </row>
    <row r="58" spans="1:13" x14ac:dyDescent="0.2">
      <c r="A58" s="211" t="s">
        <v>55</v>
      </c>
      <c r="B58" s="211" t="s">
        <v>58</v>
      </c>
      <c r="C58" s="211" t="s">
        <v>11</v>
      </c>
      <c r="D58" s="211" t="s">
        <v>12</v>
      </c>
      <c r="E58" s="208">
        <v>43118</v>
      </c>
      <c r="F58" s="209">
        <v>60.9</v>
      </c>
      <c r="G58" s="210" t="s">
        <v>13</v>
      </c>
      <c r="H58" s="211" t="s">
        <v>14</v>
      </c>
      <c r="I58" s="210">
        <v>1</v>
      </c>
      <c r="J58" s="210" t="s">
        <v>15</v>
      </c>
      <c r="K58" s="210" t="s">
        <v>54</v>
      </c>
      <c r="L58" s="211" t="s">
        <v>60</v>
      </c>
      <c r="M58" s="211" t="s">
        <v>56</v>
      </c>
    </row>
    <row r="59" spans="1:13" x14ac:dyDescent="0.2">
      <c r="A59" s="211" t="s">
        <v>55</v>
      </c>
      <c r="B59" s="211" t="s">
        <v>58</v>
      </c>
      <c r="C59" s="211" t="s">
        <v>11</v>
      </c>
      <c r="D59" s="211" t="s">
        <v>12</v>
      </c>
      <c r="E59" s="208">
        <v>43118</v>
      </c>
      <c r="F59" s="221">
        <v>20996.834040000002</v>
      </c>
      <c r="G59" s="210" t="s">
        <v>16</v>
      </c>
      <c r="H59" s="211" t="s">
        <v>14</v>
      </c>
      <c r="I59" s="210">
        <v>1</v>
      </c>
      <c r="J59" s="210" t="s">
        <v>15</v>
      </c>
      <c r="K59" s="210" t="s">
        <v>54</v>
      </c>
      <c r="L59" s="211" t="s">
        <v>60</v>
      </c>
      <c r="M59" s="211" t="s">
        <v>56</v>
      </c>
    </row>
    <row r="60" spans="1:13" x14ac:dyDescent="0.2">
      <c r="A60" s="211" t="s">
        <v>55</v>
      </c>
      <c r="B60" s="211" t="s">
        <v>58</v>
      </c>
      <c r="C60" s="211" t="s">
        <v>11</v>
      </c>
      <c r="D60" s="211" t="s">
        <v>12</v>
      </c>
      <c r="E60" s="208">
        <v>43118</v>
      </c>
      <c r="F60" s="209">
        <v>33.4</v>
      </c>
      <c r="G60" s="210" t="s">
        <v>13</v>
      </c>
      <c r="H60" s="211" t="s">
        <v>18</v>
      </c>
      <c r="I60" s="210">
        <v>1</v>
      </c>
      <c r="J60" s="210" t="s">
        <v>15</v>
      </c>
      <c r="K60" s="210" t="s">
        <v>54</v>
      </c>
      <c r="L60" s="211" t="s">
        <v>60</v>
      </c>
      <c r="M60" s="211" t="s">
        <v>17</v>
      </c>
    </row>
    <row r="61" spans="1:13" x14ac:dyDescent="0.2">
      <c r="A61" s="211" t="s">
        <v>55</v>
      </c>
      <c r="B61" s="211" t="s">
        <v>58</v>
      </c>
      <c r="C61" s="211" t="s">
        <v>11</v>
      </c>
      <c r="D61" s="211" t="s">
        <v>12</v>
      </c>
      <c r="E61" s="208">
        <v>43118</v>
      </c>
      <c r="F61" s="221">
        <v>11515.50504</v>
      </c>
      <c r="G61" s="210" t="s">
        <v>16</v>
      </c>
      <c r="H61" s="211" t="s">
        <v>18</v>
      </c>
      <c r="I61" s="210">
        <v>1</v>
      </c>
      <c r="J61" s="210" t="s">
        <v>15</v>
      </c>
      <c r="K61" s="210" t="s">
        <v>54</v>
      </c>
      <c r="L61" s="211" t="s">
        <v>60</v>
      </c>
      <c r="M61" s="211" t="s">
        <v>17</v>
      </c>
    </row>
    <row r="62" spans="1:13" x14ac:dyDescent="0.2">
      <c r="A62" s="211" t="s">
        <v>55</v>
      </c>
      <c r="B62" s="211" t="s">
        <v>58</v>
      </c>
      <c r="C62" s="211" t="s">
        <v>11</v>
      </c>
      <c r="D62" s="211" t="s">
        <v>12</v>
      </c>
      <c r="E62" s="208">
        <v>43109</v>
      </c>
      <c r="F62" s="209">
        <v>68.7</v>
      </c>
      <c r="G62" s="210" t="s">
        <v>13</v>
      </c>
      <c r="H62" s="211" t="s">
        <v>14</v>
      </c>
      <c r="I62" s="210">
        <v>1</v>
      </c>
      <c r="J62" s="210" t="s">
        <v>15</v>
      </c>
      <c r="K62" s="210" t="s">
        <v>54</v>
      </c>
      <c r="L62" s="211" t="s">
        <v>60</v>
      </c>
      <c r="M62" s="211" t="s">
        <v>56</v>
      </c>
    </row>
    <row r="63" spans="1:13" x14ac:dyDescent="0.2">
      <c r="A63" s="211" t="s">
        <v>55</v>
      </c>
      <c r="B63" s="211" t="s">
        <v>58</v>
      </c>
      <c r="C63" s="211" t="s">
        <v>11</v>
      </c>
      <c r="D63" s="211" t="s">
        <v>12</v>
      </c>
      <c r="E63" s="208">
        <v>43109</v>
      </c>
      <c r="F63" s="221">
        <v>24052.776839999999</v>
      </c>
      <c r="G63" s="210" t="s">
        <v>16</v>
      </c>
      <c r="H63" s="211" t="s">
        <v>14</v>
      </c>
      <c r="I63" s="210">
        <v>1</v>
      </c>
      <c r="J63" s="210" t="s">
        <v>15</v>
      </c>
      <c r="K63" s="210" t="s">
        <v>54</v>
      </c>
      <c r="L63" s="211" t="s">
        <v>60</v>
      </c>
      <c r="M63" s="211" t="s">
        <v>56</v>
      </c>
    </row>
    <row r="64" spans="1:13" x14ac:dyDescent="0.2">
      <c r="A64" s="211" t="s">
        <v>55</v>
      </c>
      <c r="B64" s="211" t="s">
        <v>58</v>
      </c>
      <c r="C64" s="211" t="s">
        <v>11</v>
      </c>
      <c r="D64" s="211" t="s">
        <v>12</v>
      </c>
      <c r="E64" s="208">
        <v>43109</v>
      </c>
      <c r="F64" s="209">
        <v>32.200000000000003</v>
      </c>
      <c r="G64" s="210" t="s">
        <v>13</v>
      </c>
      <c r="H64" s="211" t="s">
        <v>18</v>
      </c>
      <c r="I64" s="210">
        <v>1</v>
      </c>
      <c r="J64" s="210" t="s">
        <v>15</v>
      </c>
      <c r="K64" s="210" t="s">
        <v>54</v>
      </c>
      <c r="L64" s="211" t="s">
        <v>60</v>
      </c>
      <c r="M64" s="211" t="s">
        <v>17</v>
      </c>
    </row>
    <row r="65" spans="1:13" x14ac:dyDescent="0.2">
      <c r="A65" s="211" t="s">
        <v>55</v>
      </c>
      <c r="B65" s="211" t="s">
        <v>58</v>
      </c>
      <c r="C65" s="211" t="s">
        <v>11</v>
      </c>
      <c r="D65" s="211" t="s">
        <v>12</v>
      </c>
      <c r="E65" s="208">
        <v>43109</v>
      </c>
      <c r="F65" s="221">
        <v>11273.645039999999</v>
      </c>
      <c r="G65" s="210" t="s">
        <v>16</v>
      </c>
      <c r="H65" s="211" t="s">
        <v>18</v>
      </c>
      <c r="I65" s="210">
        <v>1</v>
      </c>
      <c r="J65" s="210" t="s">
        <v>15</v>
      </c>
      <c r="K65" s="210" t="s">
        <v>54</v>
      </c>
      <c r="L65" s="211" t="s">
        <v>60</v>
      </c>
      <c r="M65" s="211" t="s">
        <v>17</v>
      </c>
    </row>
    <row r="66" spans="1:13" x14ac:dyDescent="0.2">
      <c r="A66" s="211" t="s">
        <v>55</v>
      </c>
      <c r="B66" s="211" t="s">
        <v>58</v>
      </c>
      <c r="C66" s="211" t="s">
        <v>11</v>
      </c>
      <c r="D66" s="211" t="s">
        <v>12</v>
      </c>
      <c r="E66" s="208">
        <v>43097</v>
      </c>
      <c r="F66" s="209">
        <v>86.5</v>
      </c>
      <c r="G66" s="210" t="s">
        <v>13</v>
      </c>
      <c r="H66" s="211" t="s">
        <v>14</v>
      </c>
      <c r="I66" s="210">
        <v>1</v>
      </c>
      <c r="J66" s="210" t="s">
        <v>15</v>
      </c>
      <c r="K66" s="210" t="s">
        <v>54</v>
      </c>
      <c r="L66" s="211" t="s">
        <v>60</v>
      </c>
      <c r="M66" s="211" t="s">
        <v>56</v>
      </c>
    </row>
    <row r="67" spans="1:13" x14ac:dyDescent="0.2">
      <c r="A67" s="211" t="s">
        <v>55</v>
      </c>
      <c r="B67" s="211" t="s">
        <v>58</v>
      </c>
      <c r="C67" s="211" t="s">
        <v>11</v>
      </c>
      <c r="D67" s="211" t="s">
        <v>12</v>
      </c>
      <c r="E67" s="208">
        <v>43097</v>
      </c>
      <c r="F67" s="221">
        <v>26764.311000000002</v>
      </c>
      <c r="G67" s="210" t="s">
        <v>16</v>
      </c>
      <c r="H67" s="211" t="s">
        <v>14</v>
      </c>
      <c r="I67" s="210">
        <v>1</v>
      </c>
      <c r="J67" s="210" t="s">
        <v>15</v>
      </c>
      <c r="K67" s="210" t="s">
        <v>54</v>
      </c>
      <c r="L67" s="211" t="s">
        <v>60</v>
      </c>
      <c r="M67" s="211" t="s">
        <v>56</v>
      </c>
    </row>
    <row r="68" spans="1:13" x14ac:dyDescent="0.2">
      <c r="A68" s="211" t="s">
        <v>55</v>
      </c>
      <c r="B68" s="211" t="s">
        <v>58</v>
      </c>
      <c r="C68" s="211" t="s">
        <v>11</v>
      </c>
      <c r="D68" s="211" t="s">
        <v>12</v>
      </c>
      <c r="E68" s="208">
        <v>43097</v>
      </c>
      <c r="F68" s="209">
        <v>25.9</v>
      </c>
      <c r="G68" s="210" t="s">
        <v>13</v>
      </c>
      <c r="H68" s="211" t="s">
        <v>18</v>
      </c>
      <c r="I68" s="210">
        <v>1</v>
      </c>
      <c r="J68" s="210" t="s">
        <v>15</v>
      </c>
      <c r="K68" s="210" t="s">
        <v>54</v>
      </c>
      <c r="L68" s="211" t="s">
        <v>60</v>
      </c>
      <c r="M68" s="211" t="s">
        <v>17</v>
      </c>
    </row>
    <row r="69" spans="1:13" x14ac:dyDescent="0.2">
      <c r="A69" s="211" t="s">
        <v>55</v>
      </c>
      <c r="B69" s="211" t="s">
        <v>58</v>
      </c>
      <c r="C69" s="211" t="s">
        <v>11</v>
      </c>
      <c r="D69" s="211" t="s">
        <v>12</v>
      </c>
      <c r="E69" s="208">
        <v>43097</v>
      </c>
      <c r="F69" s="221">
        <v>8013.8226000000004</v>
      </c>
      <c r="G69" s="210" t="s">
        <v>16</v>
      </c>
      <c r="H69" s="211" t="s">
        <v>18</v>
      </c>
      <c r="I69" s="210">
        <v>1</v>
      </c>
      <c r="J69" s="210" t="s">
        <v>15</v>
      </c>
      <c r="K69" s="210" t="s">
        <v>54</v>
      </c>
      <c r="L69" s="211" t="s">
        <v>60</v>
      </c>
      <c r="M69" s="211" t="s">
        <v>17</v>
      </c>
    </row>
    <row r="70" spans="1:13" x14ac:dyDescent="0.2">
      <c r="A70" s="211" t="s">
        <v>55</v>
      </c>
      <c r="B70" s="211" t="s">
        <v>58</v>
      </c>
      <c r="C70" s="211" t="s">
        <v>11</v>
      </c>
      <c r="D70" s="211" t="s">
        <v>12</v>
      </c>
      <c r="E70" s="208">
        <v>43090</v>
      </c>
      <c r="F70" s="209">
        <v>80.400000000000006</v>
      </c>
      <c r="G70" s="210" t="s">
        <v>13</v>
      </c>
      <c r="H70" s="211" t="s">
        <v>14</v>
      </c>
      <c r="I70" s="210">
        <v>1</v>
      </c>
      <c r="J70" s="210" t="s">
        <v>15</v>
      </c>
      <c r="K70" s="210" t="s">
        <v>54</v>
      </c>
      <c r="L70" s="211" t="s">
        <v>60</v>
      </c>
      <c r="M70" s="211" t="s">
        <v>56</v>
      </c>
    </row>
    <row r="71" spans="1:13" x14ac:dyDescent="0.2">
      <c r="A71" s="211" t="s">
        <v>55</v>
      </c>
      <c r="B71" s="211" t="s">
        <v>58</v>
      </c>
      <c r="C71" s="211" t="s">
        <v>11</v>
      </c>
      <c r="D71" s="211" t="s">
        <v>12</v>
      </c>
      <c r="E71" s="208">
        <v>43090</v>
      </c>
      <c r="F71" s="221">
        <v>26955.547200000001</v>
      </c>
      <c r="G71" s="210" t="s">
        <v>16</v>
      </c>
      <c r="H71" s="211" t="s">
        <v>14</v>
      </c>
      <c r="I71" s="210">
        <v>1</v>
      </c>
      <c r="J71" s="210" t="s">
        <v>15</v>
      </c>
      <c r="K71" s="210" t="s">
        <v>54</v>
      </c>
      <c r="L71" s="211" t="s">
        <v>60</v>
      </c>
      <c r="M71" s="211" t="s">
        <v>56</v>
      </c>
    </row>
    <row r="72" spans="1:13" x14ac:dyDescent="0.2">
      <c r="A72" s="211" t="s">
        <v>55</v>
      </c>
      <c r="B72" s="211" t="s">
        <v>58</v>
      </c>
      <c r="C72" s="211" t="s">
        <v>11</v>
      </c>
      <c r="D72" s="211" t="s">
        <v>12</v>
      </c>
      <c r="E72" s="208">
        <v>43090</v>
      </c>
      <c r="F72" s="209">
        <v>38.1</v>
      </c>
      <c r="G72" s="210" t="s">
        <v>13</v>
      </c>
      <c r="H72" s="211" t="s">
        <v>18</v>
      </c>
      <c r="I72" s="210">
        <v>1</v>
      </c>
      <c r="J72" s="210" t="s">
        <v>15</v>
      </c>
      <c r="K72" s="210" t="s">
        <v>54</v>
      </c>
      <c r="L72" s="211" t="s">
        <v>60</v>
      </c>
      <c r="M72" s="211" t="s">
        <v>17</v>
      </c>
    </row>
    <row r="73" spans="1:13" x14ac:dyDescent="0.2">
      <c r="A73" s="211" t="s">
        <v>55</v>
      </c>
      <c r="B73" s="211" t="s">
        <v>58</v>
      </c>
      <c r="C73" s="211" t="s">
        <v>11</v>
      </c>
      <c r="D73" s="211" t="s">
        <v>12</v>
      </c>
      <c r="E73" s="208">
        <v>43090</v>
      </c>
      <c r="F73" s="221">
        <v>12773.710800000001</v>
      </c>
      <c r="G73" s="210" t="s">
        <v>16</v>
      </c>
      <c r="H73" s="211" t="s">
        <v>18</v>
      </c>
      <c r="I73" s="210">
        <v>1</v>
      </c>
      <c r="J73" s="210" t="s">
        <v>15</v>
      </c>
      <c r="K73" s="210" t="s">
        <v>54</v>
      </c>
      <c r="L73" s="211" t="s">
        <v>60</v>
      </c>
      <c r="M73" s="211" t="s">
        <v>17</v>
      </c>
    </row>
    <row r="74" spans="1:13" x14ac:dyDescent="0.2">
      <c r="A74" s="211" t="s">
        <v>55</v>
      </c>
      <c r="B74" s="211" t="s">
        <v>58</v>
      </c>
      <c r="C74" s="211" t="s">
        <v>11</v>
      </c>
      <c r="D74" s="211" t="s">
        <v>12</v>
      </c>
      <c r="E74" s="208">
        <v>43072</v>
      </c>
      <c r="F74" s="209">
        <v>72.178727499999994</v>
      </c>
      <c r="G74" s="210" t="s">
        <v>13</v>
      </c>
      <c r="H74" s="211" t="s">
        <v>14</v>
      </c>
      <c r="I74" s="210">
        <v>1</v>
      </c>
      <c r="J74" s="210" t="s">
        <v>15</v>
      </c>
      <c r="K74" s="210" t="s">
        <v>54</v>
      </c>
      <c r="L74" s="211" t="s">
        <v>60</v>
      </c>
      <c r="M74" s="211" t="s">
        <v>56</v>
      </c>
    </row>
    <row r="75" spans="1:13" x14ac:dyDescent="0.2">
      <c r="A75" s="211" t="s">
        <v>55</v>
      </c>
      <c r="B75" s="211" t="s">
        <v>58</v>
      </c>
      <c r="C75" s="211" t="s">
        <v>11</v>
      </c>
      <c r="D75" s="211" t="s">
        <v>12</v>
      </c>
      <c r="E75" s="208">
        <v>43072</v>
      </c>
      <c r="F75" s="221">
        <v>23416.655849999999</v>
      </c>
      <c r="G75" s="210" t="s">
        <v>16</v>
      </c>
      <c r="H75" s="211" t="s">
        <v>14</v>
      </c>
      <c r="I75" s="210">
        <v>1</v>
      </c>
      <c r="J75" s="210" t="s">
        <v>15</v>
      </c>
      <c r="K75" s="210" t="s">
        <v>54</v>
      </c>
      <c r="L75" s="211" t="s">
        <v>60</v>
      </c>
      <c r="M75" s="211" t="s">
        <v>56</v>
      </c>
    </row>
    <row r="76" spans="1:13" x14ac:dyDescent="0.2">
      <c r="A76" s="211" t="s">
        <v>55</v>
      </c>
      <c r="B76" s="211" t="s">
        <v>58</v>
      </c>
      <c r="C76" s="211" t="s">
        <v>11</v>
      </c>
      <c r="D76" s="211" t="s">
        <v>12</v>
      </c>
      <c r="E76" s="208">
        <v>43072</v>
      </c>
      <c r="F76" s="209">
        <v>27.6</v>
      </c>
      <c r="G76" s="210" t="s">
        <v>13</v>
      </c>
      <c r="H76" s="211" t="s">
        <v>18</v>
      </c>
      <c r="I76" s="210">
        <v>1</v>
      </c>
      <c r="J76" s="210" t="s">
        <v>15</v>
      </c>
      <c r="K76" s="210" t="s">
        <v>54</v>
      </c>
      <c r="L76" s="211" t="s">
        <v>60</v>
      </c>
      <c r="M76" s="211" t="s">
        <v>17</v>
      </c>
    </row>
    <row r="77" spans="1:13" x14ac:dyDescent="0.2">
      <c r="A77" s="211" t="s">
        <v>55</v>
      </c>
      <c r="B77" s="211" t="s">
        <v>58</v>
      </c>
      <c r="C77" s="211" t="s">
        <v>11</v>
      </c>
      <c r="D77" s="211" t="s">
        <v>12</v>
      </c>
      <c r="E77" s="208">
        <v>43072</v>
      </c>
      <c r="F77" s="221">
        <v>8954.1576000000005</v>
      </c>
      <c r="G77" s="210" t="s">
        <v>16</v>
      </c>
      <c r="H77" s="211" t="s">
        <v>18</v>
      </c>
      <c r="I77" s="210">
        <v>1</v>
      </c>
      <c r="J77" s="210" t="s">
        <v>15</v>
      </c>
      <c r="K77" s="210" t="s">
        <v>54</v>
      </c>
      <c r="L77" s="211" t="s">
        <v>60</v>
      </c>
      <c r="M77" s="211" t="s">
        <v>17</v>
      </c>
    </row>
    <row r="78" spans="1:13" x14ac:dyDescent="0.2">
      <c r="A78" s="211" t="s">
        <v>55</v>
      </c>
      <c r="B78" s="211" t="s">
        <v>58</v>
      </c>
      <c r="C78" s="211" t="s">
        <v>11</v>
      </c>
      <c r="D78" s="211" t="s">
        <v>12</v>
      </c>
      <c r="E78" s="208">
        <v>43066</v>
      </c>
      <c r="F78" s="209">
        <v>55.010388200000001</v>
      </c>
      <c r="G78" s="210" t="s">
        <v>13</v>
      </c>
      <c r="H78" s="211" t="s">
        <v>14</v>
      </c>
      <c r="I78" s="210">
        <v>1</v>
      </c>
      <c r="J78" s="210" t="s">
        <v>15</v>
      </c>
      <c r="K78" s="210" t="s">
        <v>54</v>
      </c>
      <c r="L78" s="211" t="s">
        <v>60</v>
      </c>
      <c r="M78" s="211" t="s">
        <v>56</v>
      </c>
    </row>
    <row r="79" spans="1:13" x14ac:dyDescent="0.2">
      <c r="A79" s="211" t="s">
        <v>55</v>
      </c>
      <c r="B79" s="211" t="s">
        <v>58</v>
      </c>
      <c r="C79" s="211" t="s">
        <v>11</v>
      </c>
      <c r="D79" s="211" t="s">
        <v>12</v>
      </c>
      <c r="E79" s="208">
        <v>43066</v>
      </c>
      <c r="F79" s="221">
        <v>18993.766805700001</v>
      </c>
      <c r="G79" s="210" t="s">
        <v>16</v>
      </c>
      <c r="H79" s="211" t="s">
        <v>14</v>
      </c>
      <c r="I79" s="210">
        <v>1</v>
      </c>
      <c r="J79" s="210" t="s">
        <v>15</v>
      </c>
      <c r="K79" s="210" t="s">
        <v>54</v>
      </c>
      <c r="L79" s="211" t="s">
        <v>60</v>
      </c>
      <c r="M79" s="211" t="s">
        <v>56</v>
      </c>
    </row>
    <row r="80" spans="1:13" x14ac:dyDescent="0.2">
      <c r="A80" s="211" t="s">
        <v>55</v>
      </c>
      <c r="B80" s="211" t="s">
        <v>58</v>
      </c>
      <c r="C80" s="211" t="s">
        <v>11</v>
      </c>
      <c r="D80" s="211" t="s">
        <v>12</v>
      </c>
      <c r="E80" s="208">
        <v>43066</v>
      </c>
      <c r="F80" s="209">
        <v>31</v>
      </c>
      <c r="G80" s="210" t="s">
        <v>13</v>
      </c>
      <c r="H80" s="211" t="s">
        <v>18</v>
      </c>
      <c r="I80" s="210">
        <v>1</v>
      </c>
      <c r="J80" s="210" t="s">
        <v>15</v>
      </c>
      <c r="K80" s="210" t="s">
        <v>54</v>
      </c>
      <c r="L80" s="211" t="s">
        <v>60</v>
      </c>
      <c r="M80" s="211" t="s">
        <v>17</v>
      </c>
    </row>
    <row r="81" spans="1:13" x14ac:dyDescent="0.2">
      <c r="A81" s="211" t="s">
        <v>55</v>
      </c>
      <c r="B81" s="211" t="s">
        <v>58</v>
      </c>
      <c r="C81" s="211" t="s">
        <v>11</v>
      </c>
      <c r="D81" s="211" t="s">
        <v>12</v>
      </c>
      <c r="E81" s="208">
        <v>43066</v>
      </c>
      <c r="F81" s="221">
        <v>10354.527</v>
      </c>
      <c r="G81" s="210" t="s">
        <v>16</v>
      </c>
      <c r="H81" s="211" t="s">
        <v>18</v>
      </c>
      <c r="I81" s="210">
        <v>1</v>
      </c>
      <c r="J81" s="210" t="s">
        <v>15</v>
      </c>
      <c r="K81" s="210" t="s">
        <v>54</v>
      </c>
      <c r="L81" s="211" t="s">
        <v>60</v>
      </c>
      <c r="M81" s="211" t="s">
        <v>17</v>
      </c>
    </row>
    <row r="82" spans="1:13" x14ac:dyDescent="0.2">
      <c r="A82" s="211" t="s">
        <v>55</v>
      </c>
      <c r="B82" s="211" t="s">
        <v>58</v>
      </c>
      <c r="C82" s="211" t="s">
        <v>11</v>
      </c>
      <c r="D82" s="211" t="s">
        <v>12</v>
      </c>
      <c r="E82" s="208">
        <v>43058</v>
      </c>
      <c r="F82" s="209">
        <v>59.137774800000003</v>
      </c>
      <c r="G82" s="210" t="s">
        <v>13</v>
      </c>
      <c r="H82" s="211" t="s">
        <v>14</v>
      </c>
      <c r="I82" s="210">
        <v>1</v>
      </c>
      <c r="J82" s="210" t="s">
        <v>15</v>
      </c>
      <c r="K82" s="210" t="s">
        <v>54</v>
      </c>
      <c r="L82" s="211" t="s">
        <v>60</v>
      </c>
      <c r="M82" s="211" t="s">
        <v>56</v>
      </c>
    </row>
    <row r="83" spans="1:13" x14ac:dyDescent="0.2">
      <c r="A83" s="211" t="s">
        <v>55</v>
      </c>
      <c r="B83" s="211" t="s">
        <v>58</v>
      </c>
      <c r="C83" s="211" t="s">
        <v>11</v>
      </c>
      <c r="D83" s="211" t="s">
        <v>12</v>
      </c>
      <c r="E83" s="208">
        <v>43058</v>
      </c>
      <c r="F83" s="221">
        <v>20665.458880400001</v>
      </c>
      <c r="G83" s="210" t="s">
        <v>16</v>
      </c>
      <c r="H83" s="211" t="s">
        <v>14</v>
      </c>
      <c r="I83" s="210">
        <v>1</v>
      </c>
      <c r="J83" s="210" t="s">
        <v>15</v>
      </c>
      <c r="K83" s="210" t="s">
        <v>54</v>
      </c>
      <c r="L83" s="211" t="s">
        <v>60</v>
      </c>
      <c r="M83" s="211" t="s">
        <v>56</v>
      </c>
    </row>
    <row r="84" spans="1:13" x14ac:dyDescent="0.2">
      <c r="A84" s="211" t="s">
        <v>55</v>
      </c>
      <c r="B84" s="211" t="s">
        <v>58</v>
      </c>
      <c r="C84" s="211" t="s">
        <v>11</v>
      </c>
      <c r="D84" s="211" t="s">
        <v>12</v>
      </c>
      <c r="E84" s="208">
        <v>43058</v>
      </c>
      <c r="F84" s="209">
        <v>20.5</v>
      </c>
      <c r="G84" s="210" t="s">
        <v>13</v>
      </c>
      <c r="H84" s="211" t="s">
        <v>18</v>
      </c>
      <c r="I84" s="210">
        <v>1</v>
      </c>
      <c r="J84" s="210" t="s">
        <v>15</v>
      </c>
      <c r="K84" s="210" t="s">
        <v>54</v>
      </c>
      <c r="L84" s="211" t="s">
        <v>60</v>
      </c>
      <c r="M84" s="211" t="s">
        <v>17</v>
      </c>
    </row>
    <row r="85" spans="1:13" x14ac:dyDescent="0.2">
      <c r="A85" s="211" t="s">
        <v>55</v>
      </c>
      <c r="B85" s="211" t="s">
        <v>58</v>
      </c>
      <c r="C85" s="211" t="s">
        <v>11</v>
      </c>
      <c r="D85" s="211" t="s">
        <v>12</v>
      </c>
      <c r="E85" s="208">
        <v>43058</v>
      </c>
      <c r="F85" s="221">
        <v>6919.1558999999997</v>
      </c>
      <c r="G85" s="210" t="s">
        <v>16</v>
      </c>
      <c r="H85" s="211" t="s">
        <v>18</v>
      </c>
      <c r="I85" s="210">
        <v>1</v>
      </c>
      <c r="J85" s="210" t="s">
        <v>15</v>
      </c>
      <c r="K85" s="210" t="s">
        <v>54</v>
      </c>
      <c r="L85" s="211" t="s">
        <v>60</v>
      </c>
      <c r="M85" s="211" t="s">
        <v>17</v>
      </c>
    </row>
    <row r="86" spans="1:13" x14ac:dyDescent="0.2">
      <c r="A86" s="211" t="s">
        <v>55</v>
      </c>
      <c r="B86" s="211" t="s">
        <v>58</v>
      </c>
      <c r="C86" s="211" t="s">
        <v>11</v>
      </c>
      <c r="D86" s="211" t="s">
        <v>12</v>
      </c>
      <c r="E86" s="208">
        <v>43054</v>
      </c>
      <c r="F86" s="222">
        <v>92.132561199999998</v>
      </c>
      <c r="G86" s="210" t="s">
        <v>13</v>
      </c>
      <c r="H86" s="211" t="s">
        <v>14</v>
      </c>
      <c r="I86" s="210">
        <v>1</v>
      </c>
      <c r="J86" s="210" t="s">
        <v>15</v>
      </c>
      <c r="K86" s="210" t="s">
        <v>54</v>
      </c>
      <c r="L86" s="211" t="s">
        <v>60</v>
      </c>
      <c r="M86" s="211" t="s">
        <v>56</v>
      </c>
    </row>
    <row r="87" spans="1:13" x14ac:dyDescent="0.2">
      <c r="A87" s="211" t="s">
        <v>55</v>
      </c>
      <c r="B87" s="211" t="s">
        <v>58</v>
      </c>
      <c r="C87" s="211" t="s">
        <v>11</v>
      </c>
      <c r="D87" s="211" t="s">
        <v>12</v>
      </c>
      <c r="E87" s="208">
        <v>43054</v>
      </c>
      <c r="F87" s="223">
        <v>31119.615228300001</v>
      </c>
      <c r="G87" s="224" t="s">
        <v>16</v>
      </c>
      <c r="H87" s="225" t="s">
        <v>14</v>
      </c>
      <c r="I87" s="210">
        <v>1</v>
      </c>
      <c r="J87" s="210" t="s">
        <v>15</v>
      </c>
      <c r="K87" s="210" t="s">
        <v>54</v>
      </c>
      <c r="L87" s="211" t="s">
        <v>60</v>
      </c>
      <c r="M87" s="211" t="s">
        <v>56</v>
      </c>
    </row>
    <row r="88" spans="1:13" x14ac:dyDescent="0.2">
      <c r="A88" s="211" t="s">
        <v>55</v>
      </c>
      <c r="B88" s="211" t="s">
        <v>58</v>
      </c>
      <c r="C88" s="211" t="s">
        <v>11</v>
      </c>
      <c r="D88" s="211" t="s">
        <v>12</v>
      </c>
      <c r="E88" s="208">
        <v>43054</v>
      </c>
      <c r="F88" s="222">
        <v>27.1</v>
      </c>
      <c r="G88" s="210" t="s">
        <v>13</v>
      </c>
      <c r="H88" s="211" t="s">
        <v>18</v>
      </c>
      <c r="I88" s="210">
        <v>1</v>
      </c>
      <c r="J88" s="210" t="s">
        <v>15</v>
      </c>
      <c r="K88" s="210" t="s">
        <v>54</v>
      </c>
      <c r="L88" s="211" t="s">
        <v>60</v>
      </c>
      <c r="M88" s="211" t="s">
        <v>17</v>
      </c>
    </row>
    <row r="89" spans="1:13" x14ac:dyDescent="0.2">
      <c r="A89" s="211" t="s">
        <v>55</v>
      </c>
      <c r="B89" s="211" t="s">
        <v>58</v>
      </c>
      <c r="C89" s="211" t="s">
        <v>11</v>
      </c>
      <c r="D89" s="211" t="s">
        <v>12</v>
      </c>
      <c r="E89" s="208">
        <v>43054</v>
      </c>
      <c r="F89" s="223">
        <v>9036.0397200000007</v>
      </c>
      <c r="G89" s="210" t="s">
        <v>16</v>
      </c>
      <c r="H89" s="211" t="s">
        <v>18</v>
      </c>
      <c r="I89" s="210">
        <v>1</v>
      </c>
      <c r="J89" s="210" t="s">
        <v>15</v>
      </c>
      <c r="K89" s="210" t="s">
        <v>54</v>
      </c>
      <c r="L89" s="211" t="s">
        <v>60</v>
      </c>
      <c r="M89" s="211" t="s">
        <v>17</v>
      </c>
    </row>
    <row r="90" spans="1:13" x14ac:dyDescent="0.2">
      <c r="A90" s="211" t="s">
        <v>55</v>
      </c>
      <c r="B90" s="211" t="s">
        <v>58</v>
      </c>
      <c r="C90" s="211" t="s">
        <v>11</v>
      </c>
      <c r="D90" s="211" t="s">
        <v>12</v>
      </c>
      <c r="E90" s="208">
        <v>43045</v>
      </c>
      <c r="F90" s="209">
        <v>63.877902800000001</v>
      </c>
      <c r="G90" s="210" t="s">
        <v>13</v>
      </c>
      <c r="H90" s="211" t="s">
        <v>14</v>
      </c>
      <c r="I90" s="210">
        <v>1</v>
      </c>
      <c r="J90" s="210" t="s">
        <v>15</v>
      </c>
      <c r="K90" s="210" t="s">
        <v>54</v>
      </c>
      <c r="L90" s="211" t="s">
        <v>60</v>
      </c>
      <c r="M90" s="211" t="s">
        <v>56</v>
      </c>
    </row>
    <row r="91" spans="1:13" x14ac:dyDescent="0.2">
      <c r="A91" s="211" t="s">
        <v>55</v>
      </c>
      <c r="B91" s="211" t="s">
        <v>58</v>
      </c>
      <c r="C91" s="211" t="s">
        <v>11</v>
      </c>
      <c r="D91" s="211" t="s">
        <v>12</v>
      </c>
      <c r="E91" s="208">
        <v>43045</v>
      </c>
      <c r="F91" s="221">
        <v>20350.7333067</v>
      </c>
      <c r="G91" s="210" t="s">
        <v>16</v>
      </c>
      <c r="H91" s="211" t="s">
        <v>14</v>
      </c>
      <c r="I91" s="210">
        <v>1</v>
      </c>
      <c r="J91" s="210" t="s">
        <v>15</v>
      </c>
      <c r="K91" s="210" t="s">
        <v>54</v>
      </c>
      <c r="L91" s="211" t="s">
        <v>60</v>
      </c>
      <c r="M91" s="211" t="s">
        <v>56</v>
      </c>
    </row>
    <row r="92" spans="1:13" x14ac:dyDescent="0.2">
      <c r="A92" s="211" t="s">
        <v>55</v>
      </c>
      <c r="B92" s="211" t="s">
        <v>58</v>
      </c>
      <c r="C92" s="211" t="s">
        <v>11</v>
      </c>
      <c r="D92" s="211" t="s">
        <v>12</v>
      </c>
      <c r="E92" s="208">
        <v>43045</v>
      </c>
      <c r="F92" s="209">
        <v>34.1</v>
      </c>
      <c r="G92" s="210" t="s">
        <v>13</v>
      </c>
      <c r="H92" s="211" t="s">
        <v>18</v>
      </c>
      <c r="I92" s="210">
        <v>1</v>
      </c>
      <c r="J92" s="210" t="s">
        <v>15</v>
      </c>
      <c r="K92" s="210" t="s">
        <v>54</v>
      </c>
      <c r="L92" s="211" t="s">
        <v>60</v>
      </c>
      <c r="M92" s="211" t="s">
        <v>17</v>
      </c>
    </row>
    <row r="93" spans="1:13" x14ac:dyDescent="0.2">
      <c r="A93" s="211" t="s">
        <v>55</v>
      </c>
      <c r="B93" s="211" t="s">
        <v>58</v>
      </c>
      <c r="C93" s="211" t="s">
        <v>11</v>
      </c>
      <c r="D93" s="211" t="s">
        <v>12</v>
      </c>
      <c r="E93" s="208">
        <v>43045</v>
      </c>
      <c r="F93" s="221">
        <v>11079.990239999999</v>
      </c>
      <c r="G93" s="210" t="s">
        <v>16</v>
      </c>
      <c r="H93" s="211" t="s">
        <v>18</v>
      </c>
      <c r="I93" s="210">
        <v>1</v>
      </c>
      <c r="J93" s="210" t="s">
        <v>15</v>
      </c>
      <c r="K93" s="210" t="s">
        <v>54</v>
      </c>
      <c r="L93" s="211" t="s">
        <v>60</v>
      </c>
      <c r="M93" s="211" t="s">
        <v>17</v>
      </c>
    </row>
    <row r="94" spans="1:13" x14ac:dyDescent="0.2">
      <c r="A94" s="211" t="s">
        <v>55</v>
      </c>
      <c r="B94" s="211" t="s">
        <v>58</v>
      </c>
      <c r="C94" s="211" t="s">
        <v>11</v>
      </c>
      <c r="D94" s="211" t="s">
        <v>12</v>
      </c>
      <c r="E94" s="208">
        <v>43037</v>
      </c>
      <c r="F94" s="209">
        <v>43.8264055</v>
      </c>
      <c r="G94" s="210" t="s">
        <v>13</v>
      </c>
      <c r="H94" s="211" t="s">
        <v>14</v>
      </c>
      <c r="I94" s="210">
        <v>1</v>
      </c>
      <c r="J94" s="210" t="s">
        <v>15</v>
      </c>
      <c r="K94" s="210" t="s">
        <v>54</v>
      </c>
      <c r="L94" s="211" t="s">
        <v>60</v>
      </c>
      <c r="M94" s="211" t="s">
        <v>56</v>
      </c>
    </row>
    <row r="95" spans="1:13" x14ac:dyDescent="0.2">
      <c r="A95" s="211" t="s">
        <v>55</v>
      </c>
      <c r="B95" s="211" t="s">
        <v>58</v>
      </c>
      <c r="C95" s="211" t="s">
        <v>11</v>
      </c>
      <c r="D95" s="211" t="s">
        <v>12</v>
      </c>
      <c r="E95" s="208">
        <v>43037</v>
      </c>
      <c r="F95" s="221">
        <v>14766.693766799999</v>
      </c>
      <c r="G95" s="210" t="s">
        <v>16</v>
      </c>
      <c r="H95" s="211" t="s">
        <v>14</v>
      </c>
      <c r="I95" s="210">
        <v>1</v>
      </c>
      <c r="J95" s="210" t="s">
        <v>15</v>
      </c>
      <c r="K95" s="210" t="s">
        <v>54</v>
      </c>
      <c r="L95" s="211" t="s">
        <v>60</v>
      </c>
      <c r="M95" s="211" t="s">
        <v>56</v>
      </c>
    </row>
    <row r="96" spans="1:13" x14ac:dyDescent="0.2">
      <c r="A96" s="211" t="s">
        <v>55</v>
      </c>
      <c r="B96" s="211" t="s">
        <v>58</v>
      </c>
      <c r="C96" s="211" t="s">
        <v>11</v>
      </c>
      <c r="D96" s="211" t="s">
        <v>12</v>
      </c>
      <c r="E96" s="208">
        <v>43037</v>
      </c>
      <c r="F96" s="209">
        <v>21.7</v>
      </c>
      <c r="G96" s="210" t="s">
        <v>13</v>
      </c>
      <c r="H96" s="211" t="s">
        <v>18</v>
      </c>
      <c r="I96" s="210">
        <v>1</v>
      </c>
      <c r="J96" s="210" t="s">
        <v>15</v>
      </c>
      <c r="K96" s="210" t="s">
        <v>54</v>
      </c>
      <c r="L96" s="211" t="s">
        <v>60</v>
      </c>
      <c r="M96" s="211" t="s">
        <v>17</v>
      </c>
    </row>
    <row r="97" spans="1:13" x14ac:dyDescent="0.2">
      <c r="A97" s="211" t="s">
        <v>55</v>
      </c>
      <c r="B97" s="211" t="s">
        <v>58</v>
      </c>
      <c r="C97" s="211" t="s">
        <v>11</v>
      </c>
      <c r="D97" s="211" t="s">
        <v>12</v>
      </c>
      <c r="E97" s="208">
        <v>43037</v>
      </c>
      <c r="F97" s="221">
        <v>7311.5111999999999</v>
      </c>
      <c r="G97" s="210" t="s">
        <v>16</v>
      </c>
      <c r="H97" s="211" t="s">
        <v>18</v>
      </c>
      <c r="I97" s="210">
        <v>1</v>
      </c>
      <c r="J97" s="210" t="s">
        <v>15</v>
      </c>
      <c r="K97" s="210" t="s">
        <v>54</v>
      </c>
      <c r="L97" s="211" t="s">
        <v>60</v>
      </c>
      <c r="M97" s="211" t="s">
        <v>17</v>
      </c>
    </row>
    <row r="98" spans="1:13" x14ac:dyDescent="0.2">
      <c r="A98" s="211" t="s">
        <v>55</v>
      </c>
      <c r="B98" s="211" t="s">
        <v>58</v>
      </c>
      <c r="C98" s="211" t="s">
        <v>11</v>
      </c>
      <c r="D98" s="211" t="s">
        <v>12</v>
      </c>
      <c r="E98" s="208">
        <v>43032</v>
      </c>
      <c r="F98" s="209">
        <v>36.150698400000003</v>
      </c>
      <c r="G98" s="210" t="s">
        <v>13</v>
      </c>
      <c r="H98" s="211" t="s">
        <v>14</v>
      </c>
      <c r="I98" s="210">
        <v>1</v>
      </c>
      <c r="J98" s="210" t="s">
        <v>15</v>
      </c>
      <c r="K98" s="210" t="s">
        <v>54</v>
      </c>
      <c r="L98" s="211" t="s">
        <v>60</v>
      </c>
      <c r="M98" s="211" t="s">
        <v>56</v>
      </c>
    </row>
    <row r="99" spans="1:13" x14ac:dyDescent="0.2">
      <c r="A99" s="211" t="s">
        <v>55</v>
      </c>
      <c r="B99" s="211" t="s">
        <v>58</v>
      </c>
      <c r="C99" s="211" t="s">
        <v>11</v>
      </c>
      <c r="D99" s="211" t="s">
        <v>12</v>
      </c>
      <c r="E99" s="208">
        <v>43032</v>
      </c>
      <c r="F99" s="221">
        <v>11667.9271434</v>
      </c>
      <c r="G99" s="210" t="s">
        <v>16</v>
      </c>
      <c r="H99" s="211" t="s">
        <v>14</v>
      </c>
      <c r="I99" s="210">
        <v>1</v>
      </c>
      <c r="J99" s="210" t="s">
        <v>15</v>
      </c>
      <c r="K99" s="210" t="s">
        <v>54</v>
      </c>
      <c r="L99" s="211" t="s">
        <v>60</v>
      </c>
      <c r="M99" s="211" t="s">
        <v>56</v>
      </c>
    </row>
    <row r="100" spans="1:13" x14ac:dyDescent="0.2">
      <c r="A100" s="211" t="s">
        <v>55</v>
      </c>
      <c r="B100" s="211" t="s">
        <v>58</v>
      </c>
      <c r="C100" s="211" t="s">
        <v>11</v>
      </c>
      <c r="D100" s="211" t="s">
        <v>12</v>
      </c>
      <c r="E100" s="208">
        <v>43032</v>
      </c>
      <c r="F100" s="209">
        <v>24.8</v>
      </c>
      <c r="G100" s="210" t="s">
        <v>13</v>
      </c>
      <c r="H100" s="211" t="s">
        <v>18</v>
      </c>
      <c r="I100" s="210">
        <v>1</v>
      </c>
      <c r="J100" s="210" t="s">
        <v>15</v>
      </c>
      <c r="K100" s="210" t="s">
        <v>54</v>
      </c>
      <c r="L100" s="211" t="s">
        <v>60</v>
      </c>
      <c r="M100" s="211" t="s">
        <v>17</v>
      </c>
    </row>
    <row r="101" spans="1:13" x14ac:dyDescent="0.2">
      <c r="A101" s="211" t="s">
        <v>55</v>
      </c>
      <c r="B101" s="211" t="s">
        <v>58</v>
      </c>
      <c r="C101" s="211" t="s">
        <v>11</v>
      </c>
      <c r="D101" s="211" t="s">
        <v>12</v>
      </c>
      <c r="E101" s="208">
        <v>43032</v>
      </c>
      <c r="F101" s="221">
        <v>8004.3984</v>
      </c>
      <c r="G101" s="210" t="s">
        <v>16</v>
      </c>
      <c r="H101" s="211" t="s">
        <v>18</v>
      </c>
      <c r="I101" s="210">
        <v>1</v>
      </c>
      <c r="J101" s="210" t="s">
        <v>15</v>
      </c>
      <c r="K101" s="210" t="s">
        <v>54</v>
      </c>
      <c r="L101" s="211" t="s">
        <v>60</v>
      </c>
      <c r="M101" s="211" t="s">
        <v>17</v>
      </c>
    </row>
    <row r="102" spans="1:13" x14ac:dyDescent="0.2">
      <c r="A102" s="211" t="s">
        <v>55</v>
      </c>
      <c r="B102" s="211" t="s">
        <v>58</v>
      </c>
      <c r="C102" s="211" t="s">
        <v>11</v>
      </c>
      <c r="D102" s="211" t="s">
        <v>12</v>
      </c>
      <c r="E102" s="208">
        <v>43027</v>
      </c>
      <c r="F102" s="209">
        <v>38.515861000000001</v>
      </c>
      <c r="G102" s="210" t="s">
        <v>13</v>
      </c>
      <c r="H102" s="211" t="s">
        <v>14</v>
      </c>
      <c r="I102" s="210">
        <v>1</v>
      </c>
      <c r="J102" s="210" t="s">
        <v>15</v>
      </c>
      <c r="K102" s="210" t="s">
        <v>54</v>
      </c>
      <c r="L102" s="211" t="s">
        <v>60</v>
      </c>
      <c r="M102" s="211" t="s">
        <v>56</v>
      </c>
    </row>
    <row r="103" spans="1:13" x14ac:dyDescent="0.2">
      <c r="A103" s="211" t="s">
        <v>55</v>
      </c>
      <c r="B103" s="211" t="s">
        <v>58</v>
      </c>
      <c r="C103" s="211" t="s">
        <v>11</v>
      </c>
      <c r="D103" s="211" t="s">
        <v>12</v>
      </c>
      <c r="E103" s="208">
        <v>43027</v>
      </c>
      <c r="F103" s="221">
        <v>9668.7906624999996</v>
      </c>
      <c r="G103" s="210" t="s">
        <v>16</v>
      </c>
      <c r="H103" s="211" t="s">
        <v>14</v>
      </c>
      <c r="I103" s="210">
        <v>1</v>
      </c>
      <c r="J103" s="210" t="s">
        <v>15</v>
      </c>
      <c r="K103" s="210" t="s">
        <v>54</v>
      </c>
      <c r="L103" s="211" t="s">
        <v>60</v>
      </c>
      <c r="M103" s="211" t="s">
        <v>56</v>
      </c>
    </row>
    <row r="104" spans="1:13" x14ac:dyDescent="0.2">
      <c r="A104" s="211" t="s">
        <v>55</v>
      </c>
      <c r="B104" s="211" t="s">
        <v>58</v>
      </c>
      <c r="C104" s="211" t="s">
        <v>11</v>
      </c>
      <c r="D104" s="211" t="s">
        <v>12</v>
      </c>
      <c r="E104" s="208">
        <v>43027</v>
      </c>
      <c r="F104" s="209">
        <v>21.1</v>
      </c>
      <c r="G104" s="210" t="s">
        <v>13</v>
      </c>
      <c r="H104" s="211" t="s">
        <v>18</v>
      </c>
      <c r="I104" s="210">
        <v>1</v>
      </c>
      <c r="J104" s="210" t="s">
        <v>15</v>
      </c>
      <c r="K104" s="210" t="s">
        <v>54</v>
      </c>
      <c r="L104" s="211" t="s">
        <v>60</v>
      </c>
      <c r="M104" s="211" t="s">
        <v>17</v>
      </c>
    </row>
    <row r="105" spans="1:13" x14ac:dyDescent="0.2">
      <c r="A105" s="211" t="s">
        <v>55</v>
      </c>
      <c r="B105" s="211" t="s">
        <v>58</v>
      </c>
      <c r="C105" s="211" t="s">
        <v>11</v>
      </c>
      <c r="D105" s="211" t="s">
        <v>12</v>
      </c>
      <c r="E105" s="208">
        <v>43027</v>
      </c>
      <c r="F105" s="221">
        <v>5296.8173999999999</v>
      </c>
      <c r="G105" s="210" t="s">
        <v>16</v>
      </c>
      <c r="H105" s="211" t="s">
        <v>18</v>
      </c>
      <c r="I105" s="210">
        <v>1</v>
      </c>
      <c r="J105" s="210" t="s">
        <v>15</v>
      </c>
      <c r="K105" s="210" t="s">
        <v>54</v>
      </c>
      <c r="L105" s="211" t="s">
        <v>60</v>
      </c>
      <c r="M105" s="211" t="s">
        <v>17</v>
      </c>
    </row>
    <row r="106" spans="1:13" x14ac:dyDescent="0.2">
      <c r="A106" s="211" t="s">
        <v>55</v>
      </c>
      <c r="B106" s="211" t="s">
        <v>58</v>
      </c>
      <c r="C106" s="211" t="s">
        <v>11</v>
      </c>
      <c r="D106" s="211" t="s">
        <v>12</v>
      </c>
      <c r="E106" s="208">
        <v>43018</v>
      </c>
      <c r="F106" s="209">
        <v>43.204114599999997</v>
      </c>
      <c r="G106" s="210" t="s">
        <v>13</v>
      </c>
      <c r="H106" s="211" t="s">
        <v>14</v>
      </c>
      <c r="I106" s="210">
        <v>1</v>
      </c>
      <c r="J106" s="210" t="s">
        <v>15</v>
      </c>
      <c r="K106" s="210" t="s">
        <v>54</v>
      </c>
      <c r="L106" s="211" t="s">
        <v>60</v>
      </c>
      <c r="M106" s="211" t="s">
        <v>56</v>
      </c>
    </row>
    <row r="107" spans="1:13" x14ac:dyDescent="0.2">
      <c r="A107" s="211" t="s">
        <v>55</v>
      </c>
      <c r="B107" s="211" t="s">
        <v>58</v>
      </c>
      <c r="C107" s="211" t="s">
        <v>11</v>
      </c>
      <c r="D107" s="211" t="s">
        <v>12</v>
      </c>
      <c r="E107" s="208">
        <v>43018</v>
      </c>
      <c r="F107" s="221">
        <v>15782.1174348</v>
      </c>
      <c r="G107" s="210" t="s">
        <v>16</v>
      </c>
      <c r="H107" s="211" t="s">
        <v>14</v>
      </c>
      <c r="I107" s="210">
        <v>1</v>
      </c>
      <c r="J107" s="210" t="s">
        <v>15</v>
      </c>
      <c r="K107" s="210" t="s">
        <v>54</v>
      </c>
      <c r="L107" s="211" t="s">
        <v>60</v>
      </c>
      <c r="M107" s="211" t="s">
        <v>56</v>
      </c>
    </row>
    <row r="108" spans="1:13" x14ac:dyDescent="0.2">
      <c r="A108" s="211" t="s">
        <v>55</v>
      </c>
      <c r="B108" s="211" t="s">
        <v>58</v>
      </c>
      <c r="C108" s="211" t="s">
        <v>11</v>
      </c>
      <c r="D108" s="211" t="s">
        <v>12</v>
      </c>
      <c r="E108" s="208">
        <v>43018</v>
      </c>
      <c r="F108" s="209">
        <v>14.6</v>
      </c>
      <c r="G108" s="210" t="s">
        <v>13</v>
      </c>
      <c r="H108" s="211" t="s">
        <v>18</v>
      </c>
      <c r="I108" s="210">
        <v>1</v>
      </c>
      <c r="J108" s="210" t="s">
        <v>15</v>
      </c>
      <c r="K108" s="210" t="s">
        <v>54</v>
      </c>
      <c r="L108" s="211" t="s">
        <v>60</v>
      </c>
      <c r="M108" s="211" t="s">
        <v>17</v>
      </c>
    </row>
    <row r="109" spans="1:13" x14ac:dyDescent="0.2">
      <c r="A109" s="211" t="s">
        <v>55</v>
      </c>
      <c r="B109" s="211" t="s">
        <v>58</v>
      </c>
      <c r="C109" s="211" t="s">
        <v>11</v>
      </c>
      <c r="D109" s="211" t="s">
        <v>12</v>
      </c>
      <c r="E109" s="208">
        <v>43018</v>
      </c>
      <c r="F109" s="221">
        <v>5333.2632000000003</v>
      </c>
      <c r="G109" s="210" t="s">
        <v>16</v>
      </c>
      <c r="H109" s="211" t="s">
        <v>18</v>
      </c>
      <c r="I109" s="210">
        <v>1</v>
      </c>
      <c r="J109" s="210" t="s">
        <v>15</v>
      </c>
      <c r="K109" s="210" t="s">
        <v>54</v>
      </c>
      <c r="L109" s="211" t="s">
        <v>60</v>
      </c>
      <c r="M109" s="211" t="s">
        <v>17</v>
      </c>
    </row>
    <row r="110" spans="1:13" x14ac:dyDescent="0.2">
      <c r="A110" s="211" t="s">
        <v>55</v>
      </c>
      <c r="B110" s="211" t="s">
        <v>58</v>
      </c>
      <c r="C110" s="211" t="s">
        <v>11</v>
      </c>
      <c r="D110" s="211" t="s">
        <v>12</v>
      </c>
      <c r="E110" s="208">
        <v>43013</v>
      </c>
      <c r="F110" s="209">
        <v>48.716065100000002</v>
      </c>
      <c r="G110" s="210" t="s">
        <v>13</v>
      </c>
      <c r="H110" s="211" t="s">
        <v>14</v>
      </c>
      <c r="I110" s="210">
        <v>1</v>
      </c>
      <c r="J110" s="210" t="s">
        <v>15</v>
      </c>
      <c r="K110" s="210" t="s">
        <v>54</v>
      </c>
      <c r="L110" s="211" t="s">
        <v>60</v>
      </c>
      <c r="M110" s="211" t="s">
        <v>56</v>
      </c>
    </row>
    <row r="111" spans="1:13" x14ac:dyDescent="0.2">
      <c r="A111" s="211" t="s">
        <v>55</v>
      </c>
      <c r="B111" s="211" t="s">
        <v>58</v>
      </c>
      <c r="C111" s="211" t="s">
        <v>11</v>
      </c>
      <c r="D111" s="211" t="s">
        <v>12</v>
      </c>
      <c r="E111" s="208">
        <v>43013</v>
      </c>
      <c r="F111" s="221">
        <v>14910.9157806</v>
      </c>
      <c r="G111" s="210" t="s">
        <v>16</v>
      </c>
      <c r="H111" s="211" t="s">
        <v>14</v>
      </c>
      <c r="I111" s="210">
        <v>1</v>
      </c>
      <c r="J111" s="210" t="s">
        <v>15</v>
      </c>
      <c r="K111" s="210" t="s">
        <v>54</v>
      </c>
      <c r="L111" s="211" t="s">
        <v>60</v>
      </c>
      <c r="M111" s="211" t="s">
        <v>56</v>
      </c>
    </row>
    <row r="112" spans="1:13" x14ac:dyDescent="0.2">
      <c r="A112" s="211" t="s">
        <v>55</v>
      </c>
      <c r="B112" s="211" t="s">
        <v>58</v>
      </c>
      <c r="C112" s="211" t="s">
        <v>11</v>
      </c>
      <c r="D112" s="211" t="s">
        <v>12</v>
      </c>
      <c r="E112" s="208">
        <v>43013</v>
      </c>
      <c r="F112" s="209">
        <v>8.5</v>
      </c>
      <c r="G112" s="210" t="s">
        <v>13</v>
      </c>
      <c r="H112" s="211" t="s">
        <v>18</v>
      </c>
      <c r="I112" s="210">
        <v>1</v>
      </c>
      <c r="J112" s="210" t="s">
        <v>15</v>
      </c>
      <c r="K112" s="210" t="s">
        <v>54</v>
      </c>
      <c r="L112" s="211" t="s">
        <v>60</v>
      </c>
      <c r="M112" s="211" t="s">
        <v>17</v>
      </c>
    </row>
    <row r="113" spans="1:13" x14ac:dyDescent="0.2">
      <c r="A113" s="211" t="s">
        <v>55</v>
      </c>
      <c r="B113" s="211" t="s">
        <v>58</v>
      </c>
      <c r="C113" s="211" t="s">
        <v>11</v>
      </c>
      <c r="D113" s="211" t="s">
        <v>12</v>
      </c>
      <c r="E113" s="208">
        <v>43013</v>
      </c>
      <c r="F113" s="221">
        <v>2601.663</v>
      </c>
      <c r="G113" s="210" t="s">
        <v>16</v>
      </c>
      <c r="H113" s="211" t="s">
        <v>18</v>
      </c>
      <c r="I113" s="210">
        <v>1</v>
      </c>
      <c r="J113" s="210" t="s">
        <v>15</v>
      </c>
      <c r="K113" s="210" t="s">
        <v>54</v>
      </c>
      <c r="L113" s="211" t="s">
        <v>60</v>
      </c>
      <c r="M113" s="211" t="s">
        <v>17</v>
      </c>
    </row>
    <row r="114" spans="1:13" x14ac:dyDescent="0.2">
      <c r="A114" s="211" t="s">
        <v>55</v>
      </c>
      <c r="B114" s="211" t="s">
        <v>58</v>
      </c>
      <c r="C114" s="211" t="s">
        <v>11</v>
      </c>
      <c r="D114" s="211" t="s">
        <v>12</v>
      </c>
      <c r="E114" s="208">
        <v>43006</v>
      </c>
      <c r="F114" s="209">
        <v>66.699475899999996</v>
      </c>
      <c r="G114" s="210" t="s">
        <v>13</v>
      </c>
      <c r="H114" s="211" t="s">
        <v>14</v>
      </c>
      <c r="I114" s="210">
        <v>1</v>
      </c>
      <c r="J114" s="210" t="s">
        <v>15</v>
      </c>
      <c r="K114" s="210" t="s">
        <v>54</v>
      </c>
      <c r="L114" s="211" t="s">
        <v>60</v>
      </c>
      <c r="M114" s="211" t="s">
        <v>56</v>
      </c>
    </row>
    <row r="115" spans="1:13" x14ac:dyDescent="0.2">
      <c r="A115" s="211" t="s">
        <v>55</v>
      </c>
      <c r="B115" s="211" t="s">
        <v>58</v>
      </c>
      <c r="C115" s="211" t="s">
        <v>11</v>
      </c>
      <c r="D115" s="211" t="s">
        <v>12</v>
      </c>
      <c r="E115" s="208">
        <v>43006</v>
      </c>
      <c r="F115" s="221">
        <v>20025.850657399998</v>
      </c>
      <c r="G115" s="210" t="s">
        <v>16</v>
      </c>
      <c r="H115" s="211" t="s">
        <v>14</v>
      </c>
      <c r="I115" s="210">
        <v>1</v>
      </c>
      <c r="J115" s="210" t="s">
        <v>15</v>
      </c>
      <c r="K115" s="210" t="s">
        <v>54</v>
      </c>
      <c r="L115" s="211" t="s">
        <v>60</v>
      </c>
      <c r="M115" s="211" t="s">
        <v>56</v>
      </c>
    </row>
    <row r="116" spans="1:13" x14ac:dyDescent="0.2">
      <c r="A116" s="211" t="s">
        <v>55</v>
      </c>
      <c r="B116" s="211" t="s">
        <v>58</v>
      </c>
      <c r="C116" s="211" t="s">
        <v>11</v>
      </c>
      <c r="D116" s="211" t="s">
        <v>12</v>
      </c>
      <c r="E116" s="208">
        <v>43006</v>
      </c>
      <c r="F116" s="209">
        <v>21.3</v>
      </c>
      <c r="G116" s="210" t="s">
        <v>13</v>
      </c>
      <c r="H116" s="211" t="s">
        <v>18</v>
      </c>
      <c r="I116" s="210">
        <v>1</v>
      </c>
      <c r="J116" s="210" t="s">
        <v>15</v>
      </c>
      <c r="K116" s="210" t="s">
        <v>54</v>
      </c>
      <c r="L116" s="211" t="s">
        <v>60</v>
      </c>
      <c r="M116" s="211" t="s">
        <v>17</v>
      </c>
    </row>
    <row r="117" spans="1:13" x14ac:dyDescent="0.2">
      <c r="A117" s="211" t="s">
        <v>55</v>
      </c>
      <c r="B117" s="211" t="s">
        <v>58</v>
      </c>
      <c r="C117" s="211" t="s">
        <v>11</v>
      </c>
      <c r="D117" s="211" t="s">
        <v>12</v>
      </c>
      <c r="E117" s="208">
        <v>43006</v>
      </c>
      <c r="F117" s="221">
        <v>6395.1120000000001</v>
      </c>
      <c r="G117" s="210" t="s">
        <v>16</v>
      </c>
      <c r="H117" s="211" t="s">
        <v>18</v>
      </c>
      <c r="I117" s="210">
        <v>1</v>
      </c>
      <c r="J117" s="210" t="s">
        <v>15</v>
      </c>
      <c r="K117" s="210" t="s">
        <v>54</v>
      </c>
      <c r="L117" s="211" t="s">
        <v>60</v>
      </c>
      <c r="M117" s="211" t="s">
        <v>17</v>
      </c>
    </row>
    <row r="118" spans="1:13" x14ac:dyDescent="0.2">
      <c r="A118" s="211" t="s">
        <v>55</v>
      </c>
      <c r="B118" s="211" t="s">
        <v>58</v>
      </c>
      <c r="C118" s="211" t="s">
        <v>11</v>
      </c>
      <c r="D118" s="211" t="s">
        <v>12</v>
      </c>
      <c r="E118" s="208">
        <v>42999</v>
      </c>
      <c r="F118" s="209">
        <v>40.330737399999997</v>
      </c>
      <c r="G118" s="210" t="s">
        <v>13</v>
      </c>
      <c r="H118" s="211" t="s">
        <v>14</v>
      </c>
      <c r="I118" s="210">
        <v>1</v>
      </c>
      <c r="J118" s="210" t="s">
        <v>15</v>
      </c>
      <c r="K118" s="210" t="s">
        <v>54</v>
      </c>
      <c r="L118" s="211" t="s">
        <v>60</v>
      </c>
      <c r="M118" s="211" t="s">
        <v>56</v>
      </c>
    </row>
    <row r="119" spans="1:13" x14ac:dyDescent="0.2">
      <c r="A119" s="211" t="s">
        <v>55</v>
      </c>
      <c r="B119" s="211" t="s">
        <v>58</v>
      </c>
      <c r="C119" s="211" t="s">
        <v>11</v>
      </c>
      <c r="D119" s="211" t="s">
        <v>12</v>
      </c>
      <c r="E119" s="208">
        <v>42999</v>
      </c>
      <c r="F119" s="221">
        <v>12277.0797783</v>
      </c>
      <c r="G119" s="210" t="s">
        <v>16</v>
      </c>
      <c r="H119" s="211" t="s">
        <v>14</v>
      </c>
      <c r="I119" s="210">
        <v>1</v>
      </c>
      <c r="J119" s="210" t="s">
        <v>15</v>
      </c>
      <c r="K119" s="210" t="s">
        <v>54</v>
      </c>
      <c r="L119" s="211" t="s">
        <v>60</v>
      </c>
      <c r="M119" s="211" t="s">
        <v>56</v>
      </c>
    </row>
    <row r="120" spans="1:13" x14ac:dyDescent="0.2">
      <c r="A120" s="211" t="s">
        <v>55</v>
      </c>
      <c r="B120" s="211" t="s">
        <v>58</v>
      </c>
      <c r="C120" s="211" t="s">
        <v>11</v>
      </c>
      <c r="D120" s="211" t="s">
        <v>12</v>
      </c>
      <c r="E120" s="208">
        <v>42999</v>
      </c>
      <c r="F120" s="209">
        <v>15.9</v>
      </c>
      <c r="G120" s="210" t="s">
        <v>13</v>
      </c>
      <c r="H120" s="211" t="s">
        <v>18</v>
      </c>
      <c r="I120" s="210">
        <v>1</v>
      </c>
      <c r="J120" s="210" t="s">
        <v>15</v>
      </c>
      <c r="K120" s="210" t="s">
        <v>54</v>
      </c>
      <c r="L120" s="211" t="s">
        <v>60</v>
      </c>
      <c r="M120" s="211" t="s">
        <v>17</v>
      </c>
    </row>
    <row r="121" spans="1:13" x14ac:dyDescent="0.2">
      <c r="A121" s="211" t="s">
        <v>55</v>
      </c>
      <c r="B121" s="211" t="s">
        <v>58</v>
      </c>
      <c r="C121" s="211" t="s">
        <v>11</v>
      </c>
      <c r="D121" s="211" t="s">
        <v>12</v>
      </c>
      <c r="E121" s="208">
        <v>42999</v>
      </c>
      <c r="F121" s="221">
        <v>4840.1189999999997</v>
      </c>
      <c r="G121" s="210" t="s">
        <v>16</v>
      </c>
      <c r="H121" s="211" t="s">
        <v>18</v>
      </c>
      <c r="I121" s="210">
        <v>1</v>
      </c>
      <c r="J121" s="210" t="s">
        <v>15</v>
      </c>
      <c r="K121" s="210" t="s">
        <v>54</v>
      </c>
      <c r="L121" s="211" t="s">
        <v>60</v>
      </c>
      <c r="M121" s="211" t="s">
        <v>17</v>
      </c>
    </row>
    <row r="122" spans="1:13" x14ac:dyDescent="0.2">
      <c r="A122" s="211" t="s">
        <v>55</v>
      </c>
      <c r="B122" s="211" t="s">
        <v>58</v>
      </c>
      <c r="C122" s="211" t="s">
        <v>11</v>
      </c>
      <c r="D122" s="211" t="s">
        <v>12</v>
      </c>
      <c r="E122" s="208">
        <v>42992</v>
      </c>
      <c r="F122" s="209">
        <v>32.893333499999997</v>
      </c>
      <c r="G122" s="210" t="s">
        <v>13</v>
      </c>
      <c r="H122" s="211" t="s">
        <v>14</v>
      </c>
      <c r="I122" s="210">
        <v>1</v>
      </c>
      <c r="J122" s="210" t="s">
        <v>15</v>
      </c>
      <c r="K122" s="210" t="s">
        <v>54</v>
      </c>
      <c r="L122" s="211" t="s">
        <v>60</v>
      </c>
      <c r="M122" s="211" t="s">
        <v>56</v>
      </c>
    </row>
    <row r="123" spans="1:13" x14ac:dyDescent="0.2">
      <c r="A123" s="211" t="s">
        <v>55</v>
      </c>
      <c r="B123" s="211" t="s">
        <v>58</v>
      </c>
      <c r="C123" s="211" t="s">
        <v>11</v>
      </c>
      <c r="D123" s="211" t="s">
        <v>12</v>
      </c>
      <c r="E123" s="208">
        <v>42992</v>
      </c>
      <c r="F123" s="221">
        <v>9354.6667003000002</v>
      </c>
      <c r="G123" s="210" t="s">
        <v>16</v>
      </c>
      <c r="H123" s="211" t="s">
        <v>14</v>
      </c>
      <c r="I123" s="210">
        <v>1</v>
      </c>
      <c r="J123" s="210" t="s">
        <v>15</v>
      </c>
      <c r="K123" s="210" t="s">
        <v>54</v>
      </c>
      <c r="L123" s="211" t="s">
        <v>60</v>
      </c>
      <c r="M123" s="211" t="s">
        <v>56</v>
      </c>
    </row>
    <row r="124" spans="1:13" x14ac:dyDescent="0.2">
      <c r="A124" s="211" t="s">
        <v>55</v>
      </c>
      <c r="B124" s="211" t="s">
        <v>58</v>
      </c>
      <c r="C124" s="211" t="s">
        <v>11</v>
      </c>
      <c r="D124" s="211" t="s">
        <v>12</v>
      </c>
      <c r="E124" s="208">
        <v>42992</v>
      </c>
      <c r="F124" s="209">
        <v>15.1</v>
      </c>
      <c r="G124" s="210" t="s">
        <v>13</v>
      </c>
      <c r="H124" s="211" t="s">
        <v>18</v>
      </c>
      <c r="I124" s="210">
        <v>1</v>
      </c>
      <c r="J124" s="210" t="s">
        <v>15</v>
      </c>
      <c r="K124" s="210" t="s">
        <v>54</v>
      </c>
      <c r="L124" s="211" t="s">
        <v>60</v>
      </c>
      <c r="M124" s="211" t="s">
        <v>17</v>
      </c>
    </row>
    <row r="125" spans="1:13" x14ac:dyDescent="0.2">
      <c r="A125" s="211" t="s">
        <v>55</v>
      </c>
      <c r="B125" s="211" t="s">
        <v>58</v>
      </c>
      <c r="C125" s="211" t="s">
        <v>11</v>
      </c>
      <c r="D125" s="211" t="s">
        <v>12</v>
      </c>
      <c r="E125" s="208">
        <v>42992</v>
      </c>
      <c r="F125" s="221">
        <v>4294.3494000000001</v>
      </c>
      <c r="G125" s="210" t="s">
        <v>16</v>
      </c>
      <c r="H125" s="211" t="s">
        <v>18</v>
      </c>
      <c r="I125" s="210">
        <v>1</v>
      </c>
      <c r="J125" s="210" t="s">
        <v>15</v>
      </c>
      <c r="K125" s="210" t="s">
        <v>54</v>
      </c>
      <c r="L125" s="211" t="s">
        <v>60</v>
      </c>
      <c r="M125" s="211" t="s">
        <v>17</v>
      </c>
    </row>
    <row r="126" spans="1:13" x14ac:dyDescent="0.2">
      <c r="A126" s="211" t="s">
        <v>55</v>
      </c>
      <c r="B126" s="211" t="s">
        <v>58</v>
      </c>
      <c r="C126" s="211" t="s">
        <v>11</v>
      </c>
      <c r="D126" s="211" t="s">
        <v>12</v>
      </c>
      <c r="E126" s="208">
        <v>42983</v>
      </c>
      <c r="F126" s="209">
        <v>43.372914600000001</v>
      </c>
      <c r="G126" s="210" t="s">
        <v>13</v>
      </c>
      <c r="H126" s="211" t="s">
        <v>14</v>
      </c>
      <c r="I126" s="210">
        <v>1</v>
      </c>
      <c r="J126" s="210" t="s">
        <v>15</v>
      </c>
      <c r="K126" s="210" t="s">
        <v>54</v>
      </c>
      <c r="L126" s="211" t="s">
        <v>60</v>
      </c>
      <c r="M126" s="211" t="s">
        <v>56</v>
      </c>
    </row>
    <row r="127" spans="1:13" x14ac:dyDescent="0.2">
      <c r="A127" s="211" t="s">
        <v>55</v>
      </c>
      <c r="B127" s="211" t="s">
        <v>58</v>
      </c>
      <c r="C127" s="211" t="s">
        <v>11</v>
      </c>
      <c r="D127" s="211" t="s">
        <v>12</v>
      </c>
      <c r="E127" s="208">
        <v>42983</v>
      </c>
      <c r="F127" s="221">
        <v>13818.0901185</v>
      </c>
      <c r="G127" s="210" t="s">
        <v>16</v>
      </c>
      <c r="H127" s="211" t="s">
        <v>14</v>
      </c>
      <c r="I127" s="210">
        <v>1</v>
      </c>
      <c r="J127" s="210" t="s">
        <v>15</v>
      </c>
      <c r="K127" s="210" t="s">
        <v>54</v>
      </c>
      <c r="L127" s="211" t="s">
        <v>60</v>
      </c>
      <c r="M127" s="211" t="s">
        <v>56</v>
      </c>
    </row>
    <row r="128" spans="1:13" x14ac:dyDescent="0.2">
      <c r="A128" s="211" t="s">
        <v>55</v>
      </c>
      <c r="B128" s="211" t="s">
        <v>58</v>
      </c>
      <c r="C128" s="211" t="s">
        <v>11</v>
      </c>
      <c r="D128" s="211" t="s">
        <v>12</v>
      </c>
      <c r="E128" s="208">
        <v>42983</v>
      </c>
      <c r="F128" s="209">
        <v>14.3</v>
      </c>
      <c r="G128" s="210" t="s">
        <v>13</v>
      </c>
      <c r="H128" s="211" t="s">
        <v>18</v>
      </c>
      <c r="I128" s="210">
        <v>1</v>
      </c>
      <c r="J128" s="210" t="s">
        <v>15</v>
      </c>
      <c r="K128" s="210" t="s">
        <v>54</v>
      </c>
      <c r="L128" s="211" t="s">
        <v>60</v>
      </c>
      <c r="M128" s="211" t="s">
        <v>17</v>
      </c>
    </row>
    <row r="129" spans="1:13" x14ac:dyDescent="0.2">
      <c r="A129" s="211" t="s">
        <v>55</v>
      </c>
      <c r="B129" s="211" t="s">
        <v>58</v>
      </c>
      <c r="C129" s="211" t="s">
        <v>11</v>
      </c>
      <c r="D129" s="211" t="s">
        <v>12</v>
      </c>
      <c r="E129" s="208">
        <v>42983</v>
      </c>
      <c r="F129" s="221">
        <v>4555.8083999999999</v>
      </c>
      <c r="G129" s="210" t="s">
        <v>16</v>
      </c>
      <c r="H129" s="211" t="s">
        <v>18</v>
      </c>
      <c r="I129" s="210">
        <v>1</v>
      </c>
      <c r="J129" s="210" t="s">
        <v>15</v>
      </c>
      <c r="K129" s="210" t="s">
        <v>54</v>
      </c>
      <c r="L129" s="211" t="s">
        <v>60</v>
      </c>
      <c r="M129" s="211" t="s">
        <v>17</v>
      </c>
    </row>
    <row r="130" spans="1:13" x14ac:dyDescent="0.2">
      <c r="A130" s="211" t="s">
        <v>55</v>
      </c>
      <c r="B130" s="211" t="s">
        <v>58</v>
      </c>
      <c r="C130" s="211" t="s">
        <v>11</v>
      </c>
      <c r="D130" s="211" t="s">
        <v>12</v>
      </c>
      <c r="E130" s="208">
        <v>42978</v>
      </c>
      <c r="F130" s="209">
        <v>49.566155899999998</v>
      </c>
      <c r="G130" s="210" t="s">
        <v>13</v>
      </c>
      <c r="H130" s="211" t="s">
        <v>14</v>
      </c>
      <c r="I130" s="210">
        <v>1</v>
      </c>
      <c r="J130" s="210" t="s">
        <v>15</v>
      </c>
      <c r="K130" s="210" t="s">
        <v>54</v>
      </c>
      <c r="L130" s="211" t="s">
        <v>60</v>
      </c>
      <c r="M130" s="211" t="s">
        <v>56</v>
      </c>
    </row>
    <row r="131" spans="1:13" x14ac:dyDescent="0.2">
      <c r="A131" s="211" t="s">
        <v>55</v>
      </c>
      <c r="B131" s="211" t="s">
        <v>58</v>
      </c>
      <c r="C131" s="211" t="s">
        <v>11</v>
      </c>
      <c r="D131" s="211" t="s">
        <v>12</v>
      </c>
      <c r="E131" s="208">
        <v>42978</v>
      </c>
      <c r="F131" s="221">
        <v>17196.6804233</v>
      </c>
      <c r="G131" s="210" t="s">
        <v>16</v>
      </c>
      <c r="H131" s="211" t="s">
        <v>14</v>
      </c>
      <c r="I131" s="210">
        <v>1</v>
      </c>
      <c r="J131" s="210" t="s">
        <v>15</v>
      </c>
      <c r="K131" s="210" t="s">
        <v>54</v>
      </c>
      <c r="L131" s="211" t="s">
        <v>60</v>
      </c>
      <c r="M131" s="211" t="s">
        <v>56</v>
      </c>
    </row>
    <row r="132" spans="1:13" x14ac:dyDescent="0.2">
      <c r="A132" s="211" t="s">
        <v>55</v>
      </c>
      <c r="B132" s="211" t="s">
        <v>58</v>
      </c>
      <c r="C132" s="211" t="s">
        <v>11</v>
      </c>
      <c r="D132" s="211" t="s">
        <v>12</v>
      </c>
      <c r="E132" s="208">
        <v>42978</v>
      </c>
      <c r="F132" s="209">
        <v>22.4</v>
      </c>
      <c r="G132" s="210" t="s">
        <v>13</v>
      </c>
      <c r="H132" s="211" t="s">
        <v>18</v>
      </c>
      <c r="I132" s="210">
        <v>1</v>
      </c>
      <c r="J132" s="210" t="s">
        <v>15</v>
      </c>
      <c r="K132" s="210" t="s">
        <v>54</v>
      </c>
      <c r="L132" s="211" t="s">
        <v>60</v>
      </c>
      <c r="M132" s="211" t="s">
        <v>17</v>
      </c>
    </row>
    <row r="133" spans="1:13" x14ac:dyDescent="0.2">
      <c r="A133" s="211" t="s">
        <v>55</v>
      </c>
      <c r="B133" s="211" t="s">
        <v>58</v>
      </c>
      <c r="C133" s="211" t="s">
        <v>11</v>
      </c>
      <c r="D133" s="211" t="s">
        <v>12</v>
      </c>
      <c r="E133" s="208">
        <v>42978</v>
      </c>
      <c r="F133" s="221">
        <v>7771.5456000000004</v>
      </c>
      <c r="G133" s="210" t="s">
        <v>16</v>
      </c>
      <c r="H133" s="211" t="s">
        <v>18</v>
      </c>
      <c r="I133" s="210">
        <v>1</v>
      </c>
      <c r="J133" s="210" t="s">
        <v>15</v>
      </c>
      <c r="K133" s="210" t="s">
        <v>54</v>
      </c>
      <c r="L133" s="211" t="s">
        <v>60</v>
      </c>
      <c r="M133" s="211" t="s">
        <v>17</v>
      </c>
    </row>
    <row r="134" spans="1:13" x14ac:dyDescent="0.2">
      <c r="A134" s="211" t="s">
        <v>55</v>
      </c>
      <c r="B134" s="211" t="s">
        <v>58</v>
      </c>
      <c r="C134" s="211" t="s">
        <v>11</v>
      </c>
      <c r="D134" s="211" t="s">
        <v>12</v>
      </c>
      <c r="E134" s="208">
        <v>42971</v>
      </c>
      <c r="F134" s="209">
        <v>47.030996299999998</v>
      </c>
      <c r="G134" s="210" t="s">
        <v>13</v>
      </c>
      <c r="H134" s="211" t="s">
        <v>14</v>
      </c>
      <c r="I134" s="210">
        <v>1</v>
      </c>
      <c r="J134" s="210" t="s">
        <v>15</v>
      </c>
      <c r="K134" s="210" t="s">
        <v>54</v>
      </c>
      <c r="L134" s="211" t="s">
        <v>60</v>
      </c>
      <c r="M134" s="211" t="s">
        <v>56</v>
      </c>
    </row>
    <row r="135" spans="1:13" x14ac:dyDescent="0.2">
      <c r="A135" s="211" t="s">
        <v>55</v>
      </c>
      <c r="B135" s="211" t="s">
        <v>58</v>
      </c>
      <c r="C135" s="211" t="s">
        <v>11</v>
      </c>
      <c r="D135" s="211" t="s">
        <v>12</v>
      </c>
      <c r="E135" s="208">
        <v>42971</v>
      </c>
      <c r="F135" s="221">
        <v>15611.092683700001</v>
      </c>
      <c r="G135" s="210" t="s">
        <v>16</v>
      </c>
      <c r="H135" s="211" t="s">
        <v>14</v>
      </c>
      <c r="I135" s="210">
        <v>1</v>
      </c>
      <c r="J135" s="210" t="s">
        <v>15</v>
      </c>
      <c r="K135" s="210" t="s">
        <v>54</v>
      </c>
      <c r="L135" s="211" t="s">
        <v>60</v>
      </c>
      <c r="M135" s="211" t="s">
        <v>56</v>
      </c>
    </row>
    <row r="136" spans="1:13" x14ac:dyDescent="0.2">
      <c r="A136" s="211" t="s">
        <v>55</v>
      </c>
      <c r="B136" s="211" t="s">
        <v>58</v>
      </c>
      <c r="C136" s="211" t="s">
        <v>11</v>
      </c>
      <c r="D136" s="211" t="s">
        <v>12</v>
      </c>
      <c r="E136" s="208">
        <v>42971</v>
      </c>
      <c r="F136" s="209">
        <v>14</v>
      </c>
      <c r="G136" s="210" t="s">
        <v>13</v>
      </c>
      <c r="H136" s="211" t="s">
        <v>18</v>
      </c>
      <c r="I136" s="210">
        <v>1</v>
      </c>
      <c r="J136" s="210" t="s">
        <v>15</v>
      </c>
      <c r="K136" s="210" t="s">
        <v>54</v>
      </c>
      <c r="L136" s="211" t="s">
        <v>60</v>
      </c>
      <c r="M136" s="211" t="s">
        <v>17</v>
      </c>
    </row>
    <row r="137" spans="1:13" x14ac:dyDescent="0.2">
      <c r="A137" s="211" t="s">
        <v>55</v>
      </c>
      <c r="B137" s="211" t="s">
        <v>58</v>
      </c>
      <c r="C137" s="211" t="s">
        <v>11</v>
      </c>
      <c r="D137" s="211" t="s">
        <v>12</v>
      </c>
      <c r="E137" s="208">
        <v>42971</v>
      </c>
      <c r="F137" s="221">
        <v>4647.0479999999998</v>
      </c>
      <c r="G137" s="210" t="s">
        <v>16</v>
      </c>
      <c r="H137" s="211" t="s">
        <v>18</v>
      </c>
      <c r="I137" s="210">
        <v>1</v>
      </c>
      <c r="J137" s="210" t="s">
        <v>15</v>
      </c>
      <c r="K137" s="210" t="s">
        <v>54</v>
      </c>
      <c r="L137" s="211" t="s">
        <v>60</v>
      </c>
      <c r="M137" s="211" t="s">
        <v>17</v>
      </c>
    </row>
    <row r="138" spans="1:13" x14ac:dyDescent="0.2">
      <c r="A138" s="211" t="s">
        <v>55</v>
      </c>
      <c r="B138" s="211" t="s">
        <v>58</v>
      </c>
      <c r="C138" s="211" t="s">
        <v>11</v>
      </c>
      <c r="D138" s="211" t="s">
        <v>12</v>
      </c>
      <c r="E138" s="208">
        <v>42964</v>
      </c>
      <c r="F138" s="209">
        <v>46.559444200000002</v>
      </c>
      <c r="G138" s="210" t="s">
        <v>13</v>
      </c>
      <c r="H138" s="211" t="s">
        <v>14</v>
      </c>
      <c r="I138" s="210">
        <v>1</v>
      </c>
      <c r="J138" s="210" t="s">
        <v>15</v>
      </c>
      <c r="K138" s="210" t="s">
        <v>54</v>
      </c>
      <c r="L138" s="211" t="s">
        <v>60</v>
      </c>
      <c r="M138" s="211" t="s">
        <v>56</v>
      </c>
    </row>
    <row r="139" spans="1:13" x14ac:dyDescent="0.2">
      <c r="A139" s="211" t="s">
        <v>55</v>
      </c>
      <c r="B139" s="211" t="s">
        <v>58</v>
      </c>
      <c r="C139" s="211" t="s">
        <v>11</v>
      </c>
      <c r="D139" s="211" t="s">
        <v>12</v>
      </c>
      <c r="E139" s="208">
        <v>42964</v>
      </c>
      <c r="F139" s="221">
        <v>17279.606527399999</v>
      </c>
      <c r="G139" s="210" t="s">
        <v>16</v>
      </c>
      <c r="H139" s="211" t="s">
        <v>14</v>
      </c>
      <c r="I139" s="210">
        <v>1</v>
      </c>
      <c r="J139" s="210" t="s">
        <v>15</v>
      </c>
      <c r="K139" s="210" t="s">
        <v>54</v>
      </c>
      <c r="L139" s="211" t="s">
        <v>60</v>
      </c>
      <c r="M139" s="211" t="s">
        <v>56</v>
      </c>
    </row>
    <row r="140" spans="1:13" x14ac:dyDescent="0.2">
      <c r="A140" s="211" t="s">
        <v>55</v>
      </c>
      <c r="B140" s="211" t="s">
        <v>58</v>
      </c>
      <c r="C140" s="211" t="s">
        <v>11</v>
      </c>
      <c r="D140" s="211" t="s">
        <v>12</v>
      </c>
      <c r="E140" s="208">
        <v>42964</v>
      </c>
      <c r="F140" s="209">
        <v>18.899999999999999</v>
      </c>
      <c r="G140" s="210" t="s">
        <v>13</v>
      </c>
      <c r="H140" s="211" t="s">
        <v>18</v>
      </c>
      <c r="I140" s="210">
        <v>1</v>
      </c>
      <c r="J140" s="210" t="s">
        <v>15</v>
      </c>
      <c r="K140" s="210" t="s">
        <v>54</v>
      </c>
      <c r="L140" s="211" t="s">
        <v>60</v>
      </c>
      <c r="M140" s="211" t="s">
        <v>17</v>
      </c>
    </row>
    <row r="141" spans="1:13" x14ac:dyDescent="0.2">
      <c r="A141" s="211" t="s">
        <v>55</v>
      </c>
      <c r="B141" s="211" t="s">
        <v>58</v>
      </c>
      <c r="C141" s="211" t="s">
        <v>11</v>
      </c>
      <c r="D141" s="211" t="s">
        <v>12</v>
      </c>
      <c r="E141" s="208">
        <v>42964</v>
      </c>
      <c r="F141" s="221">
        <v>7014.357</v>
      </c>
      <c r="G141" s="210" t="s">
        <v>16</v>
      </c>
      <c r="H141" s="211" t="s">
        <v>18</v>
      </c>
      <c r="I141" s="210">
        <v>1</v>
      </c>
      <c r="J141" s="210" t="s">
        <v>15</v>
      </c>
      <c r="K141" s="210" t="s">
        <v>54</v>
      </c>
      <c r="L141" s="211" t="s">
        <v>60</v>
      </c>
      <c r="M141" s="211" t="s">
        <v>17</v>
      </c>
    </row>
    <row r="142" spans="1:13" x14ac:dyDescent="0.2">
      <c r="A142" s="211" t="s">
        <v>55</v>
      </c>
      <c r="B142" s="211" t="s">
        <v>58</v>
      </c>
      <c r="C142" s="211" t="s">
        <v>11</v>
      </c>
      <c r="D142" s="211" t="s">
        <v>12</v>
      </c>
      <c r="E142" s="208">
        <v>42955</v>
      </c>
      <c r="F142" s="209">
        <v>30.873529900000001</v>
      </c>
      <c r="G142" s="210" t="s">
        <v>13</v>
      </c>
      <c r="H142" s="211" t="s">
        <v>14</v>
      </c>
      <c r="I142" s="210">
        <v>1</v>
      </c>
      <c r="J142" s="210" t="s">
        <v>15</v>
      </c>
      <c r="K142" s="210" t="s">
        <v>54</v>
      </c>
      <c r="L142" s="211" t="s">
        <v>60</v>
      </c>
      <c r="M142" s="211" t="s">
        <v>56</v>
      </c>
    </row>
    <row r="143" spans="1:13" x14ac:dyDescent="0.2">
      <c r="A143" s="211" t="s">
        <v>55</v>
      </c>
      <c r="B143" s="211" t="s">
        <v>58</v>
      </c>
      <c r="C143" s="211" t="s">
        <v>11</v>
      </c>
      <c r="D143" s="211" t="s">
        <v>12</v>
      </c>
      <c r="E143" s="208">
        <v>42955</v>
      </c>
      <c r="F143" s="221">
        <v>10891.6256469</v>
      </c>
      <c r="G143" s="210" t="s">
        <v>16</v>
      </c>
      <c r="H143" s="211" t="s">
        <v>14</v>
      </c>
      <c r="I143" s="210">
        <v>1</v>
      </c>
      <c r="J143" s="210" t="s">
        <v>15</v>
      </c>
      <c r="K143" s="210" t="s">
        <v>54</v>
      </c>
      <c r="L143" s="211" t="s">
        <v>60</v>
      </c>
      <c r="M143" s="211" t="s">
        <v>56</v>
      </c>
    </row>
    <row r="144" spans="1:13" x14ac:dyDescent="0.2">
      <c r="A144" s="211" t="s">
        <v>55</v>
      </c>
      <c r="B144" s="211" t="s">
        <v>58</v>
      </c>
      <c r="C144" s="211" t="s">
        <v>11</v>
      </c>
      <c r="D144" s="211" t="s">
        <v>12</v>
      </c>
      <c r="E144" s="208">
        <v>42955</v>
      </c>
      <c r="F144" s="209">
        <v>19.100000000000001</v>
      </c>
      <c r="G144" s="210" t="s">
        <v>13</v>
      </c>
      <c r="H144" s="211" t="s">
        <v>18</v>
      </c>
      <c r="I144" s="210">
        <v>1</v>
      </c>
      <c r="J144" s="210" t="s">
        <v>15</v>
      </c>
      <c r="K144" s="210" t="s">
        <v>54</v>
      </c>
      <c r="L144" s="211" t="s">
        <v>60</v>
      </c>
      <c r="M144" s="211" t="s">
        <v>17</v>
      </c>
    </row>
    <row r="145" spans="1:13" x14ac:dyDescent="0.2">
      <c r="A145" s="211" t="s">
        <v>55</v>
      </c>
      <c r="B145" s="211" t="s">
        <v>58</v>
      </c>
      <c r="C145" s="211" t="s">
        <v>11</v>
      </c>
      <c r="D145" s="211" t="s">
        <v>12</v>
      </c>
      <c r="E145" s="208">
        <v>42955</v>
      </c>
      <c r="F145" s="221">
        <v>6738.1361999999999</v>
      </c>
      <c r="G145" s="210" t="s">
        <v>16</v>
      </c>
      <c r="H145" s="211" t="s">
        <v>18</v>
      </c>
      <c r="I145" s="210">
        <v>1</v>
      </c>
      <c r="J145" s="210" t="s">
        <v>15</v>
      </c>
      <c r="K145" s="210" t="s">
        <v>54</v>
      </c>
      <c r="L145" s="211" t="s">
        <v>60</v>
      </c>
      <c r="M145" s="211" t="s">
        <v>17</v>
      </c>
    </row>
    <row r="146" spans="1:13" x14ac:dyDescent="0.2">
      <c r="A146" s="211" t="s">
        <v>55</v>
      </c>
      <c r="B146" s="211" t="s">
        <v>58</v>
      </c>
      <c r="C146" s="211" t="s">
        <v>11</v>
      </c>
      <c r="D146" s="211" t="s">
        <v>12</v>
      </c>
      <c r="E146" s="208">
        <v>42948</v>
      </c>
      <c r="F146" s="222">
        <v>75.313819899999999</v>
      </c>
      <c r="G146" s="210" t="s">
        <v>13</v>
      </c>
      <c r="H146" s="211" t="s">
        <v>14</v>
      </c>
      <c r="I146" s="210">
        <v>1</v>
      </c>
      <c r="J146" s="210" t="s">
        <v>15</v>
      </c>
      <c r="K146" s="210" t="s">
        <v>54</v>
      </c>
      <c r="L146" s="211" t="s">
        <v>60</v>
      </c>
      <c r="M146" s="211" t="s">
        <v>56</v>
      </c>
    </row>
    <row r="147" spans="1:13" x14ac:dyDescent="0.2">
      <c r="A147" s="211" t="s">
        <v>55</v>
      </c>
      <c r="B147" s="211" t="s">
        <v>58</v>
      </c>
      <c r="C147" s="211" t="s">
        <v>11</v>
      </c>
      <c r="D147" s="211" t="s">
        <v>12</v>
      </c>
      <c r="E147" s="208">
        <v>42948</v>
      </c>
      <c r="F147" s="223">
        <v>27888.406283600001</v>
      </c>
      <c r="G147" s="224" t="s">
        <v>16</v>
      </c>
      <c r="H147" s="225" t="s">
        <v>14</v>
      </c>
      <c r="I147" s="210">
        <v>1</v>
      </c>
      <c r="J147" s="210" t="s">
        <v>15</v>
      </c>
      <c r="K147" s="210" t="s">
        <v>54</v>
      </c>
      <c r="L147" s="211" t="s">
        <v>60</v>
      </c>
      <c r="M147" s="211" t="s">
        <v>56</v>
      </c>
    </row>
    <row r="148" spans="1:13" x14ac:dyDescent="0.2">
      <c r="A148" s="211" t="s">
        <v>55</v>
      </c>
      <c r="B148" s="211" t="s">
        <v>58</v>
      </c>
      <c r="C148" s="211" t="s">
        <v>11</v>
      </c>
      <c r="D148" s="211" t="s">
        <v>12</v>
      </c>
      <c r="E148" s="208">
        <v>42948</v>
      </c>
      <c r="F148" s="222">
        <v>21.5</v>
      </c>
      <c r="G148" s="210" t="s">
        <v>13</v>
      </c>
      <c r="H148" s="211" t="s">
        <v>18</v>
      </c>
      <c r="I148" s="210">
        <v>1</v>
      </c>
      <c r="J148" s="210" t="s">
        <v>15</v>
      </c>
      <c r="K148" s="210" t="s">
        <v>54</v>
      </c>
      <c r="L148" s="211" t="s">
        <v>60</v>
      </c>
      <c r="M148" s="211" t="s">
        <v>17</v>
      </c>
    </row>
    <row r="149" spans="1:13" x14ac:dyDescent="0.2">
      <c r="A149" s="211" t="s">
        <v>55</v>
      </c>
      <c r="B149" s="211" t="s">
        <v>58</v>
      </c>
      <c r="C149" s="211" t="s">
        <v>11</v>
      </c>
      <c r="D149" s="211" t="s">
        <v>12</v>
      </c>
      <c r="E149" s="208">
        <v>42948</v>
      </c>
      <c r="F149" s="223">
        <v>7961.3639999999996</v>
      </c>
      <c r="G149" s="210" t="s">
        <v>16</v>
      </c>
      <c r="H149" s="211" t="s">
        <v>18</v>
      </c>
      <c r="I149" s="210">
        <v>1</v>
      </c>
      <c r="J149" s="210" t="s">
        <v>15</v>
      </c>
      <c r="K149" s="210" t="s">
        <v>54</v>
      </c>
      <c r="L149" s="211" t="s">
        <v>60</v>
      </c>
      <c r="M149" s="211" t="s">
        <v>17</v>
      </c>
    </row>
    <row r="150" spans="1:13" x14ac:dyDescent="0.2">
      <c r="A150" s="211" t="s">
        <v>55</v>
      </c>
      <c r="B150" s="211" t="s">
        <v>58</v>
      </c>
      <c r="C150" s="211" t="s">
        <v>11</v>
      </c>
      <c r="D150" s="211" t="s">
        <v>12</v>
      </c>
      <c r="E150" s="208">
        <v>42941</v>
      </c>
      <c r="F150" s="209">
        <v>42.5348781</v>
      </c>
      <c r="G150" s="210" t="s">
        <v>13</v>
      </c>
      <c r="H150" s="211" t="s">
        <v>14</v>
      </c>
      <c r="I150" s="210">
        <v>1</v>
      </c>
      <c r="J150" s="210" t="s">
        <v>15</v>
      </c>
      <c r="K150" s="210" t="s">
        <v>54</v>
      </c>
      <c r="L150" s="211" t="s">
        <v>60</v>
      </c>
      <c r="M150" s="211" t="s">
        <v>56</v>
      </c>
    </row>
    <row r="151" spans="1:13" x14ac:dyDescent="0.2">
      <c r="A151" s="211" t="s">
        <v>55</v>
      </c>
      <c r="B151" s="211" t="s">
        <v>58</v>
      </c>
      <c r="C151" s="211" t="s">
        <v>11</v>
      </c>
      <c r="D151" s="211" t="s">
        <v>12</v>
      </c>
      <c r="E151" s="208">
        <v>42941</v>
      </c>
      <c r="F151" s="221">
        <v>16158.447241100001</v>
      </c>
      <c r="G151" s="210" t="s">
        <v>16</v>
      </c>
      <c r="H151" s="211" t="s">
        <v>14</v>
      </c>
      <c r="I151" s="210">
        <v>1</v>
      </c>
      <c r="J151" s="210" t="s">
        <v>15</v>
      </c>
      <c r="K151" s="210" t="s">
        <v>54</v>
      </c>
      <c r="L151" s="211" t="s">
        <v>60</v>
      </c>
      <c r="M151" s="211" t="s">
        <v>56</v>
      </c>
    </row>
    <row r="152" spans="1:13" x14ac:dyDescent="0.2">
      <c r="A152" s="211" t="s">
        <v>55</v>
      </c>
      <c r="B152" s="211" t="s">
        <v>58</v>
      </c>
      <c r="C152" s="211" t="s">
        <v>11</v>
      </c>
      <c r="D152" s="211" t="s">
        <v>12</v>
      </c>
      <c r="E152" s="208">
        <v>42941</v>
      </c>
      <c r="F152" s="209">
        <v>12.1</v>
      </c>
      <c r="G152" s="210" t="s">
        <v>13</v>
      </c>
      <c r="H152" s="211" t="s">
        <v>18</v>
      </c>
      <c r="I152" s="210">
        <v>1</v>
      </c>
      <c r="J152" s="210" t="s">
        <v>15</v>
      </c>
      <c r="K152" s="210" t="s">
        <v>54</v>
      </c>
      <c r="L152" s="211" t="s">
        <v>60</v>
      </c>
      <c r="M152" s="211" t="s">
        <v>17</v>
      </c>
    </row>
    <row r="153" spans="1:13" x14ac:dyDescent="0.2">
      <c r="A153" s="211" t="s">
        <v>55</v>
      </c>
      <c r="B153" s="211" t="s">
        <v>58</v>
      </c>
      <c r="C153" s="211" t="s">
        <v>11</v>
      </c>
      <c r="D153" s="211" t="s">
        <v>12</v>
      </c>
      <c r="E153" s="208">
        <v>42941</v>
      </c>
      <c r="F153" s="221">
        <v>4702.5924000000005</v>
      </c>
      <c r="G153" s="210" t="s">
        <v>16</v>
      </c>
      <c r="H153" s="211" t="s">
        <v>18</v>
      </c>
      <c r="I153" s="210">
        <v>1</v>
      </c>
      <c r="J153" s="210" t="s">
        <v>15</v>
      </c>
      <c r="K153" s="210" t="s">
        <v>54</v>
      </c>
      <c r="L153" s="211" t="s">
        <v>60</v>
      </c>
      <c r="M153" s="211" t="s">
        <v>17</v>
      </c>
    </row>
    <row r="154" spans="1:13" x14ac:dyDescent="0.2">
      <c r="A154" s="211" t="s">
        <v>55</v>
      </c>
      <c r="B154" s="211" t="s">
        <v>58</v>
      </c>
      <c r="C154" s="211" t="s">
        <v>11</v>
      </c>
      <c r="D154" s="211" t="s">
        <v>12</v>
      </c>
      <c r="E154" s="208">
        <v>42934</v>
      </c>
      <c r="F154" s="209">
        <v>38.5152097</v>
      </c>
      <c r="G154" s="210" t="s">
        <v>13</v>
      </c>
      <c r="H154" s="211" t="s">
        <v>14</v>
      </c>
      <c r="I154" s="210">
        <v>1</v>
      </c>
      <c r="J154" s="210" t="s">
        <v>15</v>
      </c>
      <c r="K154" s="210" t="s">
        <v>54</v>
      </c>
      <c r="L154" s="211" t="s">
        <v>60</v>
      </c>
      <c r="M154" s="211" t="s">
        <v>56</v>
      </c>
    </row>
    <row r="155" spans="1:13" x14ac:dyDescent="0.2">
      <c r="A155" s="211" t="s">
        <v>55</v>
      </c>
      <c r="B155" s="211" t="s">
        <v>58</v>
      </c>
      <c r="C155" s="211" t="s">
        <v>11</v>
      </c>
      <c r="D155" s="211" t="s">
        <v>12</v>
      </c>
      <c r="E155" s="208">
        <v>42934</v>
      </c>
      <c r="F155" s="221">
        <v>15325.2558832</v>
      </c>
      <c r="G155" s="210" t="s">
        <v>16</v>
      </c>
      <c r="H155" s="211" t="s">
        <v>14</v>
      </c>
      <c r="I155" s="210">
        <v>1</v>
      </c>
      <c r="J155" s="210" t="s">
        <v>15</v>
      </c>
      <c r="K155" s="210" t="s">
        <v>54</v>
      </c>
      <c r="L155" s="211" t="s">
        <v>60</v>
      </c>
      <c r="M155" s="211" t="s">
        <v>56</v>
      </c>
    </row>
    <row r="156" spans="1:13" x14ac:dyDescent="0.2">
      <c r="A156" s="211" t="s">
        <v>55</v>
      </c>
      <c r="B156" s="211" t="s">
        <v>58</v>
      </c>
      <c r="C156" s="211" t="s">
        <v>11</v>
      </c>
      <c r="D156" s="211" t="s">
        <v>12</v>
      </c>
      <c r="E156" s="208">
        <v>42934</v>
      </c>
      <c r="F156" s="209">
        <v>16</v>
      </c>
      <c r="G156" s="210" t="s">
        <v>13</v>
      </c>
      <c r="H156" s="211" t="s">
        <v>18</v>
      </c>
      <c r="I156" s="210">
        <v>1</v>
      </c>
      <c r="J156" s="210" t="s">
        <v>15</v>
      </c>
      <c r="K156" s="210" t="s">
        <v>54</v>
      </c>
      <c r="L156" s="211" t="s">
        <v>60</v>
      </c>
      <c r="M156" s="211" t="s">
        <v>17</v>
      </c>
    </row>
    <row r="157" spans="1:13" x14ac:dyDescent="0.2">
      <c r="A157" s="211" t="s">
        <v>55</v>
      </c>
      <c r="B157" s="211" t="s">
        <v>58</v>
      </c>
      <c r="C157" s="211" t="s">
        <v>11</v>
      </c>
      <c r="D157" s="211" t="s">
        <v>12</v>
      </c>
      <c r="E157" s="208">
        <v>42934</v>
      </c>
      <c r="F157" s="221">
        <v>6565.2479999999996</v>
      </c>
      <c r="G157" s="210" t="s">
        <v>16</v>
      </c>
      <c r="H157" s="211" t="s">
        <v>18</v>
      </c>
      <c r="I157" s="210">
        <v>1</v>
      </c>
      <c r="J157" s="210" t="s">
        <v>15</v>
      </c>
      <c r="K157" s="210" t="s">
        <v>54</v>
      </c>
      <c r="L157" s="211" t="s">
        <v>60</v>
      </c>
      <c r="M157" s="211" t="s">
        <v>17</v>
      </c>
    </row>
    <row r="158" spans="1:13" x14ac:dyDescent="0.2">
      <c r="A158" s="211" t="s">
        <v>55</v>
      </c>
      <c r="B158" s="211" t="s">
        <v>58</v>
      </c>
      <c r="C158" s="211" t="s">
        <v>11</v>
      </c>
      <c r="D158" s="211" t="s">
        <v>12</v>
      </c>
      <c r="E158" s="208">
        <v>42928</v>
      </c>
      <c r="F158" s="209">
        <v>42.072286800000001</v>
      </c>
      <c r="G158" s="210" t="s">
        <v>13</v>
      </c>
      <c r="H158" s="211" t="s">
        <v>14</v>
      </c>
      <c r="I158" s="210">
        <v>1</v>
      </c>
      <c r="J158" s="210" t="s">
        <v>15</v>
      </c>
      <c r="K158" s="210" t="s">
        <v>54</v>
      </c>
      <c r="L158" s="211" t="s">
        <v>60</v>
      </c>
      <c r="M158" s="211" t="s">
        <v>56</v>
      </c>
    </row>
    <row r="159" spans="1:13" x14ac:dyDescent="0.2">
      <c r="A159" s="211" t="s">
        <v>55</v>
      </c>
      <c r="B159" s="211" t="s">
        <v>58</v>
      </c>
      <c r="C159" s="211" t="s">
        <v>11</v>
      </c>
      <c r="D159" s="211" t="s">
        <v>12</v>
      </c>
      <c r="E159" s="208">
        <v>42928</v>
      </c>
      <c r="F159" s="221">
        <v>17424.843430000001</v>
      </c>
      <c r="G159" s="210" t="s">
        <v>16</v>
      </c>
      <c r="H159" s="211" t="s">
        <v>14</v>
      </c>
      <c r="I159" s="210">
        <v>1</v>
      </c>
      <c r="J159" s="210" t="s">
        <v>15</v>
      </c>
      <c r="K159" s="210" t="s">
        <v>54</v>
      </c>
      <c r="L159" s="211" t="s">
        <v>60</v>
      </c>
      <c r="M159" s="211" t="s">
        <v>56</v>
      </c>
    </row>
    <row r="160" spans="1:13" x14ac:dyDescent="0.2">
      <c r="A160" s="211" t="s">
        <v>55</v>
      </c>
      <c r="B160" s="211" t="s">
        <v>58</v>
      </c>
      <c r="C160" s="211" t="s">
        <v>11</v>
      </c>
      <c r="D160" s="211" t="s">
        <v>12</v>
      </c>
      <c r="E160" s="208">
        <v>42928</v>
      </c>
      <c r="F160" s="209">
        <v>6.9</v>
      </c>
      <c r="G160" s="210" t="s">
        <v>13</v>
      </c>
      <c r="H160" s="211" t="s">
        <v>18</v>
      </c>
      <c r="I160" s="210">
        <v>1</v>
      </c>
      <c r="J160" s="210" t="s">
        <v>15</v>
      </c>
      <c r="K160" s="210" t="s">
        <v>54</v>
      </c>
      <c r="L160" s="211" t="s">
        <v>60</v>
      </c>
      <c r="M160" s="211" t="s">
        <v>17</v>
      </c>
    </row>
    <row r="161" spans="1:13" x14ac:dyDescent="0.2">
      <c r="A161" s="211" t="s">
        <v>55</v>
      </c>
      <c r="B161" s="211" t="s">
        <v>58</v>
      </c>
      <c r="C161" s="211" t="s">
        <v>11</v>
      </c>
      <c r="D161" s="211" t="s">
        <v>12</v>
      </c>
      <c r="E161" s="208">
        <v>42928</v>
      </c>
      <c r="F161" s="221">
        <v>2883.0545999999999</v>
      </c>
      <c r="G161" s="210" t="s">
        <v>16</v>
      </c>
      <c r="H161" s="211" t="s">
        <v>18</v>
      </c>
      <c r="I161" s="210">
        <v>1</v>
      </c>
      <c r="J161" s="210" t="s">
        <v>15</v>
      </c>
      <c r="K161" s="210" t="s">
        <v>54</v>
      </c>
      <c r="L161" s="211" t="s">
        <v>60</v>
      </c>
      <c r="M161" s="211" t="s">
        <v>17</v>
      </c>
    </row>
    <row r="162" spans="1:13" x14ac:dyDescent="0.2">
      <c r="A162" s="211" t="s">
        <v>55</v>
      </c>
      <c r="B162" s="211" t="s">
        <v>58</v>
      </c>
      <c r="C162" s="211" t="s">
        <v>19</v>
      </c>
      <c r="D162" s="211" t="s">
        <v>12</v>
      </c>
      <c r="E162" s="208">
        <v>43220</v>
      </c>
      <c r="F162" s="222">
        <v>25.012986300000001</v>
      </c>
      <c r="G162" s="210" t="s">
        <v>13</v>
      </c>
      <c r="H162" s="211" t="s">
        <v>14</v>
      </c>
      <c r="I162" s="210">
        <v>1</v>
      </c>
      <c r="J162" s="210" t="s">
        <v>15</v>
      </c>
      <c r="K162" s="210" t="s">
        <v>54</v>
      </c>
      <c r="L162" s="211" t="s">
        <v>60</v>
      </c>
      <c r="M162" s="211" t="s">
        <v>56</v>
      </c>
    </row>
    <row r="163" spans="1:13" x14ac:dyDescent="0.2">
      <c r="A163" s="211" t="s">
        <v>55</v>
      </c>
      <c r="B163" s="211" t="s">
        <v>58</v>
      </c>
      <c r="C163" s="211" t="s">
        <v>19</v>
      </c>
      <c r="D163" s="211" t="s">
        <v>12</v>
      </c>
      <c r="E163" s="208">
        <v>43220</v>
      </c>
      <c r="F163" s="223">
        <v>10384.521498399999</v>
      </c>
      <c r="G163" s="224" t="s">
        <v>16</v>
      </c>
      <c r="H163" s="225" t="s">
        <v>14</v>
      </c>
      <c r="I163" s="210">
        <v>1</v>
      </c>
      <c r="J163" s="210" t="s">
        <v>15</v>
      </c>
      <c r="K163" s="210" t="s">
        <v>54</v>
      </c>
      <c r="L163" s="211" t="s">
        <v>60</v>
      </c>
      <c r="M163" s="211" t="s">
        <v>56</v>
      </c>
    </row>
    <row r="164" spans="1:13" x14ac:dyDescent="0.2">
      <c r="A164" s="211" t="s">
        <v>55</v>
      </c>
      <c r="B164" s="211" t="s">
        <v>58</v>
      </c>
      <c r="C164" s="211" t="s">
        <v>19</v>
      </c>
      <c r="D164" s="211" t="s">
        <v>12</v>
      </c>
      <c r="E164" s="208">
        <v>43220</v>
      </c>
      <c r="F164" s="222">
        <v>10.1</v>
      </c>
      <c r="G164" s="210" t="s">
        <v>13</v>
      </c>
      <c r="H164" s="211" t="s">
        <v>18</v>
      </c>
      <c r="I164" s="210">
        <v>117</v>
      </c>
      <c r="J164" s="210" t="s">
        <v>15</v>
      </c>
      <c r="K164" s="210" t="s">
        <v>54</v>
      </c>
      <c r="L164" s="211" t="s">
        <v>59</v>
      </c>
      <c r="M164" s="211" t="s">
        <v>17</v>
      </c>
    </row>
    <row r="165" spans="1:13" x14ac:dyDescent="0.2">
      <c r="A165" s="211" t="s">
        <v>55</v>
      </c>
      <c r="B165" s="211" t="s">
        <v>58</v>
      </c>
      <c r="C165" s="211" t="s">
        <v>19</v>
      </c>
      <c r="D165" s="211" t="s">
        <v>12</v>
      </c>
      <c r="E165" s="208">
        <v>43220</v>
      </c>
      <c r="F165" s="223">
        <v>4272.3484799999997</v>
      </c>
      <c r="G165" s="210" t="s">
        <v>16</v>
      </c>
      <c r="H165" s="211" t="s">
        <v>18</v>
      </c>
      <c r="I165" s="210">
        <v>117</v>
      </c>
      <c r="J165" s="210" t="s">
        <v>15</v>
      </c>
      <c r="K165" s="210" t="s">
        <v>54</v>
      </c>
      <c r="L165" s="211" t="s">
        <v>59</v>
      </c>
      <c r="M165" s="211" t="s">
        <v>17</v>
      </c>
    </row>
    <row r="166" spans="1:13" x14ac:dyDescent="0.2">
      <c r="A166" s="211" t="s">
        <v>55</v>
      </c>
      <c r="B166" s="211" t="s">
        <v>58</v>
      </c>
      <c r="C166" s="211" t="s">
        <v>19</v>
      </c>
      <c r="D166" s="211" t="s">
        <v>12</v>
      </c>
      <c r="E166" s="208">
        <v>43219</v>
      </c>
      <c r="F166" s="209">
        <v>16.6900181</v>
      </c>
      <c r="G166" s="210" t="s">
        <v>13</v>
      </c>
      <c r="H166" s="211" t="s">
        <v>14</v>
      </c>
      <c r="I166" s="210">
        <v>1</v>
      </c>
      <c r="J166" s="210" t="s">
        <v>15</v>
      </c>
      <c r="K166" s="210" t="s">
        <v>54</v>
      </c>
      <c r="L166" s="211" t="s">
        <v>60</v>
      </c>
      <c r="M166" s="211" t="s">
        <v>56</v>
      </c>
    </row>
    <row r="167" spans="1:13" x14ac:dyDescent="0.2">
      <c r="A167" s="211" t="s">
        <v>55</v>
      </c>
      <c r="B167" s="211" t="s">
        <v>58</v>
      </c>
      <c r="C167" s="211" t="s">
        <v>19</v>
      </c>
      <c r="D167" s="211" t="s">
        <v>12</v>
      </c>
      <c r="E167" s="208">
        <v>43219</v>
      </c>
      <c r="F167" s="221">
        <v>7256.2223704999997</v>
      </c>
      <c r="G167" s="210" t="s">
        <v>16</v>
      </c>
      <c r="H167" s="211" t="s">
        <v>14</v>
      </c>
      <c r="I167" s="210">
        <v>1</v>
      </c>
      <c r="J167" s="210" t="s">
        <v>15</v>
      </c>
      <c r="K167" s="210" t="s">
        <v>54</v>
      </c>
      <c r="L167" s="211" t="s">
        <v>60</v>
      </c>
      <c r="M167" s="211" t="s">
        <v>56</v>
      </c>
    </row>
    <row r="168" spans="1:13" x14ac:dyDescent="0.2">
      <c r="A168" s="211" t="s">
        <v>55</v>
      </c>
      <c r="B168" s="211" t="s">
        <v>58</v>
      </c>
      <c r="C168" s="211" t="s">
        <v>19</v>
      </c>
      <c r="D168" s="211" t="s">
        <v>12</v>
      </c>
      <c r="E168" s="208">
        <v>43219</v>
      </c>
      <c r="F168" s="209">
        <v>9.5299999999999994</v>
      </c>
      <c r="G168" s="210" t="s">
        <v>13</v>
      </c>
      <c r="H168" s="211" t="s">
        <v>18</v>
      </c>
      <c r="I168" s="210">
        <v>117</v>
      </c>
      <c r="J168" s="210" t="s">
        <v>15</v>
      </c>
      <c r="K168" s="210" t="s">
        <v>54</v>
      </c>
      <c r="L168" s="211" t="s">
        <v>59</v>
      </c>
      <c r="M168" s="211" t="s">
        <v>17</v>
      </c>
    </row>
    <row r="169" spans="1:13" x14ac:dyDescent="0.2">
      <c r="A169" s="211" t="s">
        <v>55</v>
      </c>
      <c r="B169" s="211" t="s">
        <v>58</v>
      </c>
      <c r="C169" s="211" t="s">
        <v>19</v>
      </c>
      <c r="D169" s="211" t="s">
        <v>12</v>
      </c>
      <c r="E169" s="208">
        <v>43219</v>
      </c>
      <c r="F169" s="221">
        <v>4143.3028260000001</v>
      </c>
      <c r="G169" s="210" t="s">
        <v>16</v>
      </c>
      <c r="H169" s="211" t="s">
        <v>18</v>
      </c>
      <c r="I169" s="210">
        <v>117</v>
      </c>
      <c r="J169" s="210" t="s">
        <v>15</v>
      </c>
      <c r="K169" s="210" t="s">
        <v>54</v>
      </c>
      <c r="L169" s="211" t="s">
        <v>59</v>
      </c>
      <c r="M169" s="211" t="s">
        <v>17</v>
      </c>
    </row>
    <row r="170" spans="1:13" x14ac:dyDescent="0.2">
      <c r="A170" s="211" t="s">
        <v>55</v>
      </c>
      <c r="B170" s="211" t="s">
        <v>58</v>
      </c>
      <c r="C170" s="211" t="s">
        <v>19</v>
      </c>
      <c r="D170" s="211" t="s">
        <v>12</v>
      </c>
      <c r="E170" s="208">
        <v>43218</v>
      </c>
      <c r="F170" s="209">
        <v>19.074849700000001</v>
      </c>
      <c r="G170" s="210" t="s">
        <v>13</v>
      </c>
      <c r="H170" s="211" t="s">
        <v>14</v>
      </c>
      <c r="I170" s="210">
        <v>1</v>
      </c>
      <c r="J170" s="210" t="s">
        <v>15</v>
      </c>
      <c r="K170" s="210" t="s">
        <v>54</v>
      </c>
      <c r="L170" s="211" t="s">
        <v>60</v>
      </c>
      <c r="M170" s="211" t="s">
        <v>56</v>
      </c>
    </row>
    <row r="171" spans="1:13" x14ac:dyDescent="0.2">
      <c r="A171" s="211" t="s">
        <v>55</v>
      </c>
      <c r="B171" s="211" t="s">
        <v>58</v>
      </c>
      <c r="C171" s="211" t="s">
        <v>19</v>
      </c>
      <c r="D171" s="211" t="s">
        <v>12</v>
      </c>
      <c r="E171" s="208">
        <v>43218</v>
      </c>
      <c r="F171" s="221">
        <v>8308.9702233999997</v>
      </c>
      <c r="G171" s="210" t="s">
        <v>16</v>
      </c>
      <c r="H171" s="211" t="s">
        <v>14</v>
      </c>
      <c r="I171" s="210">
        <v>1</v>
      </c>
      <c r="J171" s="210" t="s">
        <v>15</v>
      </c>
      <c r="K171" s="210" t="s">
        <v>54</v>
      </c>
      <c r="L171" s="211" t="s">
        <v>60</v>
      </c>
      <c r="M171" s="211" t="s">
        <v>56</v>
      </c>
    </row>
    <row r="172" spans="1:13" x14ac:dyDescent="0.2">
      <c r="A172" s="211" t="s">
        <v>55</v>
      </c>
      <c r="B172" s="211" t="s">
        <v>58</v>
      </c>
      <c r="C172" s="211" t="s">
        <v>19</v>
      </c>
      <c r="D172" s="211" t="s">
        <v>12</v>
      </c>
      <c r="E172" s="208">
        <v>43218</v>
      </c>
      <c r="F172" s="209">
        <v>9.39</v>
      </c>
      <c r="G172" s="210" t="s">
        <v>13</v>
      </c>
      <c r="H172" s="211" t="s">
        <v>18</v>
      </c>
      <c r="I172" s="210">
        <v>117</v>
      </c>
      <c r="J172" s="210" t="s">
        <v>15</v>
      </c>
      <c r="K172" s="210" t="s">
        <v>54</v>
      </c>
      <c r="L172" s="211" t="s">
        <v>59</v>
      </c>
      <c r="M172" s="211" t="s">
        <v>17</v>
      </c>
    </row>
    <row r="173" spans="1:13" x14ac:dyDescent="0.2">
      <c r="A173" s="211" t="s">
        <v>55</v>
      </c>
      <c r="B173" s="211" t="s">
        <v>58</v>
      </c>
      <c r="C173" s="211" t="s">
        <v>19</v>
      </c>
      <c r="D173" s="211" t="s">
        <v>12</v>
      </c>
      <c r="E173" s="208">
        <v>43218</v>
      </c>
      <c r="F173" s="221">
        <v>4090.2670979999998</v>
      </c>
      <c r="G173" s="210" t="s">
        <v>16</v>
      </c>
      <c r="H173" s="211" t="s">
        <v>18</v>
      </c>
      <c r="I173" s="210">
        <v>117</v>
      </c>
      <c r="J173" s="210" t="s">
        <v>15</v>
      </c>
      <c r="K173" s="210" t="s">
        <v>54</v>
      </c>
      <c r="L173" s="211" t="s">
        <v>59</v>
      </c>
      <c r="M173" s="211" t="s">
        <v>17</v>
      </c>
    </row>
    <row r="174" spans="1:13" x14ac:dyDescent="0.2">
      <c r="A174" s="211" t="s">
        <v>55</v>
      </c>
      <c r="B174" s="211" t="s">
        <v>58</v>
      </c>
      <c r="C174" s="211" t="s">
        <v>19</v>
      </c>
      <c r="D174" s="211" t="s">
        <v>12</v>
      </c>
      <c r="E174" s="208">
        <v>43217</v>
      </c>
      <c r="F174" s="209">
        <v>18.961173800000001</v>
      </c>
      <c r="G174" s="210" t="s">
        <v>13</v>
      </c>
      <c r="H174" s="211" t="s">
        <v>14</v>
      </c>
      <c r="I174" s="210">
        <v>1</v>
      </c>
      <c r="J174" s="210" t="s">
        <v>15</v>
      </c>
      <c r="K174" s="210" t="s">
        <v>54</v>
      </c>
      <c r="L174" s="211" t="s">
        <v>60</v>
      </c>
      <c r="M174" s="211" t="s">
        <v>56</v>
      </c>
    </row>
    <row r="175" spans="1:13" x14ac:dyDescent="0.2">
      <c r="A175" s="211" t="s">
        <v>55</v>
      </c>
      <c r="B175" s="211" t="s">
        <v>58</v>
      </c>
      <c r="C175" s="211" t="s">
        <v>19</v>
      </c>
      <c r="D175" s="211" t="s">
        <v>12</v>
      </c>
      <c r="E175" s="208">
        <v>43217</v>
      </c>
      <c r="F175" s="221">
        <v>8289.4990815000001</v>
      </c>
      <c r="G175" s="210" t="s">
        <v>16</v>
      </c>
      <c r="H175" s="211" t="s">
        <v>14</v>
      </c>
      <c r="I175" s="210">
        <v>1</v>
      </c>
      <c r="J175" s="210" t="s">
        <v>15</v>
      </c>
      <c r="K175" s="210" t="s">
        <v>54</v>
      </c>
      <c r="L175" s="211" t="s">
        <v>60</v>
      </c>
      <c r="M175" s="211" t="s">
        <v>56</v>
      </c>
    </row>
    <row r="176" spans="1:13" x14ac:dyDescent="0.2">
      <c r="A176" s="211" t="s">
        <v>55</v>
      </c>
      <c r="B176" s="211" t="s">
        <v>58</v>
      </c>
      <c r="C176" s="211" t="s">
        <v>19</v>
      </c>
      <c r="D176" s="211" t="s">
        <v>12</v>
      </c>
      <c r="E176" s="208">
        <v>43217</v>
      </c>
      <c r="F176" s="209">
        <v>9.6999999999999993</v>
      </c>
      <c r="G176" s="210" t="s">
        <v>13</v>
      </c>
      <c r="H176" s="211" t="s">
        <v>18</v>
      </c>
      <c r="I176" s="210">
        <v>117</v>
      </c>
      <c r="J176" s="210" t="s">
        <v>15</v>
      </c>
      <c r="K176" s="210" t="s">
        <v>54</v>
      </c>
      <c r="L176" s="211" t="s">
        <v>59</v>
      </c>
      <c r="M176" s="211" t="s">
        <v>17</v>
      </c>
    </row>
    <row r="177" spans="1:13" x14ac:dyDescent="0.2">
      <c r="A177" s="211" t="s">
        <v>55</v>
      </c>
      <c r="B177" s="211" t="s">
        <v>58</v>
      </c>
      <c r="C177" s="211" t="s">
        <v>19</v>
      </c>
      <c r="D177" s="211" t="s">
        <v>12</v>
      </c>
      <c r="E177" s="208">
        <v>43217</v>
      </c>
      <c r="F177" s="221">
        <v>4253.6168399999997</v>
      </c>
      <c r="G177" s="210" t="s">
        <v>16</v>
      </c>
      <c r="H177" s="211" t="s">
        <v>18</v>
      </c>
      <c r="I177" s="210">
        <v>117</v>
      </c>
      <c r="J177" s="210" t="s">
        <v>15</v>
      </c>
      <c r="K177" s="210" t="s">
        <v>54</v>
      </c>
      <c r="L177" s="211" t="s">
        <v>59</v>
      </c>
      <c r="M177" s="211" t="s">
        <v>17</v>
      </c>
    </row>
    <row r="178" spans="1:13" x14ac:dyDescent="0.2">
      <c r="A178" s="211" t="s">
        <v>55</v>
      </c>
      <c r="B178" s="211" t="s">
        <v>58</v>
      </c>
      <c r="C178" s="211" t="s">
        <v>19</v>
      </c>
      <c r="D178" s="211" t="s">
        <v>12</v>
      </c>
      <c r="E178" s="208">
        <v>43216</v>
      </c>
      <c r="F178" s="209">
        <v>21.3130928</v>
      </c>
      <c r="G178" s="210" t="s">
        <v>13</v>
      </c>
      <c r="H178" s="211" t="s">
        <v>14</v>
      </c>
      <c r="I178" s="210">
        <v>1</v>
      </c>
      <c r="J178" s="210" t="s">
        <v>15</v>
      </c>
      <c r="K178" s="210" t="s">
        <v>54</v>
      </c>
      <c r="L178" s="211" t="s">
        <v>60</v>
      </c>
      <c r="M178" s="211" t="s">
        <v>56</v>
      </c>
    </row>
    <row r="179" spans="1:13" x14ac:dyDescent="0.2">
      <c r="A179" s="211" t="s">
        <v>55</v>
      </c>
      <c r="B179" s="211" t="s">
        <v>58</v>
      </c>
      <c r="C179" s="211" t="s">
        <v>19</v>
      </c>
      <c r="D179" s="211" t="s">
        <v>12</v>
      </c>
      <c r="E179" s="208">
        <v>43216</v>
      </c>
      <c r="F179" s="221">
        <v>9394.1506427000004</v>
      </c>
      <c r="G179" s="210" t="s">
        <v>16</v>
      </c>
      <c r="H179" s="211" t="s">
        <v>14</v>
      </c>
      <c r="I179" s="210">
        <v>1</v>
      </c>
      <c r="J179" s="210" t="s">
        <v>15</v>
      </c>
      <c r="K179" s="210" t="s">
        <v>54</v>
      </c>
      <c r="L179" s="211" t="s">
        <v>60</v>
      </c>
      <c r="M179" s="211" t="s">
        <v>56</v>
      </c>
    </row>
    <row r="180" spans="1:13" x14ac:dyDescent="0.2">
      <c r="A180" s="211" t="s">
        <v>55</v>
      </c>
      <c r="B180" s="211" t="s">
        <v>58</v>
      </c>
      <c r="C180" s="211" t="s">
        <v>19</v>
      </c>
      <c r="D180" s="211" t="s">
        <v>12</v>
      </c>
      <c r="E180" s="208">
        <v>43216</v>
      </c>
      <c r="F180" s="209">
        <v>11.4</v>
      </c>
      <c r="G180" s="210" t="s">
        <v>13</v>
      </c>
      <c r="H180" s="211" t="s">
        <v>18</v>
      </c>
      <c r="I180" s="210">
        <v>117</v>
      </c>
      <c r="J180" s="210" t="s">
        <v>15</v>
      </c>
      <c r="K180" s="210" t="s">
        <v>54</v>
      </c>
      <c r="L180" s="211" t="s">
        <v>59</v>
      </c>
      <c r="M180" s="211" t="s">
        <v>17</v>
      </c>
    </row>
    <row r="181" spans="1:13" x14ac:dyDescent="0.2">
      <c r="A181" s="211" t="s">
        <v>55</v>
      </c>
      <c r="B181" s="211" t="s">
        <v>58</v>
      </c>
      <c r="C181" s="211" t="s">
        <v>19</v>
      </c>
      <c r="D181" s="211" t="s">
        <v>12</v>
      </c>
      <c r="E181" s="208">
        <v>43216</v>
      </c>
      <c r="F181" s="221">
        <v>5024.7665999999999</v>
      </c>
      <c r="G181" s="210" t="s">
        <v>16</v>
      </c>
      <c r="H181" s="211" t="s">
        <v>18</v>
      </c>
      <c r="I181" s="210">
        <v>117</v>
      </c>
      <c r="J181" s="210" t="s">
        <v>15</v>
      </c>
      <c r="K181" s="210" t="s">
        <v>54</v>
      </c>
      <c r="L181" s="211" t="s">
        <v>59</v>
      </c>
      <c r="M181" s="211" t="s">
        <v>17</v>
      </c>
    </row>
    <row r="182" spans="1:13" x14ac:dyDescent="0.2">
      <c r="A182" s="211" t="s">
        <v>55</v>
      </c>
      <c r="B182" s="211" t="s">
        <v>58</v>
      </c>
      <c r="C182" s="211" t="s">
        <v>19</v>
      </c>
      <c r="D182" s="211" t="s">
        <v>12</v>
      </c>
      <c r="E182" s="208">
        <v>43215</v>
      </c>
      <c r="F182" s="209">
        <v>18.526638800000001</v>
      </c>
      <c r="G182" s="210" t="s">
        <v>13</v>
      </c>
      <c r="H182" s="211" t="s">
        <v>14</v>
      </c>
      <c r="I182" s="210">
        <v>1</v>
      </c>
      <c r="J182" s="210" t="s">
        <v>15</v>
      </c>
      <c r="K182" s="210" t="s">
        <v>54</v>
      </c>
      <c r="L182" s="211" t="s">
        <v>60</v>
      </c>
      <c r="M182" s="211" t="s">
        <v>56</v>
      </c>
    </row>
    <row r="183" spans="1:13" x14ac:dyDescent="0.2">
      <c r="A183" s="211" t="s">
        <v>55</v>
      </c>
      <c r="B183" s="211" t="s">
        <v>58</v>
      </c>
      <c r="C183" s="211" t="s">
        <v>19</v>
      </c>
      <c r="D183" s="211" t="s">
        <v>12</v>
      </c>
      <c r="E183" s="208">
        <v>43215</v>
      </c>
      <c r="F183" s="221">
        <v>8062.4449462000002</v>
      </c>
      <c r="G183" s="210" t="s">
        <v>16</v>
      </c>
      <c r="H183" s="211" t="s">
        <v>14</v>
      </c>
      <c r="I183" s="210">
        <v>1</v>
      </c>
      <c r="J183" s="210" t="s">
        <v>15</v>
      </c>
      <c r="K183" s="210" t="s">
        <v>54</v>
      </c>
      <c r="L183" s="211" t="s">
        <v>60</v>
      </c>
      <c r="M183" s="211" t="s">
        <v>56</v>
      </c>
    </row>
    <row r="184" spans="1:13" x14ac:dyDescent="0.2">
      <c r="A184" s="211" t="s">
        <v>55</v>
      </c>
      <c r="B184" s="211" t="s">
        <v>58</v>
      </c>
      <c r="C184" s="211" t="s">
        <v>19</v>
      </c>
      <c r="D184" s="211" t="s">
        <v>12</v>
      </c>
      <c r="E184" s="208">
        <v>43215</v>
      </c>
      <c r="F184" s="209">
        <v>9.5500000000000007</v>
      </c>
      <c r="G184" s="210" t="s">
        <v>13</v>
      </c>
      <c r="H184" s="211" t="s">
        <v>18</v>
      </c>
      <c r="I184" s="210">
        <v>117</v>
      </c>
      <c r="J184" s="210" t="s">
        <v>15</v>
      </c>
      <c r="K184" s="210" t="s">
        <v>54</v>
      </c>
      <c r="L184" s="211" t="s">
        <v>59</v>
      </c>
      <c r="M184" s="211" t="s">
        <v>17</v>
      </c>
    </row>
    <row r="185" spans="1:13" x14ac:dyDescent="0.2">
      <c r="A185" s="211" t="s">
        <v>55</v>
      </c>
      <c r="B185" s="211" t="s">
        <v>58</v>
      </c>
      <c r="C185" s="211" t="s">
        <v>19</v>
      </c>
      <c r="D185" s="211" t="s">
        <v>12</v>
      </c>
      <c r="E185" s="208">
        <v>43215</v>
      </c>
      <c r="F185" s="221">
        <v>4155.9804599999998</v>
      </c>
      <c r="G185" s="210" t="s">
        <v>16</v>
      </c>
      <c r="H185" s="211" t="s">
        <v>18</v>
      </c>
      <c r="I185" s="210">
        <v>117</v>
      </c>
      <c r="J185" s="210" t="s">
        <v>15</v>
      </c>
      <c r="K185" s="210" t="s">
        <v>54</v>
      </c>
      <c r="L185" s="211" t="s">
        <v>59</v>
      </c>
      <c r="M185" s="211" t="s">
        <v>17</v>
      </c>
    </row>
    <row r="186" spans="1:13" x14ac:dyDescent="0.2">
      <c r="A186" s="211" t="s">
        <v>55</v>
      </c>
      <c r="B186" s="211" t="s">
        <v>58</v>
      </c>
      <c r="C186" s="211" t="s">
        <v>19</v>
      </c>
      <c r="D186" s="211" t="s">
        <v>12</v>
      </c>
      <c r="E186" s="208">
        <v>43214</v>
      </c>
      <c r="F186" s="209">
        <v>14.325498</v>
      </c>
      <c r="G186" s="210" t="s">
        <v>13</v>
      </c>
      <c r="H186" s="211" t="s">
        <v>14</v>
      </c>
      <c r="I186" s="210">
        <v>1</v>
      </c>
      <c r="J186" s="210" t="s">
        <v>15</v>
      </c>
      <c r="K186" s="210" t="s">
        <v>54</v>
      </c>
      <c r="L186" s="211" t="s">
        <v>60</v>
      </c>
      <c r="M186" s="211" t="s">
        <v>56</v>
      </c>
    </row>
    <row r="187" spans="1:13" x14ac:dyDescent="0.2">
      <c r="A187" s="211" t="s">
        <v>55</v>
      </c>
      <c r="B187" s="211" t="s">
        <v>58</v>
      </c>
      <c r="C187" s="211" t="s">
        <v>19</v>
      </c>
      <c r="D187" s="211" t="s">
        <v>12</v>
      </c>
      <c r="E187" s="208">
        <v>43214</v>
      </c>
      <c r="F187" s="221">
        <v>6106.3495725000002</v>
      </c>
      <c r="G187" s="210" t="s">
        <v>16</v>
      </c>
      <c r="H187" s="211" t="s">
        <v>14</v>
      </c>
      <c r="I187" s="210">
        <v>1</v>
      </c>
      <c r="J187" s="210" t="s">
        <v>15</v>
      </c>
      <c r="K187" s="210" t="s">
        <v>54</v>
      </c>
      <c r="L187" s="211" t="s">
        <v>60</v>
      </c>
      <c r="M187" s="211" t="s">
        <v>56</v>
      </c>
    </row>
    <row r="188" spans="1:13" x14ac:dyDescent="0.2">
      <c r="A188" s="211" t="s">
        <v>55</v>
      </c>
      <c r="B188" s="211" t="s">
        <v>58</v>
      </c>
      <c r="C188" s="211" t="s">
        <v>19</v>
      </c>
      <c r="D188" s="211" t="s">
        <v>12</v>
      </c>
      <c r="E188" s="208">
        <v>43214</v>
      </c>
      <c r="F188" s="209">
        <v>8.69</v>
      </c>
      <c r="G188" s="210" t="s">
        <v>13</v>
      </c>
      <c r="H188" s="211" t="s">
        <v>18</v>
      </c>
      <c r="I188" s="210">
        <v>117</v>
      </c>
      <c r="J188" s="210" t="s">
        <v>15</v>
      </c>
      <c r="K188" s="210" t="s">
        <v>54</v>
      </c>
      <c r="L188" s="211" t="s">
        <v>59</v>
      </c>
      <c r="M188" s="211" t="s">
        <v>17</v>
      </c>
    </row>
    <row r="189" spans="1:13" x14ac:dyDescent="0.2">
      <c r="A189" s="211" t="s">
        <v>55</v>
      </c>
      <c r="B189" s="211" t="s">
        <v>58</v>
      </c>
      <c r="C189" s="211" t="s">
        <v>19</v>
      </c>
      <c r="D189" s="211" t="s">
        <v>12</v>
      </c>
      <c r="E189" s="208">
        <v>43214</v>
      </c>
      <c r="F189" s="221">
        <v>3704.1768059999999</v>
      </c>
      <c r="G189" s="210" t="s">
        <v>16</v>
      </c>
      <c r="H189" s="211" t="s">
        <v>18</v>
      </c>
      <c r="I189" s="210">
        <v>117</v>
      </c>
      <c r="J189" s="210" t="s">
        <v>15</v>
      </c>
      <c r="K189" s="210" t="s">
        <v>54</v>
      </c>
      <c r="L189" s="211" t="s">
        <v>59</v>
      </c>
      <c r="M189" s="211" t="s">
        <v>17</v>
      </c>
    </row>
    <row r="190" spans="1:13" x14ac:dyDescent="0.2">
      <c r="A190" s="211" t="s">
        <v>55</v>
      </c>
      <c r="B190" s="211" t="s">
        <v>58</v>
      </c>
      <c r="C190" s="211" t="s">
        <v>19</v>
      </c>
      <c r="D190" s="211" t="s">
        <v>12</v>
      </c>
      <c r="E190" s="208">
        <v>43213</v>
      </c>
      <c r="F190" s="209">
        <v>15.4428634</v>
      </c>
      <c r="G190" s="210" t="s">
        <v>13</v>
      </c>
      <c r="H190" s="211" t="s">
        <v>14</v>
      </c>
      <c r="I190" s="210">
        <v>1</v>
      </c>
      <c r="J190" s="210" t="s">
        <v>15</v>
      </c>
      <c r="K190" s="210" t="s">
        <v>54</v>
      </c>
      <c r="L190" s="211" t="s">
        <v>60</v>
      </c>
      <c r="M190" s="211" t="s">
        <v>56</v>
      </c>
    </row>
    <row r="191" spans="1:13" x14ac:dyDescent="0.2">
      <c r="A191" s="211" t="s">
        <v>55</v>
      </c>
      <c r="B191" s="211" t="s">
        <v>58</v>
      </c>
      <c r="C191" s="211" t="s">
        <v>19</v>
      </c>
      <c r="D191" s="211" t="s">
        <v>12</v>
      </c>
      <c r="E191" s="208">
        <v>43213</v>
      </c>
      <c r="F191" s="221">
        <v>6760.3698248999999</v>
      </c>
      <c r="G191" s="210" t="s">
        <v>16</v>
      </c>
      <c r="H191" s="211" t="s">
        <v>14</v>
      </c>
      <c r="I191" s="210">
        <v>1</v>
      </c>
      <c r="J191" s="210" t="s">
        <v>15</v>
      </c>
      <c r="K191" s="210" t="s">
        <v>54</v>
      </c>
      <c r="L191" s="211" t="s">
        <v>60</v>
      </c>
      <c r="M191" s="211" t="s">
        <v>56</v>
      </c>
    </row>
    <row r="192" spans="1:13" x14ac:dyDescent="0.2">
      <c r="A192" s="211" t="s">
        <v>55</v>
      </c>
      <c r="B192" s="211" t="s">
        <v>58</v>
      </c>
      <c r="C192" s="211" t="s">
        <v>19</v>
      </c>
      <c r="D192" s="211" t="s">
        <v>12</v>
      </c>
      <c r="E192" s="208">
        <v>43213</v>
      </c>
      <c r="F192" s="209">
        <v>9.4700000000000006</v>
      </c>
      <c r="G192" s="210" t="s">
        <v>13</v>
      </c>
      <c r="H192" s="211" t="s">
        <v>18</v>
      </c>
      <c r="I192" s="210">
        <v>117</v>
      </c>
      <c r="J192" s="210" t="s">
        <v>15</v>
      </c>
      <c r="K192" s="210" t="s">
        <v>54</v>
      </c>
      <c r="L192" s="211" t="s">
        <v>59</v>
      </c>
      <c r="M192" s="211" t="s">
        <v>17</v>
      </c>
    </row>
    <row r="193" spans="1:13" x14ac:dyDescent="0.2">
      <c r="A193" s="211" t="s">
        <v>55</v>
      </c>
      <c r="B193" s="211" t="s">
        <v>58</v>
      </c>
      <c r="C193" s="211" t="s">
        <v>19</v>
      </c>
      <c r="D193" s="211" t="s">
        <v>12</v>
      </c>
      <c r="E193" s="208">
        <v>43213</v>
      </c>
      <c r="F193" s="221">
        <v>4145.6497019999997</v>
      </c>
      <c r="G193" s="210" t="s">
        <v>16</v>
      </c>
      <c r="H193" s="211" t="s">
        <v>18</v>
      </c>
      <c r="I193" s="210">
        <v>117</v>
      </c>
      <c r="J193" s="210" t="s">
        <v>15</v>
      </c>
      <c r="K193" s="210" t="s">
        <v>54</v>
      </c>
      <c r="L193" s="211" t="s">
        <v>59</v>
      </c>
      <c r="M193" s="211" t="s">
        <v>17</v>
      </c>
    </row>
    <row r="194" spans="1:13" x14ac:dyDescent="0.2">
      <c r="A194" s="211" t="s">
        <v>55</v>
      </c>
      <c r="B194" s="211" t="s">
        <v>58</v>
      </c>
      <c r="C194" s="211" t="s">
        <v>19</v>
      </c>
      <c r="D194" s="211" t="s">
        <v>12</v>
      </c>
      <c r="E194" s="208">
        <v>43212</v>
      </c>
      <c r="F194" s="209">
        <v>12.4246163</v>
      </c>
      <c r="G194" s="210" t="s">
        <v>13</v>
      </c>
      <c r="H194" s="211" t="s">
        <v>14</v>
      </c>
      <c r="I194" s="210">
        <v>1</v>
      </c>
      <c r="J194" s="210" t="s">
        <v>15</v>
      </c>
      <c r="K194" s="210" t="s">
        <v>54</v>
      </c>
      <c r="L194" s="211" t="s">
        <v>60</v>
      </c>
      <c r="M194" s="211" t="s">
        <v>56</v>
      </c>
    </row>
    <row r="195" spans="1:13" x14ac:dyDescent="0.2">
      <c r="A195" s="211" t="s">
        <v>55</v>
      </c>
      <c r="B195" s="211" t="s">
        <v>58</v>
      </c>
      <c r="C195" s="211" t="s">
        <v>19</v>
      </c>
      <c r="D195" s="211" t="s">
        <v>12</v>
      </c>
      <c r="E195" s="208">
        <v>43212</v>
      </c>
      <c r="F195" s="221">
        <v>5497.1100045000003</v>
      </c>
      <c r="G195" s="210" t="s">
        <v>16</v>
      </c>
      <c r="H195" s="211" t="s">
        <v>14</v>
      </c>
      <c r="I195" s="210">
        <v>1</v>
      </c>
      <c r="J195" s="210" t="s">
        <v>15</v>
      </c>
      <c r="K195" s="210" t="s">
        <v>54</v>
      </c>
      <c r="L195" s="211" t="s">
        <v>60</v>
      </c>
      <c r="M195" s="211" t="s">
        <v>56</v>
      </c>
    </row>
    <row r="196" spans="1:13" x14ac:dyDescent="0.2">
      <c r="A196" s="211" t="s">
        <v>55</v>
      </c>
      <c r="B196" s="211" t="s">
        <v>58</v>
      </c>
      <c r="C196" s="211" t="s">
        <v>19</v>
      </c>
      <c r="D196" s="211" t="s">
        <v>12</v>
      </c>
      <c r="E196" s="208">
        <v>43212</v>
      </c>
      <c r="F196" s="209">
        <v>11.2</v>
      </c>
      <c r="G196" s="210" t="s">
        <v>13</v>
      </c>
      <c r="H196" s="211" t="s">
        <v>18</v>
      </c>
      <c r="I196" s="210">
        <v>117</v>
      </c>
      <c r="J196" s="210" t="s">
        <v>15</v>
      </c>
      <c r="K196" s="210" t="s">
        <v>54</v>
      </c>
      <c r="L196" s="211" t="s">
        <v>59</v>
      </c>
      <c r="M196" s="211" t="s">
        <v>17</v>
      </c>
    </row>
    <row r="197" spans="1:13" x14ac:dyDescent="0.2">
      <c r="A197" s="211" t="s">
        <v>55</v>
      </c>
      <c r="B197" s="211" t="s">
        <v>58</v>
      </c>
      <c r="C197" s="211" t="s">
        <v>19</v>
      </c>
      <c r="D197" s="211" t="s">
        <v>12</v>
      </c>
      <c r="E197" s="208">
        <v>43212</v>
      </c>
      <c r="F197" s="221">
        <v>4955.2943999999998</v>
      </c>
      <c r="G197" s="210" t="s">
        <v>16</v>
      </c>
      <c r="H197" s="211" t="s">
        <v>18</v>
      </c>
      <c r="I197" s="210">
        <v>117</v>
      </c>
      <c r="J197" s="210" t="s">
        <v>15</v>
      </c>
      <c r="K197" s="210" t="s">
        <v>54</v>
      </c>
      <c r="L197" s="211" t="s">
        <v>59</v>
      </c>
      <c r="M197" s="211" t="s">
        <v>17</v>
      </c>
    </row>
    <row r="198" spans="1:13" x14ac:dyDescent="0.2">
      <c r="A198" s="211" t="s">
        <v>55</v>
      </c>
      <c r="B198" s="211" t="s">
        <v>58</v>
      </c>
      <c r="C198" s="211" t="s">
        <v>19</v>
      </c>
      <c r="D198" s="211" t="s">
        <v>12</v>
      </c>
      <c r="E198" s="208">
        <v>43211</v>
      </c>
      <c r="F198" s="209">
        <v>17.487929099999999</v>
      </c>
      <c r="G198" s="210" t="s">
        <v>13</v>
      </c>
      <c r="H198" s="211" t="s">
        <v>14</v>
      </c>
      <c r="I198" s="210">
        <v>1</v>
      </c>
      <c r="J198" s="210" t="s">
        <v>15</v>
      </c>
      <c r="K198" s="210" t="s">
        <v>54</v>
      </c>
      <c r="L198" s="211" t="s">
        <v>60</v>
      </c>
      <c r="M198" s="211" t="s">
        <v>56</v>
      </c>
    </row>
    <row r="199" spans="1:13" x14ac:dyDescent="0.2">
      <c r="A199" s="211" t="s">
        <v>55</v>
      </c>
      <c r="B199" s="211" t="s">
        <v>58</v>
      </c>
      <c r="C199" s="211" t="s">
        <v>19</v>
      </c>
      <c r="D199" s="211" t="s">
        <v>12</v>
      </c>
      <c r="E199" s="208">
        <v>43211</v>
      </c>
      <c r="F199" s="221">
        <v>7554.9952578000002</v>
      </c>
      <c r="G199" s="210" t="s">
        <v>16</v>
      </c>
      <c r="H199" s="211" t="s">
        <v>14</v>
      </c>
      <c r="I199" s="210">
        <v>1</v>
      </c>
      <c r="J199" s="210" t="s">
        <v>15</v>
      </c>
      <c r="K199" s="210" t="s">
        <v>54</v>
      </c>
      <c r="L199" s="211" t="s">
        <v>60</v>
      </c>
      <c r="M199" s="211" t="s">
        <v>56</v>
      </c>
    </row>
    <row r="200" spans="1:13" x14ac:dyDescent="0.2">
      <c r="A200" s="211" t="s">
        <v>55</v>
      </c>
      <c r="B200" s="211" t="s">
        <v>58</v>
      </c>
      <c r="C200" s="211" t="s">
        <v>19</v>
      </c>
      <c r="D200" s="211" t="s">
        <v>12</v>
      </c>
      <c r="E200" s="208">
        <v>43211</v>
      </c>
      <c r="F200" s="209">
        <v>9.1</v>
      </c>
      <c r="G200" s="210" t="s">
        <v>13</v>
      </c>
      <c r="H200" s="211" t="s">
        <v>18</v>
      </c>
      <c r="I200" s="210">
        <v>117</v>
      </c>
      <c r="J200" s="210" t="s">
        <v>15</v>
      </c>
      <c r="K200" s="210" t="s">
        <v>54</v>
      </c>
      <c r="L200" s="211" t="s">
        <v>59</v>
      </c>
      <c r="M200" s="211" t="s">
        <v>17</v>
      </c>
    </row>
    <row r="201" spans="1:13" x14ac:dyDescent="0.2">
      <c r="A201" s="211" t="s">
        <v>55</v>
      </c>
      <c r="B201" s="211" t="s">
        <v>58</v>
      </c>
      <c r="C201" s="211" t="s">
        <v>19</v>
      </c>
      <c r="D201" s="211" t="s">
        <v>12</v>
      </c>
      <c r="E201" s="208">
        <v>43211</v>
      </c>
      <c r="F201" s="221">
        <v>3931.3092000000001</v>
      </c>
      <c r="G201" s="210" t="s">
        <v>16</v>
      </c>
      <c r="H201" s="211" t="s">
        <v>18</v>
      </c>
      <c r="I201" s="210">
        <v>117</v>
      </c>
      <c r="J201" s="210" t="s">
        <v>15</v>
      </c>
      <c r="K201" s="210" t="s">
        <v>54</v>
      </c>
      <c r="L201" s="211" t="s">
        <v>59</v>
      </c>
      <c r="M201" s="211" t="s">
        <v>17</v>
      </c>
    </row>
    <row r="202" spans="1:13" x14ac:dyDescent="0.2">
      <c r="A202" s="211" t="s">
        <v>55</v>
      </c>
      <c r="B202" s="211" t="s">
        <v>58</v>
      </c>
      <c r="C202" s="211" t="s">
        <v>19</v>
      </c>
      <c r="D202" s="211" t="s">
        <v>12</v>
      </c>
      <c r="E202" s="208">
        <v>43210</v>
      </c>
      <c r="F202" s="209">
        <v>15.9985827</v>
      </c>
      <c r="G202" s="210" t="s">
        <v>13</v>
      </c>
      <c r="H202" s="211" t="s">
        <v>14</v>
      </c>
      <c r="I202" s="210">
        <v>1</v>
      </c>
      <c r="J202" s="210" t="s">
        <v>15</v>
      </c>
      <c r="K202" s="210" t="s">
        <v>54</v>
      </c>
      <c r="L202" s="211" t="s">
        <v>60</v>
      </c>
      <c r="M202" s="211" t="s">
        <v>56</v>
      </c>
    </row>
    <row r="203" spans="1:13" x14ac:dyDescent="0.2">
      <c r="A203" s="211" t="s">
        <v>55</v>
      </c>
      <c r="B203" s="211" t="s">
        <v>58</v>
      </c>
      <c r="C203" s="211" t="s">
        <v>19</v>
      </c>
      <c r="D203" s="211" t="s">
        <v>12</v>
      </c>
      <c r="E203" s="208">
        <v>43210</v>
      </c>
      <c r="F203" s="221">
        <v>7097.0448981</v>
      </c>
      <c r="G203" s="210" t="s">
        <v>16</v>
      </c>
      <c r="H203" s="211" t="s">
        <v>14</v>
      </c>
      <c r="I203" s="210">
        <v>1</v>
      </c>
      <c r="J203" s="210" t="s">
        <v>15</v>
      </c>
      <c r="K203" s="210" t="s">
        <v>54</v>
      </c>
      <c r="L203" s="211" t="s">
        <v>60</v>
      </c>
      <c r="M203" s="211" t="s">
        <v>56</v>
      </c>
    </row>
    <row r="204" spans="1:13" x14ac:dyDescent="0.2">
      <c r="A204" s="211" t="s">
        <v>55</v>
      </c>
      <c r="B204" s="211" t="s">
        <v>58</v>
      </c>
      <c r="C204" s="211" t="s">
        <v>19</v>
      </c>
      <c r="D204" s="211" t="s">
        <v>12</v>
      </c>
      <c r="E204" s="208">
        <v>43210</v>
      </c>
      <c r="F204" s="209">
        <v>9.58</v>
      </c>
      <c r="G204" s="210" t="s">
        <v>13</v>
      </c>
      <c r="H204" s="211" t="s">
        <v>18</v>
      </c>
      <c r="I204" s="210">
        <v>117</v>
      </c>
      <c r="J204" s="210" t="s">
        <v>15</v>
      </c>
      <c r="K204" s="210" t="s">
        <v>54</v>
      </c>
      <c r="L204" s="211" t="s">
        <v>59</v>
      </c>
      <c r="M204" s="211" t="s">
        <v>17</v>
      </c>
    </row>
    <row r="205" spans="1:13" x14ac:dyDescent="0.2">
      <c r="A205" s="211" t="s">
        <v>55</v>
      </c>
      <c r="B205" s="211" t="s">
        <v>58</v>
      </c>
      <c r="C205" s="211" t="s">
        <v>19</v>
      </c>
      <c r="D205" s="211" t="s">
        <v>12</v>
      </c>
      <c r="E205" s="208">
        <v>43210</v>
      </c>
      <c r="F205" s="221">
        <v>4249.7320680000003</v>
      </c>
      <c r="G205" s="210" t="s">
        <v>16</v>
      </c>
      <c r="H205" s="211" t="s">
        <v>18</v>
      </c>
      <c r="I205" s="210">
        <v>117</v>
      </c>
      <c r="J205" s="210" t="s">
        <v>15</v>
      </c>
      <c r="K205" s="210" t="s">
        <v>54</v>
      </c>
      <c r="L205" s="211" t="s">
        <v>59</v>
      </c>
      <c r="M205" s="211" t="s">
        <v>17</v>
      </c>
    </row>
    <row r="206" spans="1:13" x14ac:dyDescent="0.2">
      <c r="A206" s="211" t="s">
        <v>55</v>
      </c>
      <c r="B206" s="211" t="s">
        <v>58</v>
      </c>
      <c r="C206" s="211" t="s">
        <v>19</v>
      </c>
      <c r="D206" s="211" t="s">
        <v>12</v>
      </c>
      <c r="E206" s="208">
        <v>43209</v>
      </c>
      <c r="F206" s="209">
        <v>16.667047799999999</v>
      </c>
      <c r="G206" s="210" t="s">
        <v>13</v>
      </c>
      <c r="H206" s="211" t="s">
        <v>14</v>
      </c>
      <c r="I206" s="210">
        <v>1</v>
      </c>
      <c r="J206" s="210" t="s">
        <v>15</v>
      </c>
      <c r="K206" s="210" t="s">
        <v>54</v>
      </c>
      <c r="L206" s="211" t="s">
        <v>60</v>
      </c>
      <c r="M206" s="211" t="s">
        <v>56</v>
      </c>
    </row>
    <row r="207" spans="1:13" x14ac:dyDescent="0.2">
      <c r="A207" s="211" t="s">
        <v>55</v>
      </c>
      <c r="B207" s="211" t="s">
        <v>58</v>
      </c>
      <c r="C207" s="211" t="s">
        <v>19</v>
      </c>
      <c r="D207" s="211" t="s">
        <v>12</v>
      </c>
      <c r="E207" s="208">
        <v>43209</v>
      </c>
      <c r="F207" s="221">
        <v>7304.6170648999996</v>
      </c>
      <c r="G207" s="210" t="s">
        <v>16</v>
      </c>
      <c r="H207" s="211" t="s">
        <v>14</v>
      </c>
      <c r="I207" s="210">
        <v>1</v>
      </c>
      <c r="J207" s="210" t="s">
        <v>15</v>
      </c>
      <c r="K207" s="210" t="s">
        <v>54</v>
      </c>
      <c r="L207" s="211" t="s">
        <v>60</v>
      </c>
      <c r="M207" s="211" t="s">
        <v>56</v>
      </c>
    </row>
    <row r="208" spans="1:13" x14ac:dyDescent="0.2">
      <c r="A208" s="211" t="s">
        <v>55</v>
      </c>
      <c r="B208" s="211" t="s">
        <v>58</v>
      </c>
      <c r="C208" s="211" t="s">
        <v>19</v>
      </c>
      <c r="D208" s="211" t="s">
        <v>12</v>
      </c>
      <c r="E208" s="208">
        <v>43209</v>
      </c>
      <c r="F208" s="209">
        <v>8.56</v>
      </c>
      <c r="G208" s="210" t="s">
        <v>13</v>
      </c>
      <c r="H208" s="211" t="s">
        <v>18</v>
      </c>
      <c r="I208" s="210">
        <v>117</v>
      </c>
      <c r="J208" s="210" t="s">
        <v>15</v>
      </c>
      <c r="K208" s="210" t="s">
        <v>54</v>
      </c>
      <c r="L208" s="211" t="s">
        <v>59</v>
      </c>
      <c r="M208" s="211" t="s">
        <v>17</v>
      </c>
    </row>
    <row r="209" spans="1:13" x14ac:dyDescent="0.2">
      <c r="A209" s="211" t="s">
        <v>55</v>
      </c>
      <c r="B209" s="211" t="s">
        <v>58</v>
      </c>
      <c r="C209" s="211" t="s">
        <v>19</v>
      </c>
      <c r="D209" s="211" t="s">
        <v>12</v>
      </c>
      <c r="E209" s="208">
        <v>43209</v>
      </c>
      <c r="F209" s="221">
        <v>3751.5655200000001</v>
      </c>
      <c r="G209" s="210" t="s">
        <v>16</v>
      </c>
      <c r="H209" s="211" t="s">
        <v>18</v>
      </c>
      <c r="I209" s="210">
        <v>117</v>
      </c>
      <c r="J209" s="210" t="s">
        <v>15</v>
      </c>
      <c r="K209" s="210" t="s">
        <v>54</v>
      </c>
      <c r="L209" s="211" t="s">
        <v>59</v>
      </c>
      <c r="M209" s="211" t="s">
        <v>17</v>
      </c>
    </row>
    <row r="210" spans="1:13" x14ac:dyDescent="0.2">
      <c r="A210" s="211" t="s">
        <v>55</v>
      </c>
      <c r="B210" s="211" t="s">
        <v>58</v>
      </c>
      <c r="C210" s="211" t="s">
        <v>19</v>
      </c>
      <c r="D210" s="211" t="s">
        <v>12</v>
      </c>
      <c r="E210" s="208">
        <v>43208</v>
      </c>
      <c r="F210" s="209">
        <v>15.6461991</v>
      </c>
      <c r="G210" s="210" t="s">
        <v>13</v>
      </c>
      <c r="H210" s="211" t="s">
        <v>14</v>
      </c>
      <c r="I210" s="210">
        <v>1</v>
      </c>
      <c r="J210" s="210" t="s">
        <v>15</v>
      </c>
      <c r="K210" s="210" t="s">
        <v>54</v>
      </c>
      <c r="L210" s="211" t="s">
        <v>60</v>
      </c>
      <c r="M210" s="211" t="s">
        <v>56</v>
      </c>
    </row>
    <row r="211" spans="1:13" x14ac:dyDescent="0.2">
      <c r="A211" s="211" t="s">
        <v>55</v>
      </c>
      <c r="B211" s="211" t="s">
        <v>58</v>
      </c>
      <c r="C211" s="211" t="s">
        <v>19</v>
      </c>
      <c r="D211" s="211" t="s">
        <v>12</v>
      </c>
      <c r="E211" s="208">
        <v>43208</v>
      </c>
      <c r="F211" s="221">
        <v>7229.1072934000003</v>
      </c>
      <c r="G211" s="210" t="s">
        <v>16</v>
      </c>
      <c r="H211" s="211" t="s">
        <v>14</v>
      </c>
      <c r="I211" s="210">
        <v>1</v>
      </c>
      <c r="J211" s="210" t="s">
        <v>15</v>
      </c>
      <c r="K211" s="210" t="s">
        <v>54</v>
      </c>
      <c r="L211" s="211" t="s">
        <v>60</v>
      </c>
      <c r="M211" s="211" t="s">
        <v>56</v>
      </c>
    </row>
    <row r="212" spans="1:13" x14ac:dyDescent="0.2">
      <c r="A212" s="211" t="s">
        <v>55</v>
      </c>
      <c r="B212" s="211" t="s">
        <v>58</v>
      </c>
      <c r="C212" s="211" t="s">
        <v>19</v>
      </c>
      <c r="D212" s="211" t="s">
        <v>12</v>
      </c>
      <c r="E212" s="208">
        <v>43208</v>
      </c>
      <c r="F212" s="209">
        <v>6.46</v>
      </c>
      <c r="G212" s="210" t="s">
        <v>13</v>
      </c>
      <c r="H212" s="211" t="s">
        <v>18</v>
      </c>
      <c r="I212" s="210">
        <v>117</v>
      </c>
      <c r="J212" s="210" t="s">
        <v>15</v>
      </c>
      <c r="K212" s="210" t="s">
        <v>54</v>
      </c>
      <c r="L212" s="211" t="s">
        <v>59</v>
      </c>
      <c r="M212" s="211" t="s">
        <v>17</v>
      </c>
    </row>
    <row r="213" spans="1:13" x14ac:dyDescent="0.2">
      <c r="A213" s="211" t="s">
        <v>55</v>
      </c>
      <c r="B213" s="211" t="s">
        <v>58</v>
      </c>
      <c r="C213" s="211" t="s">
        <v>19</v>
      </c>
      <c r="D213" s="211" t="s">
        <v>12</v>
      </c>
      <c r="E213" s="208">
        <v>43208</v>
      </c>
      <c r="F213" s="221">
        <v>2984.7525599999999</v>
      </c>
      <c r="G213" s="210" t="s">
        <v>16</v>
      </c>
      <c r="H213" s="211" t="s">
        <v>18</v>
      </c>
      <c r="I213" s="210">
        <v>117</v>
      </c>
      <c r="J213" s="210" t="s">
        <v>15</v>
      </c>
      <c r="K213" s="210" t="s">
        <v>54</v>
      </c>
      <c r="L213" s="211" t="s">
        <v>59</v>
      </c>
      <c r="M213" s="211" t="s">
        <v>17</v>
      </c>
    </row>
    <row r="214" spans="1:13" x14ac:dyDescent="0.2">
      <c r="A214" s="211" t="s">
        <v>55</v>
      </c>
      <c r="B214" s="211" t="s">
        <v>58</v>
      </c>
      <c r="C214" s="211" t="s">
        <v>19</v>
      </c>
      <c r="D214" s="211" t="s">
        <v>12</v>
      </c>
      <c r="E214" s="208">
        <v>43207</v>
      </c>
      <c r="F214" s="209">
        <v>14.781025</v>
      </c>
      <c r="G214" s="210" t="s">
        <v>13</v>
      </c>
      <c r="H214" s="211" t="s">
        <v>14</v>
      </c>
      <c r="I214" s="210">
        <v>1</v>
      </c>
      <c r="J214" s="210" t="s">
        <v>15</v>
      </c>
      <c r="K214" s="210" t="s">
        <v>54</v>
      </c>
      <c r="L214" s="211" t="s">
        <v>60</v>
      </c>
      <c r="M214" s="211" t="s">
        <v>56</v>
      </c>
    </row>
    <row r="215" spans="1:13" x14ac:dyDescent="0.2">
      <c r="A215" s="211" t="s">
        <v>55</v>
      </c>
      <c r="B215" s="211" t="s">
        <v>58</v>
      </c>
      <c r="C215" s="211" t="s">
        <v>19</v>
      </c>
      <c r="D215" s="211" t="s">
        <v>12</v>
      </c>
      <c r="E215" s="208">
        <v>43207</v>
      </c>
      <c r="F215" s="221">
        <v>6327.6415454999997</v>
      </c>
      <c r="G215" s="210" t="s">
        <v>16</v>
      </c>
      <c r="H215" s="211" t="s">
        <v>14</v>
      </c>
      <c r="I215" s="210">
        <v>1</v>
      </c>
      <c r="J215" s="210" t="s">
        <v>15</v>
      </c>
      <c r="K215" s="210" t="s">
        <v>54</v>
      </c>
      <c r="L215" s="211" t="s">
        <v>60</v>
      </c>
      <c r="M215" s="211" t="s">
        <v>56</v>
      </c>
    </row>
    <row r="216" spans="1:13" x14ac:dyDescent="0.2">
      <c r="A216" s="211" t="s">
        <v>55</v>
      </c>
      <c r="B216" s="211" t="s">
        <v>58</v>
      </c>
      <c r="C216" s="211" t="s">
        <v>19</v>
      </c>
      <c r="D216" s="211" t="s">
        <v>12</v>
      </c>
      <c r="E216" s="208">
        <v>43207</v>
      </c>
      <c r="F216" s="209">
        <v>6.55</v>
      </c>
      <c r="G216" s="210" t="s">
        <v>13</v>
      </c>
      <c r="H216" s="211" t="s">
        <v>18</v>
      </c>
      <c r="I216" s="210">
        <v>117</v>
      </c>
      <c r="J216" s="210" t="s">
        <v>15</v>
      </c>
      <c r="K216" s="210" t="s">
        <v>54</v>
      </c>
      <c r="L216" s="211" t="s">
        <v>59</v>
      </c>
      <c r="M216" s="211" t="s">
        <v>17</v>
      </c>
    </row>
    <row r="217" spans="1:13" x14ac:dyDescent="0.2">
      <c r="A217" s="211" t="s">
        <v>55</v>
      </c>
      <c r="B217" s="211" t="s">
        <v>58</v>
      </c>
      <c r="C217" s="211" t="s">
        <v>19</v>
      </c>
      <c r="D217" s="211" t="s">
        <v>12</v>
      </c>
      <c r="E217" s="208">
        <v>43207</v>
      </c>
      <c r="F217" s="221">
        <v>2804.0039099999999</v>
      </c>
      <c r="G217" s="210" t="s">
        <v>16</v>
      </c>
      <c r="H217" s="211" t="s">
        <v>18</v>
      </c>
      <c r="I217" s="210">
        <v>117</v>
      </c>
      <c r="J217" s="210" t="s">
        <v>15</v>
      </c>
      <c r="K217" s="210" t="s">
        <v>54</v>
      </c>
      <c r="L217" s="211" t="s">
        <v>59</v>
      </c>
      <c r="M217" s="211" t="s">
        <v>17</v>
      </c>
    </row>
    <row r="218" spans="1:13" x14ac:dyDescent="0.2">
      <c r="A218" s="211" t="s">
        <v>55</v>
      </c>
      <c r="B218" s="211" t="s">
        <v>58</v>
      </c>
      <c r="C218" s="211" t="s">
        <v>19</v>
      </c>
      <c r="D218" s="211" t="s">
        <v>12</v>
      </c>
      <c r="E218" s="208">
        <v>43206</v>
      </c>
      <c r="F218" s="209">
        <v>11.1964393</v>
      </c>
      <c r="G218" s="210" t="s">
        <v>13</v>
      </c>
      <c r="H218" s="211" t="s">
        <v>14</v>
      </c>
      <c r="I218" s="210">
        <v>1</v>
      </c>
      <c r="J218" s="210" t="s">
        <v>15</v>
      </c>
      <c r="K218" s="210" t="s">
        <v>54</v>
      </c>
      <c r="L218" s="211" t="s">
        <v>60</v>
      </c>
      <c r="M218" s="211" t="s">
        <v>56</v>
      </c>
    </row>
    <row r="219" spans="1:13" x14ac:dyDescent="0.2">
      <c r="A219" s="211" t="s">
        <v>55</v>
      </c>
      <c r="B219" s="211" t="s">
        <v>58</v>
      </c>
      <c r="C219" s="211" t="s">
        <v>19</v>
      </c>
      <c r="D219" s="211" t="s">
        <v>12</v>
      </c>
      <c r="E219" s="208">
        <v>43206</v>
      </c>
      <c r="F219" s="221">
        <v>4590.4774441999998</v>
      </c>
      <c r="G219" s="210" t="s">
        <v>16</v>
      </c>
      <c r="H219" s="211" t="s">
        <v>14</v>
      </c>
      <c r="I219" s="210">
        <v>1</v>
      </c>
      <c r="J219" s="210" t="s">
        <v>15</v>
      </c>
      <c r="K219" s="210" t="s">
        <v>54</v>
      </c>
      <c r="L219" s="211" t="s">
        <v>60</v>
      </c>
      <c r="M219" s="211" t="s">
        <v>56</v>
      </c>
    </row>
    <row r="220" spans="1:13" x14ac:dyDescent="0.2">
      <c r="A220" s="211" t="s">
        <v>55</v>
      </c>
      <c r="B220" s="211" t="s">
        <v>58</v>
      </c>
      <c r="C220" s="211" t="s">
        <v>19</v>
      </c>
      <c r="D220" s="211" t="s">
        <v>12</v>
      </c>
      <c r="E220" s="208">
        <v>43206</v>
      </c>
      <c r="F220" s="209">
        <v>6.21</v>
      </c>
      <c r="G220" s="210" t="s">
        <v>13</v>
      </c>
      <c r="H220" s="211" t="s">
        <v>18</v>
      </c>
      <c r="I220" s="210">
        <v>1</v>
      </c>
      <c r="J220" s="210" t="s">
        <v>15</v>
      </c>
      <c r="K220" s="210" t="s">
        <v>54</v>
      </c>
      <c r="L220" s="211" t="s">
        <v>60</v>
      </c>
      <c r="M220" s="211" t="s">
        <v>17</v>
      </c>
    </row>
    <row r="221" spans="1:13" x14ac:dyDescent="0.2">
      <c r="A221" s="211" t="s">
        <v>55</v>
      </c>
      <c r="B221" s="211" t="s">
        <v>58</v>
      </c>
      <c r="C221" s="211" t="s">
        <v>19</v>
      </c>
      <c r="D221" s="211" t="s">
        <v>12</v>
      </c>
      <c r="E221" s="208">
        <v>43206</v>
      </c>
      <c r="F221" s="221">
        <v>2546.0652239999999</v>
      </c>
      <c r="G221" s="210" t="s">
        <v>16</v>
      </c>
      <c r="H221" s="211" t="s">
        <v>18</v>
      </c>
      <c r="I221" s="210">
        <v>1</v>
      </c>
      <c r="J221" s="210" t="s">
        <v>15</v>
      </c>
      <c r="K221" s="210" t="s">
        <v>54</v>
      </c>
      <c r="L221" s="211" t="s">
        <v>60</v>
      </c>
      <c r="M221" s="211" t="s">
        <v>17</v>
      </c>
    </row>
    <row r="222" spans="1:13" x14ac:dyDescent="0.2">
      <c r="A222" s="211" t="s">
        <v>55</v>
      </c>
      <c r="B222" s="211" t="s">
        <v>58</v>
      </c>
      <c r="C222" s="211" t="s">
        <v>19</v>
      </c>
      <c r="D222" s="211" t="s">
        <v>12</v>
      </c>
      <c r="E222" s="208">
        <v>43205</v>
      </c>
      <c r="F222" s="209">
        <v>10.301542400000001</v>
      </c>
      <c r="G222" s="210" t="s">
        <v>13</v>
      </c>
      <c r="H222" s="211" t="s">
        <v>14</v>
      </c>
      <c r="I222" s="210">
        <v>1</v>
      </c>
      <c r="J222" s="210" t="s">
        <v>15</v>
      </c>
      <c r="K222" s="210" t="s">
        <v>54</v>
      </c>
      <c r="L222" s="211" t="s">
        <v>60</v>
      </c>
      <c r="M222" s="211" t="s">
        <v>56</v>
      </c>
    </row>
    <row r="223" spans="1:13" x14ac:dyDescent="0.2">
      <c r="A223" s="211" t="s">
        <v>55</v>
      </c>
      <c r="B223" s="211" t="s">
        <v>58</v>
      </c>
      <c r="C223" s="211" t="s">
        <v>19</v>
      </c>
      <c r="D223" s="211" t="s">
        <v>12</v>
      </c>
      <c r="E223" s="208">
        <v>43205</v>
      </c>
      <c r="F223" s="221">
        <v>4531.1499143000001</v>
      </c>
      <c r="G223" s="210" t="s">
        <v>16</v>
      </c>
      <c r="H223" s="211" t="s">
        <v>14</v>
      </c>
      <c r="I223" s="210">
        <v>1</v>
      </c>
      <c r="J223" s="210" t="s">
        <v>15</v>
      </c>
      <c r="K223" s="210" t="s">
        <v>54</v>
      </c>
      <c r="L223" s="211" t="s">
        <v>60</v>
      </c>
      <c r="M223" s="211" t="s">
        <v>56</v>
      </c>
    </row>
    <row r="224" spans="1:13" x14ac:dyDescent="0.2">
      <c r="A224" s="211" t="s">
        <v>55</v>
      </c>
      <c r="B224" s="211" t="s">
        <v>58</v>
      </c>
      <c r="C224" s="211" t="s">
        <v>19</v>
      </c>
      <c r="D224" s="211" t="s">
        <v>12</v>
      </c>
      <c r="E224" s="208">
        <v>43205</v>
      </c>
      <c r="F224" s="209">
        <v>6.25</v>
      </c>
      <c r="G224" s="210" t="s">
        <v>13</v>
      </c>
      <c r="H224" s="211" t="s">
        <v>18</v>
      </c>
      <c r="I224" s="210">
        <v>1</v>
      </c>
      <c r="J224" s="210" t="s">
        <v>15</v>
      </c>
      <c r="K224" s="210" t="s">
        <v>54</v>
      </c>
      <c r="L224" s="211" t="s">
        <v>60</v>
      </c>
      <c r="M224" s="211" t="s">
        <v>17</v>
      </c>
    </row>
    <row r="225" spans="1:13" x14ac:dyDescent="0.2">
      <c r="A225" s="211" t="s">
        <v>55</v>
      </c>
      <c r="B225" s="211" t="s">
        <v>58</v>
      </c>
      <c r="C225" s="211" t="s">
        <v>19</v>
      </c>
      <c r="D225" s="211" t="s">
        <v>12</v>
      </c>
      <c r="E225" s="208">
        <v>43205</v>
      </c>
      <c r="F225" s="221">
        <v>2749.0725000000002</v>
      </c>
      <c r="G225" s="210" t="s">
        <v>16</v>
      </c>
      <c r="H225" s="211" t="s">
        <v>18</v>
      </c>
      <c r="I225" s="210">
        <v>1</v>
      </c>
      <c r="J225" s="210" t="s">
        <v>15</v>
      </c>
      <c r="K225" s="210" t="s">
        <v>54</v>
      </c>
      <c r="L225" s="211" t="s">
        <v>60</v>
      </c>
      <c r="M225" s="211" t="s">
        <v>17</v>
      </c>
    </row>
    <row r="226" spans="1:13" x14ac:dyDescent="0.2">
      <c r="A226" s="211" t="s">
        <v>55</v>
      </c>
      <c r="B226" s="211" t="s">
        <v>58</v>
      </c>
      <c r="C226" s="211" t="s">
        <v>19</v>
      </c>
      <c r="D226" s="211" t="s">
        <v>12</v>
      </c>
      <c r="E226" s="208">
        <v>43204</v>
      </c>
      <c r="F226" s="209">
        <v>11.596562</v>
      </c>
      <c r="G226" s="210" t="s">
        <v>13</v>
      </c>
      <c r="H226" s="211" t="s">
        <v>14</v>
      </c>
      <c r="I226" s="210">
        <v>1</v>
      </c>
      <c r="J226" s="210" t="s">
        <v>15</v>
      </c>
      <c r="K226" s="210" t="s">
        <v>54</v>
      </c>
      <c r="L226" s="211" t="s">
        <v>60</v>
      </c>
      <c r="M226" s="211" t="s">
        <v>56</v>
      </c>
    </row>
    <row r="227" spans="1:13" x14ac:dyDescent="0.2">
      <c r="A227" s="211" t="s">
        <v>55</v>
      </c>
      <c r="B227" s="211" t="s">
        <v>58</v>
      </c>
      <c r="C227" s="211" t="s">
        <v>19</v>
      </c>
      <c r="D227" s="211" t="s">
        <v>12</v>
      </c>
      <c r="E227" s="208">
        <v>43204</v>
      </c>
      <c r="F227" s="221">
        <v>5111.4050661000001</v>
      </c>
      <c r="G227" s="210" t="s">
        <v>16</v>
      </c>
      <c r="H227" s="211" t="s">
        <v>14</v>
      </c>
      <c r="I227" s="210">
        <v>1</v>
      </c>
      <c r="J227" s="210" t="s">
        <v>15</v>
      </c>
      <c r="K227" s="210" t="s">
        <v>54</v>
      </c>
      <c r="L227" s="211" t="s">
        <v>60</v>
      </c>
      <c r="M227" s="211" t="s">
        <v>56</v>
      </c>
    </row>
    <row r="228" spans="1:13" x14ac:dyDescent="0.2">
      <c r="A228" s="211" t="s">
        <v>55</v>
      </c>
      <c r="B228" s="211" t="s">
        <v>58</v>
      </c>
      <c r="C228" s="211" t="s">
        <v>19</v>
      </c>
      <c r="D228" s="211" t="s">
        <v>12</v>
      </c>
      <c r="E228" s="208">
        <v>43204</v>
      </c>
      <c r="F228" s="209">
        <v>5.4</v>
      </c>
      <c r="G228" s="210" t="s">
        <v>13</v>
      </c>
      <c r="H228" s="211" t="s">
        <v>18</v>
      </c>
      <c r="I228" s="210">
        <v>1</v>
      </c>
      <c r="J228" s="210" t="s">
        <v>15</v>
      </c>
      <c r="K228" s="210" t="s">
        <v>54</v>
      </c>
      <c r="L228" s="211" t="s">
        <v>60</v>
      </c>
      <c r="M228" s="211" t="s">
        <v>17</v>
      </c>
    </row>
    <row r="229" spans="1:13" x14ac:dyDescent="0.2">
      <c r="A229" s="211" t="s">
        <v>55</v>
      </c>
      <c r="B229" s="211" t="s">
        <v>58</v>
      </c>
      <c r="C229" s="211" t="s">
        <v>19</v>
      </c>
      <c r="D229" s="211" t="s">
        <v>12</v>
      </c>
      <c r="E229" s="208">
        <v>43204</v>
      </c>
      <c r="F229" s="221">
        <v>2380.1525999999999</v>
      </c>
      <c r="G229" s="210" t="s">
        <v>16</v>
      </c>
      <c r="H229" s="211" t="s">
        <v>18</v>
      </c>
      <c r="I229" s="210">
        <v>1</v>
      </c>
      <c r="J229" s="210" t="s">
        <v>15</v>
      </c>
      <c r="K229" s="210" t="s">
        <v>54</v>
      </c>
      <c r="L229" s="211" t="s">
        <v>60</v>
      </c>
      <c r="M229" s="211" t="s">
        <v>17</v>
      </c>
    </row>
    <row r="230" spans="1:13" x14ac:dyDescent="0.2">
      <c r="A230" s="211" t="s">
        <v>55</v>
      </c>
      <c r="B230" s="211" t="s">
        <v>58</v>
      </c>
      <c r="C230" s="211" t="s">
        <v>19</v>
      </c>
      <c r="D230" s="211" t="s">
        <v>12</v>
      </c>
      <c r="E230" s="208">
        <v>43203</v>
      </c>
      <c r="F230" s="209">
        <v>10.869339099999999</v>
      </c>
      <c r="G230" s="210" t="s">
        <v>13</v>
      </c>
      <c r="H230" s="211" t="s">
        <v>14</v>
      </c>
      <c r="I230" s="210">
        <v>1</v>
      </c>
      <c r="J230" s="210" t="s">
        <v>15</v>
      </c>
      <c r="K230" s="210" t="s">
        <v>54</v>
      </c>
      <c r="L230" s="211" t="s">
        <v>60</v>
      </c>
      <c r="M230" s="211" t="s">
        <v>56</v>
      </c>
    </row>
    <row r="231" spans="1:13" x14ac:dyDescent="0.2">
      <c r="A231" s="211" t="s">
        <v>55</v>
      </c>
      <c r="B231" s="211" t="s">
        <v>58</v>
      </c>
      <c r="C231" s="211" t="s">
        <v>19</v>
      </c>
      <c r="D231" s="211" t="s">
        <v>12</v>
      </c>
      <c r="E231" s="208">
        <v>43203</v>
      </c>
      <c r="F231" s="221">
        <v>4545.2054559999997</v>
      </c>
      <c r="G231" s="210" t="s">
        <v>16</v>
      </c>
      <c r="H231" s="211" t="s">
        <v>14</v>
      </c>
      <c r="I231" s="210">
        <v>1</v>
      </c>
      <c r="J231" s="210" t="s">
        <v>15</v>
      </c>
      <c r="K231" s="210" t="s">
        <v>54</v>
      </c>
      <c r="L231" s="211" t="s">
        <v>60</v>
      </c>
      <c r="M231" s="211" t="s">
        <v>56</v>
      </c>
    </row>
    <row r="232" spans="1:13" x14ac:dyDescent="0.2">
      <c r="A232" s="211" t="s">
        <v>55</v>
      </c>
      <c r="B232" s="211" t="s">
        <v>58</v>
      </c>
      <c r="C232" s="211" t="s">
        <v>19</v>
      </c>
      <c r="D232" s="211" t="s">
        <v>12</v>
      </c>
      <c r="E232" s="208">
        <v>43203</v>
      </c>
      <c r="F232" s="209">
        <v>5.99</v>
      </c>
      <c r="G232" s="210" t="s">
        <v>13</v>
      </c>
      <c r="H232" s="211" t="s">
        <v>18</v>
      </c>
      <c r="I232" s="210">
        <v>1</v>
      </c>
      <c r="J232" s="210" t="s">
        <v>15</v>
      </c>
      <c r="K232" s="210" t="s">
        <v>54</v>
      </c>
      <c r="L232" s="211" t="s">
        <v>60</v>
      </c>
      <c r="M232" s="211" t="s">
        <v>17</v>
      </c>
    </row>
    <row r="233" spans="1:13" x14ac:dyDescent="0.2">
      <c r="A233" s="211" t="s">
        <v>55</v>
      </c>
      <c r="B233" s="211" t="s">
        <v>58</v>
      </c>
      <c r="C233" s="211" t="s">
        <v>19</v>
      </c>
      <c r="D233" s="211" t="s">
        <v>12</v>
      </c>
      <c r="E233" s="208">
        <v>43203</v>
      </c>
      <c r="F233" s="221">
        <v>2504.8239239999998</v>
      </c>
      <c r="G233" s="210" t="s">
        <v>16</v>
      </c>
      <c r="H233" s="211" t="s">
        <v>18</v>
      </c>
      <c r="I233" s="210">
        <v>1</v>
      </c>
      <c r="J233" s="210" t="s">
        <v>15</v>
      </c>
      <c r="K233" s="210" t="s">
        <v>54</v>
      </c>
      <c r="L233" s="211" t="s">
        <v>60</v>
      </c>
      <c r="M233" s="211" t="s">
        <v>17</v>
      </c>
    </row>
    <row r="234" spans="1:13" x14ac:dyDescent="0.2">
      <c r="A234" s="211" t="s">
        <v>55</v>
      </c>
      <c r="B234" s="211" t="s">
        <v>58</v>
      </c>
      <c r="C234" s="211" t="s">
        <v>19</v>
      </c>
      <c r="D234" s="211" t="s">
        <v>12</v>
      </c>
      <c r="E234" s="208">
        <v>43202</v>
      </c>
      <c r="F234" s="209">
        <v>11.3600429</v>
      </c>
      <c r="G234" s="210" t="s">
        <v>13</v>
      </c>
      <c r="H234" s="211" t="s">
        <v>14</v>
      </c>
      <c r="I234" s="210">
        <v>1</v>
      </c>
      <c r="J234" s="210" t="s">
        <v>15</v>
      </c>
      <c r="K234" s="210" t="s">
        <v>54</v>
      </c>
      <c r="L234" s="211" t="s">
        <v>60</v>
      </c>
      <c r="M234" s="211" t="s">
        <v>56</v>
      </c>
    </row>
    <row r="235" spans="1:13" x14ac:dyDescent="0.2">
      <c r="A235" s="211" t="s">
        <v>55</v>
      </c>
      <c r="B235" s="211" t="s">
        <v>58</v>
      </c>
      <c r="C235" s="211" t="s">
        <v>19</v>
      </c>
      <c r="D235" s="211" t="s">
        <v>12</v>
      </c>
      <c r="E235" s="208">
        <v>43202</v>
      </c>
      <c r="F235" s="221">
        <v>4289.9521065999998</v>
      </c>
      <c r="G235" s="210" t="s">
        <v>16</v>
      </c>
      <c r="H235" s="211" t="s">
        <v>14</v>
      </c>
      <c r="I235" s="210">
        <v>1</v>
      </c>
      <c r="J235" s="210" t="s">
        <v>15</v>
      </c>
      <c r="K235" s="210" t="s">
        <v>54</v>
      </c>
      <c r="L235" s="211" t="s">
        <v>60</v>
      </c>
      <c r="M235" s="211" t="s">
        <v>56</v>
      </c>
    </row>
    <row r="236" spans="1:13" x14ac:dyDescent="0.2">
      <c r="A236" s="211" t="s">
        <v>55</v>
      </c>
      <c r="B236" s="211" t="s">
        <v>58</v>
      </c>
      <c r="C236" s="211" t="s">
        <v>19</v>
      </c>
      <c r="D236" s="211" t="s">
        <v>12</v>
      </c>
      <c r="E236" s="208">
        <v>43202</v>
      </c>
      <c r="F236" s="209">
        <v>5.72</v>
      </c>
      <c r="G236" s="210" t="s">
        <v>13</v>
      </c>
      <c r="H236" s="211" t="s">
        <v>18</v>
      </c>
      <c r="I236" s="210">
        <v>1</v>
      </c>
      <c r="J236" s="210" t="s">
        <v>15</v>
      </c>
      <c r="K236" s="210" t="s">
        <v>54</v>
      </c>
      <c r="L236" s="211" t="s">
        <v>60</v>
      </c>
      <c r="M236" s="211" t="s">
        <v>17</v>
      </c>
    </row>
    <row r="237" spans="1:13" x14ac:dyDescent="0.2">
      <c r="A237" s="211" t="s">
        <v>55</v>
      </c>
      <c r="B237" s="211" t="s">
        <v>58</v>
      </c>
      <c r="C237" s="211" t="s">
        <v>19</v>
      </c>
      <c r="D237" s="211" t="s">
        <v>12</v>
      </c>
      <c r="E237" s="208">
        <v>43202</v>
      </c>
      <c r="F237" s="221">
        <v>2160.0733439999999</v>
      </c>
      <c r="G237" s="210" t="s">
        <v>16</v>
      </c>
      <c r="H237" s="211" t="s">
        <v>18</v>
      </c>
      <c r="I237" s="210">
        <v>1</v>
      </c>
      <c r="J237" s="210" t="s">
        <v>15</v>
      </c>
      <c r="K237" s="210" t="s">
        <v>54</v>
      </c>
      <c r="L237" s="211" t="s">
        <v>60</v>
      </c>
      <c r="M237" s="211" t="s">
        <v>17</v>
      </c>
    </row>
    <row r="238" spans="1:13" x14ac:dyDescent="0.2">
      <c r="A238" s="211" t="s">
        <v>55</v>
      </c>
      <c r="B238" s="211" t="s">
        <v>58</v>
      </c>
      <c r="C238" s="211" t="s">
        <v>19</v>
      </c>
      <c r="D238" s="211" t="s">
        <v>12</v>
      </c>
      <c r="E238" s="208">
        <v>43201</v>
      </c>
      <c r="F238" s="209">
        <v>11.2291635</v>
      </c>
      <c r="G238" s="210" t="s">
        <v>13</v>
      </c>
      <c r="H238" s="211" t="s">
        <v>14</v>
      </c>
      <c r="I238" s="210">
        <v>1</v>
      </c>
      <c r="J238" s="210" t="s">
        <v>15</v>
      </c>
      <c r="K238" s="210" t="s">
        <v>54</v>
      </c>
      <c r="L238" s="211" t="s">
        <v>60</v>
      </c>
      <c r="M238" s="211" t="s">
        <v>56</v>
      </c>
    </row>
    <row r="239" spans="1:13" x14ac:dyDescent="0.2">
      <c r="A239" s="211" t="s">
        <v>55</v>
      </c>
      <c r="B239" s="211" t="s">
        <v>58</v>
      </c>
      <c r="C239" s="211" t="s">
        <v>19</v>
      </c>
      <c r="D239" s="211" t="s">
        <v>12</v>
      </c>
      <c r="E239" s="208">
        <v>43201</v>
      </c>
      <c r="F239" s="221">
        <v>4190.8922863999996</v>
      </c>
      <c r="G239" s="210" t="s">
        <v>16</v>
      </c>
      <c r="H239" s="211" t="s">
        <v>14</v>
      </c>
      <c r="I239" s="210">
        <v>1</v>
      </c>
      <c r="J239" s="210" t="s">
        <v>15</v>
      </c>
      <c r="K239" s="210" t="s">
        <v>54</v>
      </c>
      <c r="L239" s="211" t="s">
        <v>60</v>
      </c>
      <c r="M239" s="211" t="s">
        <v>56</v>
      </c>
    </row>
    <row r="240" spans="1:13" x14ac:dyDescent="0.2">
      <c r="A240" s="211" t="s">
        <v>55</v>
      </c>
      <c r="B240" s="211" t="s">
        <v>58</v>
      </c>
      <c r="C240" s="211" t="s">
        <v>19</v>
      </c>
      <c r="D240" s="211" t="s">
        <v>12</v>
      </c>
      <c r="E240" s="208">
        <v>43201</v>
      </c>
      <c r="F240" s="209">
        <v>5.44</v>
      </c>
      <c r="G240" s="210" t="s">
        <v>13</v>
      </c>
      <c r="H240" s="211" t="s">
        <v>18</v>
      </c>
      <c r="I240" s="210">
        <v>1</v>
      </c>
      <c r="J240" s="210" t="s">
        <v>15</v>
      </c>
      <c r="K240" s="210" t="s">
        <v>54</v>
      </c>
      <c r="L240" s="211" t="s">
        <v>60</v>
      </c>
      <c r="M240" s="211" t="s">
        <v>17</v>
      </c>
    </row>
    <row r="241" spans="1:13" x14ac:dyDescent="0.2">
      <c r="A241" s="211" t="s">
        <v>55</v>
      </c>
      <c r="B241" s="211" t="s">
        <v>58</v>
      </c>
      <c r="C241" s="211" t="s">
        <v>19</v>
      </c>
      <c r="D241" s="211" t="s">
        <v>12</v>
      </c>
      <c r="E241" s="208">
        <v>43201</v>
      </c>
      <c r="F241" s="221">
        <v>2030.2896000000001</v>
      </c>
      <c r="G241" s="210" t="s">
        <v>16</v>
      </c>
      <c r="H241" s="211" t="s">
        <v>18</v>
      </c>
      <c r="I241" s="210">
        <v>1</v>
      </c>
      <c r="J241" s="210" t="s">
        <v>15</v>
      </c>
      <c r="K241" s="210" t="s">
        <v>54</v>
      </c>
      <c r="L241" s="211" t="s">
        <v>60</v>
      </c>
      <c r="M241" s="211" t="s">
        <v>17</v>
      </c>
    </row>
    <row r="242" spans="1:13" x14ac:dyDescent="0.2">
      <c r="A242" s="211" t="s">
        <v>55</v>
      </c>
      <c r="B242" s="211" t="s">
        <v>58</v>
      </c>
      <c r="C242" s="211" t="s">
        <v>19</v>
      </c>
      <c r="D242" s="211" t="s">
        <v>12</v>
      </c>
      <c r="E242" s="208">
        <v>43200</v>
      </c>
      <c r="F242" s="209">
        <v>11.250644899999999</v>
      </c>
      <c r="G242" s="210" t="s">
        <v>13</v>
      </c>
      <c r="H242" s="211" t="s">
        <v>14</v>
      </c>
      <c r="I242" s="210">
        <v>1</v>
      </c>
      <c r="J242" s="210" t="s">
        <v>15</v>
      </c>
      <c r="K242" s="210" t="s">
        <v>54</v>
      </c>
      <c r="L242" s="211" t="s">
        <v>60</v>
      </c>
      <c r="M242" s="211" t="s">
        <v>56</v>
      </c>
    </row>
    <row r="243" spans="1:13" x14ac:dyDescent="0.2">
      <c r="A243" s="211" t="s">
        <v>55</v>
      </c>
      <c r="B243" s="211" t="s">
        <v>58</v>
      </c>
      <c r="C243" s="211" t="s">
        <v>19</v>
      </c>
      <c r="D243" s="211" t="s">
        <v>12</v>
      </c>
      <c r="E243" s="208">
        <v>43200</v>
      </c>
      <c r="F243" s="221">
        <v>4349.9763555999998</v>
      </c>
      <c r="G243" s="210" t="s">
        <v>16</v>
      </c>
      <c r="H243" s="211" t="s">
        <v>14</v>
      </c>
      <c r="I243" s="210">
        <v>1</v>
      </c>
      <c r="J243" s="210" t="s">
        <v>15</v>
      </c>
      <c r="K243" s="210" t="s">
        <v>54</v>
      </c>
      <c r="L243" s="211" t="s">
        <v>60</v>
      </c>
      <c r="M243" s="211" t="s">
        <v>56</v>
      </c>
    </row>
    <row r="244" spans="1:13" x14ac:dyDescent="0.2">
      <c r="A244" s="211" t="s">
        <v>55</v>
      </c>
      <c r="B244" s="211" t="s">
        <v>58</v>
      </c>
      <c r="C244" s="211" t="s">
        <v>19</v>
      </c>
      <c r="D244" s="211" t="s">
        <v>12</v>
      </c>
      <c r="E244" s="208">
        <v>43200</v>
      </c>
      <c r="F244" s="209">
        <v>5.33</v>
      </c>
      <c r="G244" s="210" t="s">
        <v>13</v>
      </c>
      <c r="H244" s="211" t="s">
        <v>18</v>
      </c>
      <c r="I244" s="210">
        <v>1</v>
      </c>
      <c r="J244" s="210" t="s">
        <v>15</v>
      </c>
      <c r="K244" s="210" t="s">
        <v>54</v>
      </c>
      <c r="L244" s="211" t="s">
        <v>60</v>
      </c>
      <c r="M244" s="211" t="s">
        <v>17</v>
      </c>
    </row>
    <row r="245" spans="1:13" x14ac:dyDescent="0.2">
      <c r="A245" s="211" t="s">
        <v>55</v>
      </c>
      <c r="B245" s="211" t="s">
        <v>58</v>
      </c>
      <c r="C245" s="211" t="s">
        <v>19</v>
      </c>
      <c r="D245" s="211" t="s">
        <v>12</v>
      </c>
      <c r="E245" s="208">
        <v>43200</v>
      </c>
      <c r="F245" s="221">
        <v>2060.8039920000001</v>
      </c>
      <c r="G245" s="210" t="s">
        <v>16</v>
      </c>
      <c r="H245" s="211" t="s">
        <v>18</v>
      </c>
      <c r="I245" s="210">
        <v>1</v>
      </c>
      <c r="J245" s="210" t="s">
        <v>15</v>
      </c>
      <c r="K245" s="210" t="s">
        <v>54</v>
      </c>
      <c r="L245" s="211" t="s">
        <v>60</v>
      </c>
      <c r="M245" s="211" t="s">
        <v>17</v>
      </c>
    </row>
    <row r="246" spans="1:13" x14ac:dyDescent="0.2">
      <c r="A246" s="211" t="s">
        <v>55</v>
      </c>
      <c r="B246" s="211" t="s">
        <v>58</v>
      </c>
      <c r="C246" s="211" t="s">
        <v>19</v>
      </c>
      <c r="D246" s="211" t="s">
        <v>12</v>
      </c>
      <c r="E246" s="208">
        <v>43199</v>
      </c>
      <c r="F246" s="209">
        <v>10.8828633</v>
      </c>
      <c r="G246" s="210" t="s">
        <v>13</v>
      </c>
      <c r="H246" s="211" t="s">
        <v>14</v>
      </c>
      <c r="I246" s="210">
        <v>1</v>
      </c>
      <c r="J246" s="210" t="s">
        <v>15</v>
      </c>
      <c r="K246" s="210" t="s">
        <v>54</v>
      </c>
      <c r="L246" s="211" t="s">
        <v>60</v>
      </c>
      <c r="M246" s="211" t="s">
        <v>56</v>
      </c>
    </row>
    <row r="247" spans="1:13" x14ac:dyDescent="0.2">
      <c r="A247" s="211" t="s">
        <v>55</v>
      </c>
      <c r="B247" s="211" t="s">
        <v>58</v>
      </c>
      <c r="C247" s="211" t="s">
        <v>19</v>
      </c>
      <c r="D247" s="211" t="s">
        <v>12</v>
      </c>
      <c r="E247" s="208">
        <v>43199</v>
      </c>
      <c r="F247" s="221">
        <v>4271.3105569999998</v>
      </c>
      <c r="G247" s="210" t="s">
        <v>16</v>
      </c>
      <c r="H247" s="211" t="s">
        <v>14</v>
      </c>
      <c r="I247" s="210">
        <v>1</v>
      </c>
      <c r="J247" s="210" t="s">
        <v>15</v>
      </c>
      <c r="K247" s="210" t="s">
        <v>54</v>
      </c>
      <c r="L247" s="211" t="s">
        <v>60</v>
      </c>
      <c r="M247" s="211" t="s">
        <v>56</v>
      </c>
    </row>
    <row r="248" spans="1:13" x14ac:dyDescent="0.2">
      <c r="A248" s="211" t="s">
        <v>55</v>
      </c>
      <c r="B248" s="211" t="s">
        <v>58</v>
      </c>
      <c r="C248" s="211" t="s">
        <v>19</v>
      </c>
      <c r="D248" s="211" t="s">
        <v>12</v>
      </c>
      <c r="E248" s="208">
        <v>43199</v>
      </c>
      <c r="F248" s="209">
        <v>5.71</v>
      </c>
      <c r="G248" s="210" t="s">
        <v>13</v>
      </c>
      <c r="H248" s="211" t="s">
        <v>18</v>
      </c>
      <c r="I248" s="210">
        <v>1</v>
      </c>
      <c r="J248" s="210" t="s">
        <v>15</v>
      </c>
      <c r="K248" s="210" t="s">
        <v>54</v>
      </c>
      <c r="L248" s="211" t="s">
        <v>60</v>
      </c>
      <c r="M248" s="211" t="s">
        <v>17</v>
      </c>
    </row>
    <row r="249" spans="1:13" x14ac:dyDescent="0.2">
      <c r="A249" s="211" t="s">
        <v>55</v>
      </c>
      <c r="B249" s="211" t="s">
        <v>58</v>
      </c>
      <c r="C249" s="211" t="s">
        <v>19</v>
      </c>
      <c r="D249" s="211" t="s">
        <v>12</v>
      </c>
      <c r="E249" s="208">
        <v>43199</v>
      </c>
      <c r="F249" s="221">
        <v>2241.0630839999999</v>
      </c>
      <c r="G249" s="210" t="s">
        <v>16</v>
      </c>
      <c r="H249" s="211" t="s">
        <v>18</v>
      </c>
      <c r="I249" s="210">
        <v>1</v>
      </c>
      <c r="J249" s="210" t="s">
        <v>15</v>
      </c>
      <c r="K249" s="210" t="s">
        <v>54</v>
      </c>
      <c r="L249" s="211" t="s">
        <v>60</v>
      </c>
      <c r="M249" s="211" t="s">
        <v>17</v>
      </c>
    </row>
    <row r="250" spans="1:13" x14ac:dyDescent="0.2">
      <c r="A250" s="211" t="s">
        <v>55</v>
      </c>
      <c r="B250" s="211" t="s">
        <v>58</v>
      </c>
      <c r="C250" s="211" t="s">
        <v>19</v>
      </c>
      <c r="D250" s="211" t="s">
        <v>12</v>
      </c>
      <c r="E250" s="208">
        <v>43198</v>
      </c>
      <c r="F250" s="209">
        <v>11.082659400000001</v>
      </c>
      <c r="G250" s="210" t="s">
        <v>13</v>
      </c>
      <c r="H250" s="211" t="s">
        <v>14</v>
      </c>
      <c r="I250" s="210">
        <v>1</v>
      </c>
      <c r="J250" s="210" t="s">
        <v>15</v>
      </c>
      <c r="K250" s="210" t="s">
        <v>54</v>
      </c>
      <c r="L250" s="211" t="s">
        <v>60</v>
      </c>
      <c r="M250" s="211" t="s">
        <v>56</v>
      </c>
    </row>
    <row r="251" spans="1:13" x14ac:dyDescent="0.2">
      <c r="A251" s="211" t="s">
        <v>55</v>
      </c>
      <c r="B251" s="211" t="s">
        <v>58</v>
      </c>
      <c r="C251" s="211" t="s">
        <v>19</v>
      </c>
      <c r="D251" s="211" t="s">
        <v>12</v>
      </c>
      <c r="E251" s="208">
        <v>43198</v>
      </c>
      <c r="F251" s="221">
        <v>4626.0904804000002</v>
      </c>
      <c r="G251" s="210" t="s">
        <v>16</v>
      </c>
      <c r="H251" s="211" t="s">
        <v>14</v>
      </c>
      <c r="I251" s="210">
        <v>1</v>
      </c>
      <c r="J251" s="210" t="s">
        <v>15</v>
      </c>
      <c r="K251" s="210" t="s">
        <v>54</v>
      </c>
      <c r="L251" s="211" t="s">
        <v>60</v>
      </c>
      <c r="M251" s="211" t="s">
        <v>56</v>
      </c>
    </row>
    <row r="252" spans="1:13" x14ac:dyDescent="0.2">
      <c r="A252" s="211" t="s">
        <v>55</v>
      </c>
      <c r="B252" s="211" t="s">
        <v>58</v>
      </c>
      <c r="C252" s="211" t="s">
        <v>19</v>
      </c>
      <c r="D252" s="211" t="s">
        <v>12</v>
      </c>
      <c r="E252" s="208">
        <v>43198</v>
      </c>
      <c r="F252" s="209">
        <v>5.29</v>
      </c>
      <c r="G252" s="210" t="s">
        <v>13</v>
      </c>
      <c r="H252" s="211" t="s">
        <v>18</v>
      </c>
      <c r="I252" s="210">
        <v>1</v>
      </c>
      <c r="J252" s="210" t="s">
        <v>15</v>
      </c>
      <c r="K252" s="210" t="s">
        <v>54</v>
      </c>
      <c r="L252" s="211" t="s">
        <v>60</v>
      </c>
      <c r="M252" s="211" t="s">
        <v>17</v>
      </c>
    </row>
    <row r="253" spans="1:13" x14ac:dyDescent="0.2">
      <c r="A253" s="211" t="s">
        <v>55</v>
      </c>
      <c r="B253" s="211" t="s">
        <v>58</v>
      </c>
      <c r="C253" s="211" t="s">
        <v>19</v>
      </c>
      <c r="D253" s="211" t="s">
        <v>12</v>
      </c>
      <c r="E253" s="208">
        <v>43198</v>
      </c>
      <c r="F253" s="221">
        <v>2208.1359299999999</v>
      </c>
      <c r="G253" s="210" t="s">
        <v>16</v>
      </c>
      <c r="H253" s="211" t="s">
        <v>18</v>
      </c>
      <c r="I253" s="210">
        <v>1</v>
      </c>
      <c r="J253" s="210" t="s">
        <v>15</v>
      </c>
      <c r="K253" s="210" t="s">
        <v>54</v>
      </c>
      <c r="L253" s="211" t="s">
        <v>60</v>
      </c>
      <c r="M253" s="211" t="s">
        <v>17</v>
      </c>
    </row>
    <row r="254" spans="1:13" x14ac:dyDescent="0.2">
      <c r="A254" s="211" t="s">
        <v>55</v>
      </c>
      <c r="B254" s="211" t="s">
        <v>58</v>
      </c>
      <c r="C254" s="211" t="s">
        <v>19</v>
      </c>
      <c r="D254" s="211" t="s">
        <v>12</v>
      </c>
      <c r="E254" s="208">
        <v>43197</v>
      </c>
      <c r="F254" s="209">
        <v>11.0095171</v>
      </c>
      <c r="G254" s="210" t="s">
        <v>13</v>
      </c>
      <c r="H254" s="211" t="s">
        <v>14</v>
      </c>
      <c r="I254" s="210">
        <v>1</v>
      </c>
      <c r="J254" s="210" t="s">
        <v>15</v>
      </c>
      <c r="K254" s="210" t="s">
        <v>54</v>
      </c>
      <c r="L254" s="211" t="s">
        <v>60</v>
      </c>
      <c r="M254" s="211" t="s">
        <v>56</v>
      </c>
    </row>
    <row r="255" spans="1:13" x14ac:dyDescent="0.2">
      <c r="A255" s="211" t="s">
        <v>55</v>
      </c>
      <c r="B255" s="211" t="s">
        <v>58</v>
      </c>
      <c r="C255" s="211" t="s">
        <v>19</v>
      </c>
      <c r="D255" s="211" t="s">
        <v>12</v>
      </c>
      <c r="E255" s="208">
        <v>43197</v>
      </c>
      <c r="F255" s="221">
        <v>4322.8560930000003</v>
      </c>
      <c r="G255" s="210" t="s">
        <v>16</v>
      </c>
      <c r="H255" s="211" t="s">
        <v>14</v>
      </c>
      <c r="I255" s="210">
        <v>1</v>
      </c>
      <c r="J255" s="210" t="s">
        <v>15</v>
      </c>
      <c r="K255" s="210" t="s">
        <v>54</v>
      </c>
      <c r="L255" s="211" t="s">
        <v>60</v>
      </c>
      <c r="M255" s="211" t="s">
        <v>56</v>
      </c>
    </row>
    <row r="256" spans="1:13" x14ac:dyDescent="0.2">
      <c r="A256" s="211" t="s">
        <v>55</v>
      </c>
      <c r="B256" s="211" t="s">
        <v>58</v>
      </c>
      <c r="C256" s="211" t="s">
        <v>19</v>
      </c>
      <c r="D256" s="211" t="s">
        <v>12</v>
      </c>
      <c r="E256" s="208">
        <v>43197</v>
      </c>
      <c r="F256" s="209">
        <v>5.0199999999999996</v>
      </c>
      <c r="G256" s="210" t="s">
        <v>13</v>
      </c>
      <c r="H256" s="211" t="s">
        <v>18</v>
      </c>
      <c r="I256" s="210">
        <v>1</v>
      </c>
      <c r="J256" s="210" t="s">
        <v>15</v>
      </c>
      <c r="K256" s="210" t="s">
        <v>54</v>
      </c>
      <c r="L256" s="211" t="s">
        <v>60</v>
      </c>
      <c r="M256" s="211" t="s">
        <v>17</v>
      </c>
    </row>
    <row r="257" spans="1:13" x14ac:dyDescent="0.2">
      <c r="A257" s="211" t="s">
        <v>55</v>
      </c>
      <c r="B257" s="211" t="s">
        <v>58</v>
      </c>
      <c r="C257" s="211" t="s">
        <v>19</v>
      </c>
      <c r="D257" s="211" t="s">
        <v>12</v>
      </c>
      <c r="E257" s="208">
        <v>43197</v>
      </c>
      <c r="F257" s="221">
        <v>1971.0889440000001</v>
      </c>
      <c r="G257" s="210" t="s">
        <v>16</v>
      </c>
      <c r="H257" s="211" t="s">
        <v>18</v>
      </c>
      <c r="I257" s="210">
        <v>1</v>
      </c>
      <c r="J257" s="210" t="s">
        <v>15</v>
      </c>
      <c r="K257" s="210" t="s">
        <v>54</v>
      </c>
      <c r="L257" s="211" t="s">
        <v>60</v>
      </c>
      <c r="M257" s="211" t="s">
        <v>17</v>
      </c>
    </row>
    <row r="258" spans="1:13" x14ac:dyDescent="0.2">
      <c r="A258" s="211" t="s">
        <v>55</v>
      </c>
      <c r="B258" s="211" t="s">
        <v>58</v>
      </c>
      <c r="C258" s="211" t="s">
        <v>19</v>
      </c>
      <c r="D258" s="211" t="s">
        <v>12</v>
      </c>
      <c r="E258" s="208">
        <v>43196</v>
      </c>
      <c r="F258" s="209">
        <v>11.095206299999999</v>
      </c>
      <c r="G258" s="210" t="s">
        <v>13</v>
      </c>
      <c r="H258" s="211" t="s">
        <v>14</v>
      </c>
      <c r="I258" s="210">
        <v>1</v>
      </c>
      <c r="J258" s="210" t="s">
        <v>15</v>
      </c>
      <c r="K258" s="210" t="s">
        <v>54</v>
      </c>
      <c r="L258" s="211" t="s">
        <v>60</v>
      </c>
      <c r="M258" s="211" t="s">
        <v>56</v>
      </c>
    </row>
    <row r="259" spans="1:13" x14ac:dyDescent="0.2">
      <c r="A259" s="211" t="s">
        <v>55</v>
      </c>
      <c r="B259" s="211" t="s">
        <v>58</v>
      </c>
      <c r="C259" s="211" t="s">
        <v>19</v>
      </c>
      <c r="D259" s="211" t="s">
        <v>12</v>
      </c>
      <c r="E259" s="208">
        <v>43196</v>
      </c>
      <c r="F259" s="221">
        <v>4463.8411876999999</v>
      </c>
      <c r="G259" s="210" t="s">
        <v>16</v>
      </c>
      <c r="H259" s="211" t="s">
        <v>14</v>
      </c>
      <c r="I259" s="210">
        <v>1</v>
      </c>
      <c r="J259" s="210" t="s">
        <v>15</v>
      </c>
      <c r="K259" s="210" t="s">
        <v>54</v>
      </c>
      <c r="L259" s="211" t="s">
        <v>60</v>
      </c>
      <c r="M259" s="211" t="s">
        <v>56</v>
      </c>
    </row>
    <row r="260" spans="1:13" x14ac:dyDescent="0.2">
      <c r="A260" s="211" t="s">
        <v>55</v>
      </c>
      <c r="B260" s="211" t="s">
        <v>58</v>
      </c>
      <c r="C260" s="211" t="s">
        <v>19</v>
      </c>
      <c r="D260" s="211" t="s">
        <v>12</v>
      </c>
      <c r="E260" s="208">
        <v>43196</v>
      </c>
      <c r="F260" s="209">
        <v>5.51</v>
      </c>
      <c r="G260" s="210" t="s">
        <v>13</v>
      </c>
      <c r="H260" s="211" t="s">
        <v>18</v>
      </c>
      <c r="I260" s="210">
        <v>1</v>
      </c>
      <c r="J260" s="210" t="s">
        <v>15</v>
      </c>
      <c r="K260" s="210" t="s">
        <v>54</v>
      </c>
      <c r="L260" s="211" t="s">
        <v>60</v>
      </c>
      <c r="M260" s="211" t="s">
        <v>17</v>
      </c>
    </row>
    <row r="261" spans="1:13" x14ac:dyDescent="0.2">
      <c r="A261" s="211" t="s">
        <v>55</v>
      </c>
      <c r="B261" s="211" t="s">
        <v>58</v>
      </c>
      <c r="C261" s="211" t="s">
        <v>19</v>
      </c>
      <c r="D261" s="211" t="s">
        <v>12</v>
      </c>
      <c r="E261" s="208">
        <v>43196</v>
      </c>
      <c r="F261" s="221">
        <v>2216.7920159999999</v>
      </c>
      <c r="G261" s="210" t="s">
        <v>16</v>
      </c>
      <c r="H261" s="211" t="s">
        <v>18</v>
      </c>
      <c r="I261" s="210">
        <v>1</v>
      </c>
      <c r="J261" s="210" t="s">
        <v>15</v>
      </c>
      <c r="K261" s="210" t="s">
        <v>54</v>
      </c>
      <c r="L261" s="211" t="s">
        <v>60</v>
      </c>
      <c r="M261" s="211" t="s">
        <v>17</v>
      </c>
    </row>
    <row r="262" spans="1:13" x14ac:dyDescent="0.2">
      <c r="A262" s="211" t="s">
        <v>55</v>
      </c>
      <c r="B262" s="211" t="s">
        <v>58</v>
      </c>
      <c r="C262" s="211" t="s">
        <v>19</v>
      </c>
      <c r="D262" s="211" t="s">
        <v>12</v>
      </c>
      <c r="E262" s="208">
        <v>43195</v>
      </c>
      <c r="F262" s="209">
        <v>10.2861042</v>
      </c>
      <c r="G262" s="210" t="s">
        <v>13</v>
      </c>
      <c r="H262" s="211" t="s">
        <v>14</v>
      </c>
      <c r="I262" s="210">
        <v>1</v>
      </c>
      <c r="J262" s="210" t="s">
        <v>15</v>
      </c>
      <c r="K262" s="210" t="s">
        <v>54</v>
      </c>
      <c r="L262" s="211" t="s">
        <v>60</v>
      </c>
      <c r="M262" s="211" t="s">
        <v>56</v>
      </c>
    </row>
    <row r="263" spans="1:13" x14ac:dyDescent="0.2">
      <c r="A263" s="211" t="s">
        <v>55</v>
      </c>
      <c r="B263" s="211" t="s">
        <v>58</v>
      </c>
      <c r="C263" s="211" t="s">
        <v>19</v>
      </c>
      <c r="D263" s="211" t="s">
        <v>12</v>
      </c>
      <c r="E263" s="208">
        <v>43195</v>
      </c>
      <c r="F263" s="221">
        <v>4196.6564724999998</v>
      </c>
      <c r="G263" s="210" t="s">
        <v>16</v>
      </c>
      <c r="H263" s="211" t="s">
        <v>14</v>
      </c>
      <c r="I263" s="210">
        <v>1</v>
      </c>
      <c r="J263" s="210" t="s">
        <v>15</v>
      </c>
      <c r="K263" s="210" t="s">
        <v>54</v>
      </c>
      <c r="L263" s="211" t="s">
        <v>60</v>
      </c>
      <c r="M263" s="211" t="s">
        <v>56</v>
      </c>
    </row>
    <row r="264" spans="1:13" x14ac:dyDescent="0.2">
      <c r="A264" s="211" t="s">
        <v>55</v>
      </c>
      <c r="B264" s="211" t="s">
        <v>58</v>
      </c>
      <c r="C264" s="211" t="s">
        <v>19</v>
      </c>
      <c r="D264" s="211" t="s">
        <v>12</v>
      </c>
      <c r="E264" s="208">
        <v>43195</v>
      </c>
      <c r="F264" s="209">
        <v>5.37</v>
      </c>
      <c r="G264" s="210" t="s">
        <v>13</v>
      </c>
      <c r="H264" s="211" t="s">
        <v>18</v>
      </c>
      <c r="I264" s="210">
        <v>1</v>
      </c>
      <c r="J264" s="210" t="s">
        <v>15</v>
      </c>
      <c r="K264" s="210" t="s">
        <v>54</v>
      </c>
      <c r="L264" s="211" t="s">
        <v>60</v>
      </c>
      <c r="M264" s="211" t="s">
        <v>17</v>
      </c>
    </row>
    <row r="265" spans="1:13" x14ac:dyDescent="0.2">
      <c r="A265" s="211" t="s">
        <v>55</v>
      </c>
      <c r="B265" s="211" t="s">
        <v>58</v>
      </c>
      <c r="C265" s="211" t="s">
        <v>19</v>
      </c>
      <c r="D265" s="211" t="s">
        <v>12</v>
      </c>
      <c r="E265" s="208">
        <v>43195</v>
      </c>
      <c r="F265" s="221">
        <v>2190.9213359999999</v>
      </c>
      <c r="G265" s="210" t="s">
        <v>16</v>
      </c>
      <c r="H265" s="211" t="s">
        <v>18</v>
      </c>
      <c r="I265" s="210">
        <v>1</v>
      </c>
      <c r="J265" s="210" t="s">
        <v>15</v>
      </c>
      <c r="K265" s="210" t="s">
        <v>54</v>
      </c>
      <c r="L265" s="211" t="s">
        <v>60</v>
      </c>
      <c r="M265" s="211" t="s">
        <v>17</v>
      </c>
    </row>
    <row r="266" spans="1:13" x14ac:dyDescent="0.2">
      <c r="A266" s="211" t="s">
        <v>55</v>
      </c>
      <c r="B266" s="211" t="s">
        <v>58</v>
      </c>
      <c r="C266" s="211" t="s">
        <v>19</v>
      </c>
      <c r="D266" s="211" t="s">
        <v>12</v>
      </c>
      <c r="E266" s="208">
        <v>43194</v>
      </c>
      <c r="F266" s="209">
        <v>11.421695</v>
      </c>
      <c r="G266" s="210" t="s">
        <v>13</v>
      </c>
      <c r="H266" s="211" t="s">
        <v>14</v>
      </c>
      <c r="I266" s="210">
        <v>1</v>
      </c>
      <c r="J266" s="210" t="s">
        <v>15</v>
      </c>
      <c r="K266" s="210" t="s">
        <v>54</v>
      </c>
      <c r="L266" s="211" t="s">
        <v>60</v>
      </c>
      <c r="M266" s="211" t="s">
        <v>56</v>
      </c>
    </row>
    <row r="267" spans="1:13" x14ac:dyDescent="0.2">
      <c r="A267" s="211" t="s">
        <v>55</v>
      </c>
      <c r="B267" s="211" t="s">
        <v>58</v>
      </c>
      <c r="C267" s="211" t="s">
        <v>19</v>
      </c>
      <c r="D267" s="211" t="s">
        <v>12</v>
      </c>
      <c r="E267" s="208">
        <v>43194</v>
      </c>
      <c r="F267" s="221">
        <v>5314.3845064999996</v>
      </c>
      <c r="G267" s="210" t="s">
        <v>16</v>
      </c>
      <c r="H267" s="211" t="s">
        <v>14</v>
      </c>
      <c r="I267" s="210">
        <v>1</v>
      </c>
      <c r="J267" s="210" t="s">
        <v>15</v>
      </c>
      <c r="K267" s="210" t="s">
        <v>54</v>
      </c>
      <c r="L267" s="211" t="s">
        <v>60</v>
      </c>
      <c r="M267" s="211" t="s">
        <v>56</v>
      </c>
    </row>
    <row r="268" spans="1:13" x14ac:dyDescent="0.2">
      <c r="A268" s="211" t="s">
        <v>55</v>
      </c>
      <c r="B268" s="211" t="s">
        <v>58</v>
      </c>
      <c r="C268" s="211" t="s">
        <v>19</v>
      </c>
      <c r="D268" s="211" t="s">
        <v>12</v>
      </c>
      <c r="E268" s="208">
        <v>43194</v>
      </c>
      <c r="F268" s="209">
        <v>6.55</v>
      </c>
      <c r="G268" s="210" t="s">
        <v>13</v>
      </c>
      <c r="H268" s="211" t="s">
        <v>18</v>
      </c>
      <c r="I268" s="210">
        <v>1</v>
      </c>
      <c r="J268" s="210" t="s">
        <v>15</v>
      </c>
      <c r="K268" s="210" t="s">
        <v>54</v>
      </c>
      <c r="L268" s="211" t="s">
        <v>60</v>
      </c>
      <c r="M268" s="211" t="s">
        <v>17</v>
      </c>
    </row>
    <row r="269" spans="1:13" x14ac:dyDescent="0.2">
      <c r="A269" s="211" t="s">
        <v>55</v>
      </c>
      <c r="B269" s="211" t="s">
        <v>58</v>
      </c>
      <c r="C269" s="211" t="s">
        <v>19</v>
      </c>
      <c r="D269" s="211" t="s">
        <v>12</v>
      </c>
      <c r="E269" s="208">
        <v>43194</v>
      </c>
      <c r="F269" s="221">
        <v>3047.6403300000002</v>
      </c>
      <c r="G269" s="210" t="s">
        <v>16</v>
      </c>
      <c r="H269" s="211" t="s">
        <v>18</v>
      </c>
      <c r="I269" s="210">
        <v>1</v>
      </c>
      <c r="J269" s="210" t="s">
        <v>15</v>
      </c>
      <c r="K269" s="210" t="s">
        <v>54</v>
      </c>
      <c r="L269" s="211" t="s">
        <v>60</v>
      </c>
      <c r="M269" s="211" t="s">
        <v>17</v>
      </c>
    </row>
    <row r="270" spans="1:13" x14ac:dyDescent="0.2">
      <c r="A270" s="211" t="s">
        <v>55</v>
      </c>
      <c r="B270" s="211" t="s">
        <v>58</v>
      </c>
      <c r="C270" s="211" t="s">
        <v>19</v>
      </c>
      <c r="D270" s="211" t="s">
        <v>12</v>
      </c>
      <c r="E270" s="208">
        <v>43193</v>
      </c>
      <c r="F270" s="209">
        <v>11.2300624</v>
      </c>
      <c r="G270" s="210" t="s">
        <v>13</v>
      </c>
      <c r="H270" s="211" t="s">
        <v>14</v>
      </c>
      <c r="I270" s="210">
        <v>1</v>
      </c>
      <c r="J270" s="210" t="s">
        <v>15</v>
      </c>
      <c r="K270" s="210" t="s">
        <v>54</v>
      </c>
      <c r="L270" s="211" t="s">
        <v>60</v>
      </c>
      <c r="M270" s="211" t="s">
        <v>56</v>
      </c>
    </row>
    <row r="271" spans="1:13" x14ac:dyDescent="0.2">
      <c r="A271" s="211" t="s">
        <v>55</v>
      </c>
      <c r="B271" s="211" t="s">
        <v>58</v>
      </c>
      <c r="C271" s="211" t="s">
        <v>19</v>
      </c>
      <c r="D271" s="211" t="s">
        <v>12</v>
      </c>
      <c r="E271" s="208">
        <v>43193</v>
      </c>
      <c r="F271" s="221">
        <v>5249.5712999999996</v>
      </c>
      <c r="G271" s="210" t="s">
        <v>16</v>
      </c>
      <c r="H271" s="211" t="s">
        <v>14</v>
      </c>
      <c r="I271" s="210">
        <v>1</v>
      </c>
      <c r="J271" s="210" t="s">
        <v>15</v>
      </c>
      <c r="K271" s="210" t="s">
        <v>54</v>
      </c>
      <c r="L271" s="211" t="s">
        <v>60</v>
      </c>
      <c r="M271" s="211" t="s">
        <v>56</v>
      </c>
    </row>
    <row r="272" spans="1:13" x14ac:dyDescent="0.2">
      <c r="A272" s="211" t="s">
        <v>55</v>
      </c>
      <c r="B272" s="211" t="s">
        <v>58</v>
      </c>
      <c r="C272" s="211" t="s">
        <v>19</v>
      </c>
      <c r="D272" s="211" t="s">
        <v>12</v>
      </c>
      <c r="E272" s="208">
        <v>43193</v>
      </c>
      <c r="F272" s="209">
        <v>7.66</v>
      </c>
      <c r="G272" s="210" t="s">
        <v>13</v>
      </c>
      <c r="H272" s="211" t="s">
        <v>18</v>
      </c>
      <c r="I272" s="210">
        <v>1</v>
      </c>
      <c r="J272" s="210" t="s">
        <v>15</v>
      </c>
      <c r="K272" s="210" t="s">
        <v>54</v>
      </c>
      <c r="L272" s="211" t="s">
        <v>60</v>
      </c>
      <c r="M272" s="211" t="s">
        <v>17</v>
      </c>
    </row>
    <row r="273" spans="1:13" x14ac:dyDescent="0.2">
      <c r="A273" s="211" t="s">
        <v>55</v>
      </c>
      <c r="B273" s="211" t="s">
        <v>58</v>
      </c>
      <c r="C273" s="211" t="s">
        <v>19</v>
      </c>
      <c r="D273" s="211" t="s">
        <v>12</v>
      </c>
      <c r="E273" s="208">
        <v>43193</v>
      </c>
      <c r="F273" s="221">
        <v>3580.7206200000001</v>
      </c>
      <c r="G273" s="210" t="s">
        <v>16</v>
      </c>
      <c r="H273" s="211" t="s">
        <v>18</v>
      </c>
      <c r="I273" s="210">
        <v>1</v>
      </c>
      <c r="J273" s="210" t="s">
        <v>15</v>
      </c>
      <c r="K273" s="210" t="s">
        <v>54</v>
      </c>
      <c r="L273" s="211" t="s">
        <v>60</v>
      </c>
      <c r="M273" s="211" t="s">
        <v>17</v>
      </c>
    </row>
    <row r="274" spans="1:13" x14ac:dyDescent="0.2">
      <c r="A274" s="211" t="s">
        <v>55</v>
      </c>
      <c r="B274" s="211" t="s">
        <v>58</v>
      </c>
      <c r="C274" s="211" t="s">
        <v>19</v>
      </c>
      <c r="D274" s="211" t="s">
        <v>12</v>
      </c>
      <c r="E274" s="208">
        <v>43192</v>
      </c>
      <c r="F274" s="209">
        <v>11.0358793</v>
      </c>
      <c r="G274" s="210" t="s">
        <v>13</v>
      </c>
      <c r="H274" s="211" t="s">
        <v>14</v>
      </c>
      <c r="I274" s="210">
        <v>1</v>
      </c>
      <c r="J274" s="210" t="s">
        <v>15</v>
      </c>
      <c r="K274" s="210" t="s">
        <v>54</v>
      </c>
      <c r="L274" s="211" t="s">
        <v>60</v>
      </c>
      <c r="M274" s="211" t="s">
        <v>56</v>
      </c>
    </row>
    <row r="275" spans="1:13" x14ac:dyDescent="0.2">
      <c r="A275" s="211" t="s">
        <v>55</v>
      </c>
      <c r="B275" s="211" t="s">
        <v>58</v>
      </c>
      <c r="C275" s="211" t="s">
        <v>19</v>
      </c>
      <c r="D275" s="211" t="s">
        <v>12</v>
      </c>
      <c r="E275" s="208">
        <v>43192</v>
      </c>
      <c r="F275" s="221">
        <v>5140.3912068</v>
      </c>
      <c r="G275" s="210" t="s">
        <v>16</v>
      </c>
      <c r="H275" s="211" t="s">
        <v>14</v>
      </c>
      <c r="I275" s="210">
        <v>1</v>
      </c>
      <c r="J275" s="210" t="s">
        <v>15</v>
      </c>
      <c r="K275" s="210" t="s">
        <v>54</v>
      </c>
      <c r="L275" s="211" t="s">
        <v>60</v>
      </c>
      <c r="M275" s="211" t="s">
        <v>56</v>
      </c>
    </row>
    <row r="276" spans="1:13" x14ac:dyDescent="0.2">
      <c r="A276" s="211" t="s">
        <v>55</v>
      </c>
      <c r="B276" s="211" t="s">
        <v>58</v>
      </c>
      <c r="C276" s="211" t="s">
        <v>19</v>
      </c>
      <c r="D276" s="211" t="s">
        <v>12</v>
      </c>
      <c r="E276" s="208">
        <v>43192</v>
      </c>
      <c r="F276" s="209">
        <v>7.71</v>
      </c>
      <c r="G276" s="210" t="s">
        <v>13</v>
      </c>
      <c r="H276" s="211" t="s">
        <v>18</v>
      </c>
      <c r="I276" s="210">
        <v>1</v>
      </c>
      <c r="J276" s="210" t="s">
        <v>15</v>
      </c>
      <c r="K276" s="210" t="s">
        <v>54</v>
      </c>
      <c r="L276" s="211" t="s">
        <v>60</v>
      </c>
      <c r="M276" s="211" t="s">
        <v>17</v>
      </c>
    </row>
    <row r="277" spans="1:13" x14ac:dyDescent="0.2">
      <c r="A277" s="211" t="s">
        <v>55</v>
      </c>
      <c r="B277" s="211" t="s">
        <v>58</v>
      </c>
      <c r="C277" s="211" t="s">
        <v>19</v>
      </c>
      <c r="D277" s="211" t="s">
        <v>12</v>
      </c>
      <c r="E277" s="208">
        <v>43192</v>
      </c>
      <c r="F277" s="221">
        <v>3591.2331899999999</v>
      </c>
      <c r="G277" s="210" t="s">
        <v>16</v>
      </c>
      <c r="H277" s="211" t="s">
        <v>18</v>
      </c>
      <c r="I277" s="210">
        <v>1</v>
      </c>
      <c r="J277" s="210" t="s">
        <v>15</v>
      </c>
      <c r="K277" s="210" t="s">
        <v>54</v>
      </c>
      <c r="L277" s="211" t="s">
        <v>60</v>
      </c>
      <c r="M277" s="211" t="s">
        <v>17</v>
      </c>
    </row>
    <row r="278" spans="1:13" x14ac:dyDescent="0.2">
      <c r="A278" s="211" t="s">
        <v>55</v>
      </c>
      <c r="B278" s="211" t="s">
        <v>58</v>
      </c>
      <c r="C278" s="211" t="s">
        <v>19</v>
      </c>
      <c r="D278" s="211" t="s">
        <v>12</v>
      </c>
      <c r="E278" s="208">
        <v>43191</v>
      </c>
      <c r="F278" s="209">
        <v>11.359926400000001</v>
      </c>
      <c r="G278" s="210" t="s">
        <v>13</v>
      </c>
      <c r="H278" s="211" t="s">
        <v>14</v>
      </c>
      <c r="I278" s="210">
        <v>1</v>
      </c>
      <c r="J278" s="210" t="s">
        <v>15</v>
      </c>
      <c r="K278" s="210" t="s">
        <v>54</v>
      </c>
      <c r="L278" s="211" t="s">
        <v>60</v>
      </c>
      <c r="M278" s="211" t="s">
        <v>56</v>
      </c>
    </row>
    <row r="279" spans="1:13" x14ac:dyDescent="0.2">
      <c r="A279" s="211" t="s">
        <v>55</v>
      </c>
      <c r="B279" s="211" t="s">
        <v>58</v>
      </c>
      <c r="C279" s="211" t="s">
        <v>19</v>
      </c>
      <c r="D279" s="211" t="s">
        <v>12</v>
      </c>
      <c r="E279" s="208">
        <v>43191</v>
      </c>
      <c r="F279" s="221">
        <v>5279.0123359999998</v>
      </c>
      <c r="G279" s="210" t="s">
        <v>16</v>
      </c>
      <c r="H279" s="211" t="s">
        <v>14</v>
      </c>
      <c r="I279" s="210">
        <v>1</v>
      </c>
      <c r="J279" s="210" t="s">
        <v>15</v>
      </c>
      <c r="K279" s="210" t="s">
        <v>54</v>
      </c>
      <c r="L279" s="211" t="s">
        <v>60</v>
      </c>
      <c r="M279" s="211" t="s">
        <v>56</v>
      </c>
    </row>
    <row r="280" spans="1:13" x14ac:dyDescent="0.2">
      <c r="A280" s="211" t="s">
        <v>55</v>
      </c>
      <c r="B280" s="211" t="s">
        <v>58</v>
      </c>
      <c r="C280" s="211" t="s">
        <v>19</v>
      </c>
      <c r="D280" s="211" t="s">
        <v>12</v>
      </c>
      <c r="E280" s="208">
        <v>43191</v>
      </c>
      <c r="F280" s="209">
        <v>7.7</v>
      </c>
      <c r="G280" s="210" t="s">
        <v>13</v>
      </c>
      <c r="H280" s="211" t="s">
        <v>18</v>
      </c>
      <c r="I280" s="210">
        <v>1</v>
      </c>
      <c r="J280" s="210" t="s">
        <v>15</v>
      </c>
      <c r="K280" s="210" t="s">
        <v>54</v>
      </c>
      <c r="L280" s="211" t="s">
        <v>60</v>
      </c>
      <c r="M280" s="211" t="s">
        <v>17</v>
      </c>
    </row>
    <row r="281" spans="1:13" x14ac:dyDescent="0.2">
      <c r="A281" s="211" t="s">
        <v>55</v>
      </c>
      <c r="B281" s="211" t="s">
        <v>58</v>
      </c>
      <c r="C281" s="211" t="s">
        <v>19</v>
      </c>
      <c r="D281" s="211" t="s">
        <v>12</v>
      </c>
      <c r="E281" s="208">
        <v>43191</v>
      </c>
      <c r="F281" s="221">
        <v>3578.22696</v>
      </c>
      <c r="G281" s="210" t="s">
        <v>16</v>
      </c>
      <c r="H281" s="211" t="s">
        <v>18</v>
      </c>
      <c r="I281" s="210">
        <v>1</v>
      </c>
      <c r="J281" s="210" t="s">
        <v>15</v>
      </c>
      <c r="K281" s="210" t="s">
        <v>54</v>
      </c>
      <c r="L281" s="211" t="s">
        <v>60</v>
      </c>
      <c r="M281" s="211" t="s">
        <v>17</v>
      </c>
    </row>
    <row r="282" spans="1:13" x14ac:dyDescent="0.2">
      <c r="A282" s="211" t="s">
        <v>55</v>
      </c>
      <c r="B282" s="211" t="s">
        <v>58</v>
      </c>
      <c r="C282" s="211" t="s">
        <v>19</v>
      </c>
      <c r="D282" s="211" t="s">
        <v>12</v>
      </c>
      <c r="E282" s="208">
        <v>43190</v>
      </c>
      <c r="F282" s="209">
        <v>11.810452099999999</v>
      </c>
      <c r="G282" s="210" t="s">
        <v>13</v>
      </c>
      <c r="H282" s="211" t="s">
        <v>14</v>
      </c>
      <c r="I282" s="210">
        <v>1</v>
      </c>
      <c r="J282" s="210" t="s">
        <v>15</v>
      </c>
      <c r="K282" s="210" t="s">
        <v>54</v>
      </c>
      <c r="L282" s="211" t="s">
        <v>60</v>
      </c>
      <c r="M282" s="211" t="s">
        <v>56</v>
      </c>
    </row>
    <row r="283" spans="1:13" x14ac:dyDescent="0.2">
      <c r="A283" s="211" t="s">
        <v>55</v>
      </c>
      <c r="B283" s="211" t="s">
        <v>58</v>
      </c>
      <c r="C283" s="211" t="s">
        <v>19</v>
      </c>
      <c r="D283" s="211" t="s">
        <v>12</v>
      </c>
      <c r="E283" s="208">
        <v>43190</v>
      </c>
      <c r="F283" s="221">
        <v>4683.6355800000001</v>
      </c>
      <c r="G283" s="210" t="s">
        <v>16</v>
      </c>
      <c r="H283" s="211" t="s">
        <v>14</v>
      </c>
      <c r="I283" s="210">
        <v>1</v>
      </c>
      <c r="J283" s="210" t="s">
        <v>15</v>
      </c>
      <c r="K283" s="210" t="s">
        <v>54</v>
      </c>
      <c r="L283" s="211" t="s">
        <v>60</v>
      </c>
      <c r="M283" s="211" t="s">
        <v>56</v>
      </c>
    </row>
    <row r="284" spans="1:13" x14ac:dyDescent="0.2">
      <c r="A284" s="211" t="s">
        <v>55</v>
      </c>
      <c r="B284" s="211" t="s">
        <v>58</v>
      </c>
      <c r="C284" s="211" t="s">
        <v>19</v>
      </c>
      <c r="D284" s="211" t="s">
        <v>12</v>
      </c>
      <c r="E284" s="208">
        <v>43190</v>
      </c>
      <c r="F284" s="209">
        <v>9.27</v>
      </c>
      <c r="G284" s="210" t="s">
        <v>13</v>
      </c>
      <c r="H284" s="211" t="s">
        <v>18</v>
      </c>
      <c r="I284" s="210">
        <v>1</v>
      </c>
      <c r="J284" s="210" t="s">
        <v>15</v>
      </c>
      <c r="K284" s="210" t="s">
        <v>54</v>
      </c>
      <c r="L284" s="211" t="s">
        <v>60</v>
      </c>
      <c r="M284" s="211" t="s">
        <v>17</v>
      </c>
    </row>
    <row r="285" spans="1:13" x14ac:dyDescent="0.2">
      <c r="A285" s="211" t="s">
        <v>55</v>
      </c>
      <c r="B285" s="211" t="s">
        <v>58</v>
      </c>
      <c r="C285" s="211" t="s">
        <v>19</v>
      </c>
      <c r="D285" s="211" t="s">
        <v>12</v>
      </c>
      <c r="E285" s="208">
        <v>43190</v>
      </c>
      <c r="F285" s="221">
        <v>3676.1760899999999</v>
      </c>
      <c r="G285" s="210" t="s">
        <v>16</v>
      </c>
      <c r="H285" s="211" t="s">
        <v>18</v>
      </c>
      <c r="I285" s="210">
        <v>1</v>
      </c>
      <c r="J285" s="210" t="s">
        <v>15</v>
      </c>
      <c r="K285" s="210" t="s">
        <v>54</v>
      </c>
      <c r="L285" s="211" t="s">
        <v>60</v>
      </c>
      <c r="M285" s="211" t="s">
        <v>17</v>
      </c>
    </row>
    <row r="286" spans="1:13" x14ac:dyDescent="0.2">
      <c r="A286" s="211" t="s">
        <v>55</v>
      </c>
      <c r="B286" s="211" t="s">
        <v>58</v>
      </c>
      <c r="C286" s="211" t="s">
        <v>19</v>
      </c>
      <c r="D286" s="211" t="s">
        <v>12</v>
      </c>
      <c r="E286" s="208">
        <v>43189</v>
      </c>
      <c r="F286" s="209">
        <v>12.9177838</v>
      </c>
      <c r="G286" s="210" t="s">
        <v>13</v>
      </c>
      <c r="H286" s="211" t="s">
        <v>14</v>
      </c>
      <c r="I286" s="210">
        <v>1</v>
      </c>
      <c r="J286" s="210" t="s">
        <v>15</v>
      </c>
      <c r="K286" s="210" t="s">
        <v>54</v>
      </c>
      <c r="L286" s="211" t="s">
        <v>60</v>
      </c>
      <c r="M286" s="211" t="s">
        <v>56</v>
      </c>
    </row>
    <row r="287" spans="1:13" x14ac:dyDescent="0.2">
      <c r="A287" s="211" t="s">
        <v>55</v>
      </c>
      <c r="B287" s="211" t="s">
        <v>58</v>
      </c>
      <c r="C287" s="211" t="s">
        <v>19</v>
      </c>
      <c r="D287" s="211" t="s">
        <v>12</v>
      </c>
      <c r="E287" s="208">
        <v>43189</v>
      </c>
      <c r="F287" s="221">
        <v>4725.2271600000004</v>
      </c>
      <c r="G287" s="210" t="s">
        <v>16</v>
      </c>
      <c r="H287" s="211" t="s">
        <v>14</v>
      </c>
      <c r="I287" s="210">
        <v>1</v>
      </c>
      <c r="J287" s="210" t="s">
        <v>15</v>
      </c>
      <c r="K287" s="210" t="s">
        <v>54</v>
      </c>
      <c r="L287" s="211" t="s">
        <v>60</v>
      </c>
      <c r="M287" s="211" t="s">
        <v>56</v>
      </c>
    </row>
    <row r="288" spans="1:13" x14ac:dyDescent="0.2">
      <c r="A288" s="211" t="s">
        <v>55</v>
      </c>
      <c r="B288" s="211" t="s">
        <v>58</v>
      </c>
      <c r="C288" s="211" t="s">
        <v>19</v>
      </c>
      <c r="D288" s="211" t="s">
        <v>12</v>
      </c>
      <c r="E288" s="208">
        <v>43189</v>
      </c>
      <c r="F288" s="209">
        <v>8.6</v>
      </c>
      <c r="G288" s="210" t="s">
        <v>13</v>
      </c>
      <c r="H288" s="211" t="s">
        <v>18</v>
      </c>
      <c r="I288" s="210">
        <v>1</v>
      </c>
      <c r="J288" s="210" t="s">
        <v>15</v>
      </c>
      <c r="K288" s="210" t="s">
        <v>54</v>
      </c>
      <c r="L288" s="211" t="s">
        <v>60</v>
      </c>
      <c r="M288" s="211" t="s">
        <v>17</v>
      </c>
    </row>
    <row r="289" spans="1:13" x14ac:dyDescent="0.2">
      <c r="A289" s="211" t="s">
        <v>55</v>
      </c>
      <c r="B289" s="211" t="s">
        <v>58</v>
      </c>
      <c r="C289" s="211" t="s">
        <v>19</v>
      </c>
      <c r="D289" s="211" t="s">
        <v>12</v>
      </c>
      <c r="E289" s="208">
        <v>43189</v>
      </c>
      <c r="F289" s="221">
        <v>3145.8146400000001</v>
      </c>
      <c r="G289" s="210" t="s">
        <v>16</v>
      </c>
      <c r="H289" s="211" t="s">
        <v>18</v>
      </c>
      <c r="I289" s="210">
        <v>1</v>
      </c>
      <c r="J289" s="210" t="s">
        <v>15</v>
      </c>
      <c r="K289" s="210" t="s">
        <v>54</v>
      </c>
      <c r="L289" s="211" t="s">
        <v>60</v>
      </c>
      <c r="M289" s="211" t="s">
        <v>17</v>
      </c>
    </row>
    <row r="290" spans="1:13" x14ac:dyDescent="0.2">
      <c r="A290" s="211" t="s">
        <v>55</v>
      </c>
      <c r="B290" s="211" t="s">
        <v>58</v>
      </c>
      <c r="C290" s="211" t="s">
        <v>19</v>
      </c>
      <c r="D290" s="211" t="s">
        <v>12</v>
      </c>
      <c r="E290" s="208">
        <v>43188</v>
      </c>
      <c r="F290" s="209">
        <v>11.5601995</v>
      </c>
      <c r="G290" s="210" t="s">
        <v>13</v>
      </c>
      <c r="H290" s="211" t="s">
        <v>14</v>
      </c>
      <c r="I290" s="210">
        <v>1</v>
      </c>
      <c r="J290" s="210" t="s">
        <v>15</v>
      </c>
      <c r="K290" s="210" t="s">
        <v>54</v>
      </c>
      <c r="L290" s="211" t="s">
        <v>60</v>
      </c>
      <c r="M290" s="211" t="s">
        <v>56</v>
      </c>
    </row>
    <row r="291" spans="1:13" x14ac:dyDescent="0.2">
      <c r="A291" s="211" t="s">
        <v>55</v>
      </c>
      <c r="B291" s="211" t="s">
        <v>58</v>
      </c>
      <c r="C291" s="211" t="s">
        <v>19</v>
      </c>
      <c r="D291" s="211" t="s">
        <v>12</v>
      </c>
      <c r="E291" s="208">
        <v>43188</v>
      </c>
      <c r="F291" s="221">
        <v>4541.9723400000003</v>
      </c>
      <c r="G291" s="210" t="s">
        <v>16</v>
      </c>
      <c r="H291" s="211" t="s">
        <v>14</v>
      </c>
      <c r="I291" s="210">
        <v>1</v>
      </c>
      <c r="J291" s="210" t="s">
        <v>15</v>
      </c>
      <c r="K291" s="210" t="s">
        <v>54</v>
      </c>
      <c r="L291" s="211" t="s">
        <v>60</v>
      </c>
      <c r="M291" s="211" t="s">
        <v>56</v>
      </c>
    </row>
    <row r="292" spans="1:13" x14ac:dyDescent="0.2">
      <c r="A292" s="211" t="s">
        <v>55</v>
      </c>
      <c r="B292" s="211" t="s">
        <v>58</v>
      </c>
      <c r="C292" s="211" t="s">
        <v>19</v>
      </c>
      <c r="D292" s="211" t="s">
        <v>12</v>
      </c>
      <c r="E292" s="208">
        <v>43188</v>
      </c>
      <c r="F292" s="209">
        <v>8.15</v>
      </c>
      <c r="G292" s="210" t="s">
        <v>13</v>
      </c>
      <c r="H292" s="211" t="s">
        <v>18</v>
      </c>
      <c r="I292" s="210">
        <v>1</v>
      </c>
      <c r="J292" s="210" t="s">
        <v>15</v>
      </c>
      <c r="K292" s="210" t="s">
        <v>54</v>
      </c>
      <c r="L292" s="211" t="s">
        <v>60</v>
      </c>
      <c r="M292" s="211" t="s">
        <v>17</v>
      </c>
    </row>
    <row r="293" spans="1:13" x14ac:dyDescent="0.2">
      <c r="A293" s="211" t="s">
        <v>55</v>
      </c>
      <c r="B293" s="211" t="s">
        <v>58</v>
      </c>
      <c r="C293" s="211" t="s">
        <v>19</v>
      </c>
      <c r="D293" s="211" t="s">
        <v>12</v>
      </c>
      <c r="E293" s="208">
        <v>43188</v>
      </c>
      <c r="F293" s="221">
        <v>3202.1138099999998</v>
      </c>
      <c r="G293" s="210" t="s">
        <v>16</v>
      </c>
      <c r="H293" s="211" t="s">
        <v>18</v>
      </c>
      <c r="I293" s="210">
        <v>1</v>
      </c>
      <c r="J293" s="210" t="s">
        <v>15</v>
      </c>
      <c r="K293" s="210" t="s">
        <v>54</v>
      </c>
      <c r="L293" s="211" t="s">
        <v>60</v>
      </c>
      <c r="M293" s="211" t="s">
        <v>17</v>
      </c>
    </row>
    <row r="294" spans="1:13" x14ac:dyDescent="0.2">
      <c r="A294" s="211" t="s">
        <v>55</v>
      </c>
      <c r="B294" s="211" t="s">
        <v>58</v>
      </c>
      <c r="C294" s="211" t="s">
        <v>19</v>
      </c>
      <c r="D294" s="211" t="s">
        <v>12</v>
      </c>
      <c r="E294" s="208">
        <v>43187</v>
      </c>
      <c r="F294" s="209">
        <v>10.526551700000001</v>
      </c>
      <c r="G294" s="210" t="s">
        <v>13</v>
      </c>
      <c r="H294" s="211" t="s">
        <v>14</v>
      </c>
      <c r="I294" s="210">
        <v>1</v>
      </c>
      <c r="J294" s="210" t="s">
        <v>15</v>
      </c>
      <c r="K294" s="210" t="s">
        <v>54</v>
      </c>
      <c r="L294" s="211" t="s">
        <v>60</v>
      </c>
      <c r="M294" s="211" t="s">
        <v>56</v>
      </c>
    </row>
    <row r="295" spans="1:13" x14ac:dyDescent="0.2">
      <c r="A295" s="211" t="s">
        <v>55</v>
      </c>
      <c r="B295" s="211" t="s">
        <v>58</v>
      </c>
      <c r="C295" s="211" t="s">
        <v>19</v>
      </c>
      <c r="D295" s="211" t="s">
        <v>12</v>
      </c>
      <c r="E295" s="208">
        <v>43187</v>
      </c>
      <c r="F295" s="221">
        <v>4073.52288</v>
      </c>
      <c r="G295" s="210" t="s">
        <v>16</v>
      </c>
      <c r="H295" s="211" t="s">
        <v>14</v>
      </c>
      <c r="I295" s="210">
        <v>1</v>
      </c>
      <c r="J295" s="210" t="s">
        <v>15</v>
      </c>
      <c r="K295" s="210" t="s">
        <v>54</v>
      </c>
      <c r="L295" s="211" t="s">
        <v>60</v>
      </c>
      <c r="M295" s="211" t="s">
        <v>56</v>
      </c>
    </row>
    <row r="296" spans="1:13" x14ac:dyDescent="0.2">
      <c r="A296" s="211" t="s">
        <v>55</v>
      </c>
      <c r="B296" s="211" t="s">
        <v>58</v>
      </c>
      <c r="C296" s="211" t="s">
        <v>19</v>
      </c>
      <c r="D296" s="211" t="s">
        <v>12</v>
      </c>
      <c r="E296" s="208">
        <v>43187</v>
      </c>
      <c r="F296" s="209">
        <v>8.09</v>
      </c>
      <c r="G296" s="210" t="s">
        <v>13</v>
      </c>
      <c r="H296" s="211" t="s">
        <v>18</v>
      </c>
      <c r="I296" s="210">
        <v>1</v>
      </c>
      <c r="J296" s="210" t="s">
        <v>15</v>
      </c>
      <c r="K296" s="210" t="s">
        <v>54</v>
      </c>
      <c r="L296" s="211" t="s">
        <v>60</v>
      </c>
      <c r="M296" s="211" t="s">
        <v>17</v>
      </c>
    </row>
    <row r="297" spans="1:13" x14ac:dyDescent="0.2">
      <c r="A297" s="211" t="s">
        <v>55</v>
      </c>
      <c r="B297" s="211" t="s">
        <v>58</v>
      </c>
      <c r="C297" s="211" t="s">
        <v>19</v>
      </c>
      <c r="D297" s="211" t="s">
        <v>12</v>
      </c>
      <c r="E297" s="208">
        <v>43187</v>
      </c>
      <c r="F297" s="221">
        <v>3130.6358399999999</v>
      </c>
      <c r="G297" s="210" t="s">
        <v>16</v>
      </c>
      <c r="H297" s="211" t="s">
        <v>18</v>
      </c>
      <c r="I297" s="210">
        <v>1</v>
      </c>
      <c r="J297" s="210" t="s">
        <v>15</v>
      </c>
      <c r="K297" s="210" t="s">
        <v>54</v>
      </c>
      <c r="L297" s="211" t="s">
        <v>60</v>
      </c>
      <c r="M297" s="211" t="s">
        <v>17</v>
      </c>
    </row>
    <row r="298" spans="1:13" x14ac:dyDescent="0.2">
      <c r="A298" s="211" t="s">
        <v>55</v>
      </c>
      <c r="B298" s="211" t="s">
        <v>58</v>
      </c>
      <c r="C298" s="211" t="s">
        <v>19</v>
      </c>
      <c r="D298" s="211" t="s">
        <v>12</v>
      </c>
      <c r="E298" s="208">
        <v>43186</v>
      </c>
      <c r="F298" s="209">
        <v>14.4440051</v>
      </c>
      <c r="G298" s="210" t="s">
        <v>13</v>
      </c>
      <c r="H298" s="211" t="s">
        <v>14</v>
      </c>
      <c r="I298" s="210">
        <v>1</v>
      </c>
      <c r="J298" s="210" t="s">
        <v>15</v>
      </c>
      <c r="K298" s="210" t="s">
        <v>54</v>
      </c>
      <c r="L298" s="211" t="s">
        <v>60</v>
      </c>
      <c r="M298" s="211" t="s">
        <v>56</v>
      </c>
    </row>
    <row r="299" spans="1:13" x14ac:dyDescent="0.2">
      <c r="A299" s="211" t="s">
        <v>55</v>
      </c>
      <c r="B299" s="211" t="s">
        <v>58</v>
      </c>
      <c r="C299" s="211" t="s">
        <v>19</v>
      </c>
      <c r="D299" s="211" t="s">
        <v>12</v>
      </c>
      <c r="E299" s="208">
        <v>43186</v>
      </c>
      <c r="F299" s="221">
        <v>5636.4638999999997</v>
      </c>
      <c r="G299" s="210" t="s">
        <v>16</v>
      </c>
      <c r="H299" s="211" t="s">
        <v>14</v>
      </c>
      <c r="I299" s="210">
        <v>1</v>
      </c>
      <c r="J299" s="210" t="s">
        <v>15</v>
      </c>
      <c r="K299" s="210" t="s">
        <v>54</v>
      </c>
      <c r="L299" s="211" t="s">
        <v>60</v>
      </c>
      <c r="M299" s="211" t="s">
        <v>56</v>
      </c>
    </row>
    <row r="300" spans="1:13" x14ac:dyDescent="0.2">
      <c r="A300" s="211" t="s">
        <v>55</v>
      </c>
      <c r="B300" s="211" t="s">
        <v>58</v>
      </c>
      <c r="C300" s="211" t="s">
        <v>19</v>
      </c>
      <c r="D300" s="211" t="s">
        <v>12</v>
      </c>
      <c r="E300" s="208">
        <v>43186</v>
      </c>
      <c r="F300" s="209">
        <v>8.8800000000000008</v>
      </c>
      <c r="G300" s="210" t="s">
        <v>13</v>
      </c>
      <c r="H300" s="211" t="s">
        <v>18</v>
      </c>
      <c r="I300" s="210">
        <v>1</v>
      </c>
      <c r="J300" s="210" t="s">
        <v>15</v>
      </c>
      <c r="K300" s="210" t="s">
        <v>54</v>
      </c>
      <c r="L300" s="211" t="s">
        <v>60</v>
      </c>
      <c r="M300" s="211" t="s">
        <v>17</v>
      </c>
    </row>
    <row r="301" spans="1:13" x14ac:dyDescent="0.2">
      <c r="A301" s="211" t="s">
        <v>55</v>
      </c>
      <c r="B301" s="211" t="s">
        <v>58</v>
      </c>
      <c r="C301" s="211" t="s">
        <v>19</v>
      </c>
      <c r="D301" s="211" t="s">
        <v>12</v>
      </c>
      <c r="E301" s="208">
        <v>43186</v>
      </c>
      <c r="F301" s="221">
        <v>3465.2299680000001</v>
      </c>
      <c r="G301" s="210" t="s">
        <v>16</v>
      </c>
      <c r="H301" s="211" t="s">
        <v>18</v>
      </c>
      <c r="I301" s="210">
        <v>1</v>
      </c>
      <c r="J301" s="210" t="s">
        <v>15</v>
      </c>
      <c r="K301" s="210" t="s">
        <v>54</v>
      </c>
      <c r="L301" s="211" t="s">
        <v>60</v>
      </c>
      <c r="M301" s="211" t="s">
        <v>17</v>
      </c>
    </row>
    <row r="302" spans="1:13" x14ac:dyDescent="0.2">
      <c r="A302" s="211" t="s">
        <v>55</v>
      </c>
      <c r="B302" s="211" t="s">
        <v>58</v>
      </c>
      <c r="C302" s="211" t="s">
        <v>19</v>
      </c>
      <c r="D302" s="211" t="s">
        <v>12</v>
      </c>
      <c r="E302" s="208">
        <v>43185</v>
      </c>
      <c r="F302" s="209">
        <v>14.1750972</v>
      </c>
      <c r="G302" s="210" t="s">
        <v>13</v>
      </c>
      <c r="H302" s="211" t="s">
        <v>14</v>
      </c>
      <c r="I302" s="210">
        <v>1</v>
      </c>
      <c r="J302" s="210" t="s">
        <v>15</v>
      </c>
      <c r="K302" s="210" t="s">
        <v>54</v>
      </c>
      <c r="L302" s="211" t="s">
        <v>60</v>
      </c>
      <c r="M302" s="211" t="s">
        <v>56</v>
      </c>
    </row>
    <row r="303" spans="1:13" x14ac:dyDescent="0.2">
      <c r="A303" s="211" t="s">
        <v>55</v>
      </c>
      <c r="B303" s="211" t="s">
        <v>58</v>
      </c>
      <c r="C303" s="211" t="s">
        <v>19</v>
      </c>
      <c r="D303" s="211" t="s">
        <v>12</v>
      </c>
      <c r="E303" s="208">
        <v>43185</v>
      </c>
      <c r="F303" s="221">
        <v>5468.8716000000004</v>
      </c>
      <c r="G303" s="210" t="s">
        <v>16</v>
      </c>
      <c r="H303" s="211" t="s">
        <v>14</v>
      </c>
      <c r="I303" s="210">
        <v>1</v>
      </c>
      <c r="J303" s="210" t="s">
        <v>15</v>
      </c>
      <c r="K303" s="210" t="s">
        <v>54</v>
      </c>
      <c r="L303" s="211" t="s">
        <v>60</v>
      </c>
      <c r="M303" s="211" t="s">
        <v>56</v>
      </c>
    </row>
    <row r="304" spans="1:13" x14ac:dyDescent="0.2">
      <c r="A304" s="211" t="s">
        <v>55</v>
      </c>
      <c r="B304" s="211" t="s">
        <v>58</v>
      </c>
      <c r="C304" s="211" t="s">
        <v>19</v>
      </c>
      <c r="D304" s="211" t="s">
        <v>12</v>
      </c>
      <c r="E304" s="208">
        <v>43185</v>
      </c>
      <c r="F304" s="209">
        <v>8.5399999999999991</v>
      </c>
      <c r="G304" s="210" t="s">
        <v>13</v>
      </c>
      <c r="H304" s="211" t="s">
        <v>18</v>
      </c>
      <c r="I304" s="210">
        <v>1</v>
      </c>
      <c r="J304" s="210" t="s">
        <v>15</v>
      </c>
      <c r="K304" s="210" t="s">
        <v>54</v>
      </c>
      <c r="L304" s="211" t="s">
        <v>60</v>
      </c>
      <c r="M304" s="211" t="s">
        <v>17</v>
      </c>
    </row>
    <row r="305" spans="1:13" x14ac:dyDescent="0.2">
      <c r="A305" s="211" t="s">
        <v>55</v>
      </c>
      <c r="B305" s="211" t="s">
        <v>58</v>
      </c>
      <c r="C305" s="211" t="s">
        <v>19</v>
      </c>
      <c r="D305" s="211" t="s">
        <v>12</v>
      </c>
      <c r="E305" s="208">
        <v>43185</v>
      </c>
      <c r="F305" s="221">
        <v>3294.8037359999998</v>
      </c>
      <c r="G305" s="210" t="s">
        <v>16</v>
      </c>
      <c r="H305" s="211" t="s">
        <v>18</v>
      </c>
      <c r="I305" s="210">
        <v>1</v>
      </c>
      <c r="J305" s="210" t="s">
        <v>15</v>
      </c>
      <c r="K305" s="210" t="s">
        <v>54</v>
      </c>
      <c r="L305" s="211" t="s">
        <v>60</v>
      </c>
      <c r="M305" s="211" t="s">
        <v>17</v>
      </c>
    </row>
    <row r="306" spans="1:13" x14ac:dyDescent="0.2">
      <c r="A306" s="211" t="s">
        <v>55</v>
      </c>
      <c r="B306" s="211" t="s">
        <v>58</v>
      </c>
      <c r="C306" s="211" t="s">
        <v>19</v>
      </c>
      <c r="D306" s="211" t="s">
        <v>12</v>
      </c>
      <c r="E306" s="208">
        <v>43184</v>
      </c>
      <c r="F306" s="209">
        <v>14.7830928</v>
      </c>
      <c r="G306" s="210" t="s">
        <v>13</v>
      </c>
      <c r="H306" s="211" t="s">
        <v>14</v>
      </c>
      <c r="I306" s="210">
        <v>1</v>
      </c>
      <c r="J306" s="210" t="s">
        <v>15</v>
      </c>
      <c r="K306" s="210" t="s">
        <v>54</v>
      </c>
      <c r="L306" s="211" t="s">
        <v>60</v>
      </c>
      <c r="M306" s="211" t="s">
        <v>56</v>
      </c>
    </row>
    <row r="307" spans="1:13" x14ac:dyDescent="0.2">
      <c r="A307" s="211" t="s">
        <v>55</v>
      </c>
      <c r="B307" s="211" t="s">
        <v>58</v>
      </c>
      <c r="C307" s="211" t="s">
        <v>19</v>
      </c>
      <c r="D307" s="211" t="s">
        <v>12</v>
      </c>
      <c r="E307" s="208">
        <v>43184</v>
      </c>
      <c r="F307" s="221">
        <v>5469.1885199999997</v>
      </c>
      <c r="G307" s="210" t="s">
        <v>16</v>
      </c>
      <c r="H307" s="211" t="s">
        <v>14</v>
      </c>
      <c r="I307" s="210">
        <v>1</v>
      </c>
      <c r="J307" s="210" t="s">
        <v>15</v>
      </c>
      <c r="K307" s="210" t="s">
        <v>54</v>
      </c>
      <c r="L307" s="211" t="s">
        <v>60</v>
      </c>
      <c r="M307" s="211" t="s">
        <v>56</v>
      </c>
    </row>
    <row r="308" spans="1:13" x14ac:dyDescent="0.2">
      <c r="A308" s="211" t="s">
        <v>55</v>
      </c>
      <c r="B308" s="211" t="s">
        <v>58</v>
      </c>
      <c r="C308" s="211" t="s">
        <v>19</v>
      </c>
      <c r="D308" s="211" t="s">
        <v>12</v>
      </c>
      <c r="E308" s="208">
        <v>43184</v>
      </c>
      <c r="F308" s="209">
        <v>9.25</v>
      </c>
      <c r="G308" s="210" t="s">
        <v>13</v>
      </c>
      <c r="H308" s="211" t="s">
        <v>18</v>
      </c>
      <c r="I308" s="210">
        <v>1</v>
      </c>
      <c r="J308" s="210" t="s">
        <v>15</v>
      </c>
      <c r="K308" s="210" t="s">
        <v>54</v>
      </c>
      <c r="L308" s="211" t="s">
        <v>60</v>
      </c>
      <c r="M308" s="211" t="s">
        <v>17</v>
      </c>
    </row>
    <row r="309" spans="1:13" x14ac:dyDescent="0.2">
      <c r="A309" s="211" t="s">
        <v>55</v>
      </c>
      <c r="B309" s="211" t="s">
        <v>58</v>
      </c>
      <c r="C309" s="211" t="s">
        <v>19</v>
      </c>
      <c r="D309" s="211" t="s">
        <v>12</v>
      </c>
      <c r="E309" s="208">
        <v>43184</v>
      </c>
      <c r="F309" s="221">
        <v>3422.1522</v>
      </c>
      <c r="G309" s="210" t="s">
        <v>16</v>
      </c>
      <c r="H309" s="211" t="s">
        <v>18</v>
      </c>
      <c r="I309" s="210">
        <v>1</v>
      </c>
      <c r="J309" s="210" t="s">
        <v>15</v>
      </c>
      <c r="K309" s="210" t="s">
        <v>54</v>
      </c>
      <c r="L309" s="211" t="s">
        <v>60</v>
      </c>
      <c r="M309" s="211" t="s">
        <v>17</v>
      </c>
    </row>
    <row r="310" spans="1:13" x14ac:dyDescent="0.2">
      <c r="A310" s="211" t="s">
        <v>55</v>
      </c>
      <c r="B310" s="211" t="s">
        <v>58</v>
      </c>
      <c r="C310" s="211" t="s">
        <v>19</v>
      </c>
      <c r="D310" s="211" t="s">
        <v>12</v>
      </c>
      <c r="E310" s="208">
        <v>43183</v>
      </c>
      <c r="F310" s="209">
        <v>15.7394573</v>
      </c>
      <c r="G310" s="210" t="s">
        <v>13</v>
      </c>
      <c r="H310" s="211" t="s">
        <v>14</v>
      </c>
      <c r="I310" s="210">
        <v>1</v>
      </c>
      <c r="J310" s="210" t="s">
        <v>15</v>
      </c>
      <c r="K310" s="210" t="s">
        <v>54</v>
      </c>
      <c r="L310" s="211" t="s">
        <v>60</v>
      </c>
      <c r="M310" s="211" t="s">
        <v>56</v>
      </c>
    </row>
    <row r="311" spans="1:13" x14ac:dyDescent="0.2">
      <c r="A311" s="211" t="s">
        <v>55</v>
      </c>
      <c r="B311" s="211" t="s">
        <v>58</v>
      </c>
      <c r="C311" s="211" t="s">
        <v>19</v>
      </c>
      <c r="D311" s="211" t="s">
        <v>12</v>
      </c>
      <c r="E311" s="208">
        <v>43183</v>
      </c>
      <c r="F311" s="221">
        <v>5708.8050599999997</v>
      </c>
      <c r="G311" s="210" t="s">
        <v>16</v>
      </c>
      <c r="H311" s="211" t="s">
        <v>14</v>
      </c>
      <c r="I311" s="210">
        <v>1</v>
      </c>
      <c r="J311" s="210" t="s">
        <v>15</v>
      </c>
      <c r="K311" s="210" t="s">
        <v>54</v>
      </c>
      <c r="L311" s="211" t="s">
        <v>60</v>
      </c>
      <c r="M311" s="211" t="s">
        <v>56</v>
      </c>
    </row>
    <row r="312" spans="1:13" x14ac:dyDescent="0.2">
      <c r="A312" s="211" t="s">
        <v>55</v>
      </c>
      <c r="B312" s="211" t="s">
        <v>58</v>
      </c>
      <c r="C312" s="211" t="s">
        <v>19</v>
      </c>
      <c r="D312" s="211" t="s">
        <v>12</v>
      </c>
      <c r="E312" s="208">
        <v>43183</v>
      </c>
      <c r="F312" s="209">
        <v>11.5</v>
      </c>
      <c r="G312" s="210" t="s">
        <v>13</v>
      </c>
      <c r="H312" s="211" t="s">
        <v>18</v>
      </c>
      <c r="I312" s="210">
        <v>1</v>
      </c>
      <c r="J312" s="210" t="s">
        <v>15</v>
      </c>
      <c r="K312" s="210" t="s">
        <v>54</v>
      </c>
      <c r="L312" s="211" t="s">
        <v>60</v>
      </c>
      <c r="M312" s="211" t="s">
        <v>17</v>
      </c>
    </row>
    <row r="313" spans="1:13" x14ac:dyDescent="0.2">
      <c r="A313" s="211" t="s">
        <v>55</v>
      </c>
      <c r="B313" s="211" t="s">
        <v>58</v>
      </c>
      <c r="C313" s="211" t="s">
        <v>19</v>
      </c>
      <c r="D313" s="211" t="s">
        <v>12</v>
      </c>
      <c r="E313" s="208">
        <v>43183</v>
      </c>
      <c r="F313" s="221">
        <v>4171.1259</v>
      </c>
      <c r="G313" s="210" t="s">
        <v>16</v>
      </c>
      <c r="H313" s="211" t="s">
        <v>18</v>
      </c>
      <c r="I313" s="210">
        <v>1</v>
      </c>
      <c r="J313" s="210" t="s">
        <v>15</v>
      </c>
      <c r="K313" s="210" t="s">
        <v>54</v>
      </c>
      <c r="L313" s="211" t="s">
        <v>60</v>
      </c>
      <c r="M313" s="211" t="s">
        <v>17</v>
      </c>
    </row>
    <row r="314" spans="1:13" x14ac:dyDescent="0.2">
      <c r="A314" s="211" t="s">
        <v>55</v>
      </c>
      <c r="B314" s="211" t="s">
        <v>58</v>
      </c>
      <c r="C314" s="211" t="s">
        <v>19</v>
      </c>
      <c r="D314" s="211" t="s">
        <v>12</v>
      </c>
      <c r="E314" s="208">
        <v>43182</v>
      </c>
      <c r="F314" s="209">
        <v>15.2840992</v>
      </c>
      <c r="G314" s="210" t="s">
        <v>13</v>
      </c>
      <c r="H314" s="211" t="s">
        <v>14</v>
      </c>
      <c r="I314" s="210">
        <v>1</v>
      </c>
      <c r="J314" s="210" t="s">
        <v>15</v>
      </c>
      <c r="K314" s="210" t="s">
        <v>54</v>
      </c>
      <c r="L314" s="211" t="s">
        <v>60</v>
      </c>
      <c r="M314" s="211" t="s">
        <v>56</v>
      </c>
    </row>
    <row r="315" spans="1:13" x14ac:dyDescent="0.2">
      <c r="A315" s="211" t="s">
        <v>55</v>
      </c>
      <c r="B315" s="211" t="s">
        <v>58</v>
      </c>
      <c r="C315" s="211" t="s">
        <v>19</v>
      </c>
      <c r="D315" s="211" t="s">
        <v>12</v>
      </c>
      <c r="E315" s="208">
        <v>43182</v>
      </c>
      <c r="F315" s="221">
        <v>5547.4677600000005</v>
      </c>
      <c r="G315" s="210" t="s">
        <v>16</v>
      </c>
      <c r="H315" s="211" t="s">
        <v>14</v>
      </c>
      <c r="I315" s="210">
        <v>1</v>
      </c>
      <c r="J315" s="210" t="s">
        <v>15</v>
      </c>
      <c r="K315" s="210" t="s">
        <v>54</v>
      </c>
      <c r="L315" s="211" t="s">
        <v>60</v>
      </c>
      <c r="M315" s="211" t="s">
        <v>56</v>
      </c>
    </row>
    <row r="316" spans="1:13" x14ac:dyDescent="0.2">
      <c r="A316" s="211" t="s">
        <v>55</v>
      </c>
      <c r="B316" s="211" t="s">
        <v>58</v>
      </c>
      <c r="C316" s="211" t="s">
        <v>19</v>
      </c>
      <c r="D316" s="211" t="s">
        <v>12</v>
      </c>
      <c r="E316" s="208">
        <v>43182</v>
      </c>
      <c r="F316" s="209">
        <v>11.3</v>
      </c>
      <c r="G316" s="210" t="s">
        <v>13</v>
      </c>
      <c r="H316" s="211" t="s">
        <v>18</v>
      </c>
      <c r="I316" s="210">
        <v>1</v>
      </c>
      <c r="J316" s="210" t="s">
        <v>15</v>
      </c>
      <c r="K316" s="210" t="s">
        <v>54</v>
      </c>
      <c r="L316" s="211" t="s">
        <v>60</v>
      </c>
      <c r="M316" s="211" t="s">
        <v>17</v>
      </c>
    </row>
    <row r="317" spans="1:13" x14ac:dyDescent="0.2">
      <c r="A317" s="211" t="s">
        <v>55</v>
      </c>
      <c r="B317" s="211" t="s">
        <v>58</v>
      </c>
      <c r="C317" s="211" t="s">
        <v>19</v>
      </c>
      <c r="D317" s="211" t="s">
        <v>12</v>
      </c>
      <c r="E317" s="208">
        <v>43182</v>
      </c>
      <c r="F317" s="221">
        <v>4101.4118399999998</v>
      </c>
      <c r="G317" s="210" t="s">
        <v>16</v>
      </c>
      <c r="H317" s="211" t="s">
        <v>18</v>
      </c>
      <c r="I317" s="210">
        <v>1</v>
      </c>
      <c r="J317" s="210" t="s">
        <v>15</v>
      </c>
      <c r="K317" s="210" t="s">
        <v>54</v>
      </c>
      <c r="L317" s="211" t="s">
        <v>60</v>
      </c>
      <c r="M317" s="211" t="s">
        <v>17</v>
      </c>
    </row>
    <row r="318" spans="1:13" x14ac:dyDescent="0.2">
      <c r="A318" s="211" t="s">
        <v>55</v>
      </c>
      <c r="B318" s="211" t="s">
        <v>58</v>
      </c>
      <c r="C318" s="211" t="s">
        <v>19</v>
      </c>
      <c r="D318" s="211" t="s">
        <v>12</v>
      </c>
      <c r="E318" s="208">
        <v>43181</v>
      </c>
      <c r="F318" s="209">
        <v>14.280715199999999</v>
      </c>
      <c r="G318" s="210" t="s">
        <v>13</v>
      </c>
      <c r="H318" s="211" t="s">
        <v>14</v>
      </c>
      <c r="I318" s="210">
        <v>1</v>
      </c>
      <c r="J318" s="210" t="s">
        <v>15</v>
      </c>
      <c r="K318" s="210" t="s">
        <v>54</v>
      </c>
      <c r="L318" s="211" t="s">
        <v>60</v>
      </c>
      <c r="M318" s="211" t="s">
        <v>56</v>
      </c>
    </row>
    <row r="319" spans="1:13" x14ac:dyDescent="0.2">
      <c r="A319" s="211" t="s">
        <v>55</v>
      </c>
      <c r="B319" s="211" t="s">
        <v>58</v>
      </c>
      <c r="C319" s="211" t="s">
        <v>19</v>
      </c>
      <c r="D319" s="211" t="s">
        <v>12</v>
      </c>
      <c r="E319" s="208">
        <v>43181</v>
      </c>
      <c r="F319" s="221">
        <v>5095.14786</v>
      </c>
      <c r="G319" s="210" t="s">
        <v>16</v>
      </c>
      <c r="H319" s="211" t="s">
        <v>14</v>
      </c>
      <c r="I319" s="210">
        <v>1</v>
      </c>
      <c r="J319" s="210" t="s">
        <v>15</v>
      </c>
      <c r="K319" s="210" t="s">
        <v>54</v>
      </c>
      <c r="L319" s="211" t="s">
        <v>60</v>
      </c>
      <c r="M319" s="211" t="s">
        <v>56</v>
      </c>
    </row>
    <row r="320" spans="1:13" x14ac:dyDescent="0.2">
      <c r="A320" s="211" t="s">
        <v>55</v>
      </c>
      <c r="B320" s="211" t="s">
        <v>58</v>
      </c>
      <c r="C320" s="211" t="s">
        <v>19</v>
      </c>
      <c r="D320" s="211" t="s">
        <v>12</v>
      </c>
      <c r="E320" s="208">
        <v>43181</v>
      </c>
      <c r="F320" s="209">
        <v>9.26</v>
      </c>
      <c r="G320" s="210" t="s">
        <v>13</v>
      </c>
      <c r="H320" s="211" t="s">
        <v>18</v>
      </c>
      <c r="I320" s="210">
        <v>1</v>
      </c>
      <c r="J320" s="210" t="s">
        <v>15</v>
      </c>
      <c r="K320" s="210" t="s">
        <v>54</v>
      </c>
      <c r="L320" s="211" t="s">
        <v>60</v>
      </c>
      <c r="M320" s="211" t="s">
        <v>17</v>
      </c>
    </row>
    <row r="321" spans="1:13" x14ac:dyDescent="0.2">
      <c r="A321" s="211" t="s">
        <v>55</v>
      </c>
      <c r="B321" s="211" t="s">
        <v>58</v>
      </c>
      <c r="C321" s="211" t="s">
        <v>19</v>
      </c>
      <c r="D321" s="211" t="s">
        <v>12</v>
      </c>
      <c r="E321" s="208">
        <v>43181</v>
      </c>
      <c r="F321" s="221">
        <v>3303.8309519999998</v>
      </c>
      <c r="G321" s="210" t="s">
        <v>16</v>
      </c>
      <c r="H321" s="211" t="s">
        <v>18</v>
      </c>
      <c r="I321" s="210">
        <v>1</v>
      </c>
      <c r="J321" s="210" t="s">
        <v>15</v>
      </c>
      <c r="K321" s="210" t="s">
        <v>54</v>
      </c>
      <c r="L321" s="211" t="s">
        <v>60</v>
      </c>
      <c r="M321" s="211" t="s">
        <v>17</v>
      </c>
    </row>
    <row r="322" spans="1:13" x14ac:dyDescent="0.2">
      <c r="A322" s="211" t="s">
        <v>55</v>
      </c>
      <c r="B322" s="211" t="s">
        <v>58</v>
      </c>
      <c r="C322" s="211" t="s">
        <v>19</v>
      </c>
      <c r="D322" s="211" t="s">
        <v>12</v>
      </c>
      <c r="E322" s="208">
        <v>43180</v>
      </c>
      <c r="F322" s="209">
        <v>13.0826235</v>
      </c>
      <c r="G322" s="210" t="s">
        <v>13</v>
      </c>
      <c r="H322" s="211" t="s">
        <v>14</v>
      </c>
      <c r="I322" s="210">
        <v>1</v>
      </c>
      <c r="J322" s="210" t="s">
        <v>15</v>
      </c>
      <c r="K322" s="210" t="s">
        <v>54</v>
      </c>
      <c r="L322" s="211" t="s">
        <v>60</v>
      </c>
      <c r="M322" s="211" t="s">
        <v>56</v>
      </c>
    </row>
    <row r="323" spans="1:13" x14ac:dyDescent="0.2">
      <c r="A323" s="211" t="s">
        <v>55</v>
      </c>
      <c r="B323" s="211" t="s">
        <v>58</v>
      </c>
      <c r="C323" s="211" t="s">
        <v>19</v>
      </c>
      <c r="D323" s="211" t="s">
        <v>12</v>
      </c>
      <c r="E323" s="208">
        <v>43180</v>
      </c>
      <c r="F323" s="221">
        <v>4458.19704</v>
      </c>
      <c r="G323" s="210" t="s">
        <v>16</v>
      </c>
      <c r="H323" s="211" t="s">
        <v>14</v>
      </c>
      <c r="I323" s="210">
        <v>1</v>
      </c>
      <c r="J323" s="210" t="s">
        <v>15</v>
      </c>
      <c r="K323" s="210" t="s">
        <v>54</v>
      </c>
      <c r="L323" s="211" t="s">
        <v>60</v>
      </c>
      <c r="M323" s="211" t="s">
        <v>56</v>
      </c>
    </row>
    <row r="324" spans="1:13" x14ac:dyDescent="0.2">
      <c r="A324" s="211" t="s">
        <v>55</v>
      </c>
      <c r="B324" s="211" t="s">
        <v>58</v>
      </c>
      <c r="C324" s="211" t="s">
        <v>19</v>
      </c>
      <c r="D324" s="211" t="s">
        <v>12</v>
      </c>
      <c r="E324" s="208">
        <v>43180</v>
      </c>
      <c r="F324" s="209">
        <v>7.22</v>
      </c>
      <c r="G324" s="210" t="s">
        <v>13</v>
      </c>
      <c r="H324" s="211" t="s">
        <v>18</v>
      </c>
      <c r="I324" s="210">
        <v>1</v>
      </c>
      <c r="J324" s="210" t="s">
        <v>15</v>
      </c>
      <c r="K324" s="210" t="s">
        <v>54</v>
      </c>
      <c r="L324" s="211" t="s">
        <v>60</v>
      </c>
      <c r="M324" s="211" t="s">
        <v>17</v>
      </c>
    </row>
    <row r="325" spans="1:13" x14ac:dyDescent="0.2">
      <c r="A325" s="211" t="s">
        <v>55</v>
      </c>
      <c r="B325" s="211" t="s">
        <v>58</v>
      </c>
      <c r="C325" s="211" t="s">
        <v>19</v>
      </c>
      <c r="D325" s="211" t="s">
        <v>12</v>
      </c>
      <c r="E325" s="208">
        <v>43180</v>
      </c>
      <c r="F325" s="221">
        <v>2460.3767280000002</v>
      </c>
      <c r="G325" s="210" t="s">
        <v>16</v>
      </c>
      <c r="H325" s="211" t="s">
        <v>18</v>
      </c>
      <c r="I325" s="210">
        <v>1</v>
      </c>
      <c r="J325" s="210" t="s">
        <v>15</v>
      </c>
      <c r="K325" s="210" t="s">
        <v>54</v>
      </c>
      <c r="L325" s="211" t="s">
        <v>60</v>
      </c>
      <c r="M325" s="211" t="s">
        <v>17</v>
      </c>
    </row>
    <row r="326" spans="1:13" x14ac:dyDescent="0.2">
      <c r="A326" s="211" t="s">
        <v>55</v>
      </c>
      <c r="B326" s="211" t="s">
        <v>58</v>
      </c>
      <c r="C326" s="211" t="s">
        <v>19</v>
      </c>
      <c r="D326" s="211" t="s">
        <v>12</v>
      </c>
      <c r="E326" s="208">
        <v>43179</v>
      </c>
      <c r="F326" s="209">
        <v>10.0686049</v>
      </c>
      <c r="G326" s="210" t="s">
        <v>13</v>
      </c>
      <c r="H326" s="211" t="s">
        <v>14</v>
      </c>
      <c r="I326" s="210">
        <v>1</v>
      </c>
      <c r="J326" s="210" t="s">
        <v>15</v>
      </c>
      <c r="K326" s="210" t="s">
        <v>54</v>
      </c>
      <c r="L326" s="211" t="s">
        <v>60</v>
      </c>
      <c r="M326" s="211" t="s">
        <v>56</v>
      </c>
    </row>
    <row r="327" spans="1:13" x14ac:dyDescent="0.2">
      <c r="A327" s="211" t="s">
        <v>55</v>
      </c>
      <c r="B327" s="211" t="s">
        <v>58</v>
      </c>
      <c r="C327" s="211" t="s">
        <v>19</v>
      </c>
      <c r="D327" s="211" t="s">
        <v>12</v>
      </c>
      <c r="E327" s="208">
        <v>43179</v>
      </c>
      <c r="F327" s="221">
        <v>3436.98072</v>
      </c>
      <c r="G327" s="210" t="s">
        <v>16</v>
      </c>
      <c r="H327" s="211" t="s">
        <v>14</v>
      </c>
      <c r="I327" s="210">
        <v>1</v>
      </c>
      <c r="J327" s="210" t="s">
        <v>15</v>
      </c>
      <c r="K327" s="210" t="s">
        <v>54</v>
      </c>
      <c r="L327" s="211" t="s">
        <v>60</v>
      </c>
      <c r="M327" s="211" t="s">
        <v>56</v>
      </c>
    </row>
    <row r="328" spans="1:13" x14ac:dyDescent="0.2">
      <c r="A328" s="211" t="s">
        <v>55</v>
      </c>
      <c r="B328" s="211" t="s">
        <v>58</v>
      </c>
      <c r="C328" s="211" t="s">
        <v>19</v>
      </c>
      <c r="D328" s="211" t="s">
        <v>12</v>
      </c>
      <c r="E328" s="208">
        <v>43179</v>
      </c>
      <c r="F328" s="209">
        <v>7.98</v>
      </c>
      <c r="G328" s="210" t="s">
        <v>13</v>
      </c>
      <c r="H328" s="211" t="s">
        <v>18</v>
      </c>
      <c r="I328" s="210">
        <v>1</v>
      </c>
      <c r="J328" s="210" t="s">
        <v>15</v>
      </c>
      <c r="K328" s="210" t="s">
        <v>54</v>
      </c>
      <c r="L328" s="211" t="s">
        <v>60</v>
      </c>
      <c r="M328" s="211" t="s">
        <v>17</v>
      </c>
    </row>
    <row r="329" spans="1:13" x14ac:dyDescent="0.2">
      <c r="A329" s="211" t="s">
        <v>55</v>
      </c>
      <c r="B329" s="211" t="s">
        <v>58</v>
      </c>
      <c r="C329" s="211" t="s">
        <v>19</v>
      </c>
      <c r="D329" s="211" t="s">
        <v>12</v>
      </c>
      <c r="E329" s="208">
        <v>43179</v>
      </c>
      <c r="F329" s="221">
        <v>2724.0224760000001</v>
      </c>
      <c r="G329" s="210" t="s">
        <v>16</v>
      </c>
      <c r="H329" s="211" t="s">
        <v>18</v>
      </c>
      <c r="I329" s="210">
        <v>1</v>
      </c>
      <c r="J329" s="210" t="s">
        <v>15</v>
      </c>
      <c r="K329" s="210" t="s">
        <v>54</v>
      </c>
      <c r="L329" s="211" t="s">
        <v>60</v>
      </c>
      <c r="M329" s="211" t="s">
        <v>17</v>
      </c>
    </row>
    <row r="330" spans="1:13" x14ac:dyDescent="0.2">
      <c r="A330" s="211" t="s">
        <v>55</v>
      </c>
      <c r="B330" s="211" t="s">
        <v>58</v>
      </c>
      <c r="C330" s="211" t="s">
        <v>19</v>
      </c>
      <c r="D330" s="211" t="s">
        <v>12</v>
      </c>
      <c r="E330" s="208">
        <v>43178</v>
      </c>
      <c r="F330" s="209">
        <v>10.936063600000001</v>
      </c>
      <c r="G330" s="210" t="s">
        <v>13</v>
      </c>
      <c r="H330" s="211" t="s">
        <v>14</v>
      </c>
      <c r="I330" s="210">
        <v>1</v>
      </c>
      <c r="J330" s="210" t="s">
        <v>15</v>
      </c>
      <c r="K330" s="210" t="s">
        <v>54</v>
      </c>
      <c r="L330" s="211" t="s">
        <v>60</v>
      </c>
      <c r="M330" s="211" t="s">
        <v>56</v>
      </c>
    </row>
    <row r="331" spans="1:13" x14ac:dyDescent="0.2">
      <c r="A331" s="211" t="s">
        <v>55</v>
      </c>
      <c r="B331" s="211" t="s">
        <v>58</v>
      </c>
      <c r="C331" s="211" t="s">
        <v>19</v>
      </c>
      <c r="D331" s="211" t="s">
        <v>12</v>
      </c>
      <c r="E331" s="208">
        <v>43178</v>
      </c>
      <c r="F331" s="221">
        <v>3725.7965880000002</v>
      </c>
      <c r="G331" s="210" t="s">
        <v>16</v>
      </c>
      <c r="H331" s="211" t="s">
        <v>14</v>
      </c>
      <c r="I331" s="210">
        <v>1</v>
      </c>
      <c r="J331" s="210" t="s">
        <v>15</v>
      </c>
      <c r="K331" s="210" t="s">
        <v>54</v>
      </c>
      <c r="L331" s="211" t="s">
        <v>60</v>
      </c>
      <c r="M331" s="211" t="s">
        <v>56</v>
      </c>
    </row>
    <row r="332" spans="1:13" x14ac:dyDescent="0.2">
      <c r="A332" s="211" t="s">
        <v>55</v>
      </c>
      <c r="B332" s="211" t="s">
        <v>58</v>
      </c>
      <c r="C332" s="211" t="s">
        <v>19</v>
      </c>
      <c r="D332" s="211" t="s">
        <v>12</v>
      </c>
      <c r="E332" s="208">
        <v>43178</v>
      </c>
      <c r="F332" s="209">
        <v>8.91</v>
      </c>
      <c r="G332" s="210" t="s">
        <v>13</v>
      </c>
      <c r="H332" s="211" t="s">
        <v>18</v>
      </c>
      <c r="I332" s="210">
        <v>1</v>
      </c>
      <c r="J332" s="210" t="s">
        <v>15</v>
      </c>
      <c r="K332" s="210" t="s">
        <v>54</v>
      </c>
      <c r="L332" s="211" t="s">
        <v>60</v>
      </c>
      <c r="M332" s="211" t="s">
        <v>17</v>
      </c>
    </row>
    <row r="333" spans="1:13" x14ac:dyDescent="0.2">
      <c r="A333" s="211" t="s">
        <v>55</v>
      </c>
      <c r="B333" s="211" t="s">
        <v>58</v>
      </c>
      <c r="C333" s="211" t="s">
        <v>19</v>
      </c>
      <c r="D333" s="211" t="s">
        <v>12</v>
      </c>
      <c r="E333" s="208">
        <v>43178</v>
      </c>
      <c r="F333" s="221">
        <v>3035.53899</v>
      </c>
      <c r="G333" s="210" t="s">
        <v>16</v>
      </c>
      <c r="H333" s="211" t="s">
        <v>18</v>
      </c>
      <c r="I333" s="210">
        <v>1</v>
      </c>
      <c r="J333" s="210" t="s">
        <v>15</v>
      </c>
      <c r="K333" s="210" t="s">
        <v>54</v>
      </c>
      <c r="L333" s="211" t="s">
        <v>60</v>
      </c>
      <c r="M333" s="211" t="s">
        <v>17</v>
      </c>
    </row>
    <row r="334" spans="1:13" x14ac:dyDescent="0.2">
      <c r="A334" s="211" t="s">
        <v>55</v>
      </c>
      <c r="B334" s="211" t="s">
        <v>58</v>
      </c>
      <c r="C334" s="211" t="s">
        <v>19</v>
      </c>
      <c r="D334" s="211" t="s">
        <v>12</v>
      </c>
      <c r="E334" s="208">
        <v>43177</v>
      </c>
      <c r="F334" s="209">
        <v>10.5731701</v>
      </c>
      <c r="G334" s="210" t="s">
        <v>13</v>
      </c>
      <c r="H334" s="211" t="s">
        <v>14</v>
      </c>
      <c r="I334" s="210">
        <v>1</v>
      </c>
      <c r="J334" s="210" t="s">
        <v>15</v>
      </c>
      <c r="K334" s="210" t="s">
        <v>54</v>
      </c>
      <c r="L334" s="211" t="s">
        <v>60</v>
      </c>
      <c r="M334" s="211" t="s">
        <v>56</v>
      </c>
    </row>
    <row r="335" spans="1:13" x14ac:dyDescent="0.2">
      <c r="A335" s="211" t="s">
        <v>55</v>
      </c>
      <c r="B335" s="211" t="s">
        <v>58</v>
      </c>
      <c r="C335" s="211" t="s">
        <v>19</v>
      </c>
      <c r="D335" s="211" t="s">
        <v>12</v>
      </c>
      <c r="E335" s="208">
        <v>43177</v>
      </c>
      <c r="F335" s="221">
        <v>3746.7783599999998</v>
      </c>
      <c r="G335" s="210" t="s">
        <v>16</v>
      </c>
      <c r="H335" s="211" t="s">
        <v>14</v>
      </c>
      <c r="I335" s="210">
        <v>1</v>
      </c>
      <c r="J335" s="210" t="s">
        <v>15</v>
      </c>
      <c r="K335" s="210" t="s">
        <v>54</v>
      </c>
      <c r="L335" s="211" t="s">
        <v>60</v>
      </c>
      <c r="M335" s="211" t="s">
        <v>56</v>
      </c>
    </row>
    <row r="336" spans="1:13" x14ac:dyDescent="0.2">
      <c r="A336" s="211" t="s">
        <v>55</v>
      </c>
      <c r="B336" s="211" t="s">
        <v>58</v>
      </c>
      <c r="C336" s="211" t="s">
        <v>19</v>
      </c>
      <c r="D336" s="211" t="s">
        <v>12</v>
      </c>
      <c r="E336" s="208">
        <v>43177</v>
      </c>
      <c r="F336" s="209">
        <v>8.8000000000000007</v>
      </c>
      <c r="G336" s="210" t="s">
        <v>13</v>
      </c>
      <c r="H336" s="211" t="s">
        <v>18</v>
      </c>
      <c r="I336" s="210">
        <v>1</v>
      </c>
      <c r="J336" s="210" t="s">
        <v>15</v>
      </c>
      <c r="K336" s="210" t="s">
        <v>54</v>
      </c>
      <c r="L336" s="211" t="s">
        <v>60</v>
      </c>
      <c r="M336" s="211" t="s">
        <v>17</v>
      </c>
    </row>
    <row r="337" spans="1:13" x14ac:dyDescent="0.2">
      <c r="A337" s="211" t="s">
        <v>55</v>
      </c>
      <c r="B337" s="211" t="s">
        <v>58</v>
      </c>
      <c r="C337" s="211" t="s">
        <v>19</v>
      </c>
      <c r="D337" s="211" t="s">
        <v>12</v>
      </c>
      <c r="E337" s="208">
        <v>43177</v>
      </c>
      <c r="F337" s="221">
        <v>3118.4260800000002</v>
      </c>
      <c r="G337" s="210" t="s">
        <v>16</v>
      </c>
      <c r="H337" s="211" t="s">
        <v>18</v>
      </c>
      <c r="I337" s="210">
        <v>1</v>
      </c>
      <c r="J337" s="210" t="s">
        <v>15</v>
      </c>
      <c r="K337" s="210" t="s">
        <v>54</v>
      </c>
      <c r="L337" s="211" t="s">
        <v>60</v>
      </c>
      <c r="M337" s="211" t="s">
        <v>17</v>
      </c>
    </row>
    <row r="338" spans="1:13" x14ac:dyDescent="0.2">
      <c r="A338" s="211" t="s">
        <v>55</v>
      </c>
      <c r="B338" s="211" t="s">
        <v>58</v>
      </c>
      <c r="C338" s="211" t="s">
        <v>19</v>
      </c>
      <c r="D338" s="211" t="s">
        <v>12</v>
      </c>
      <c r="E338" s="208">
        <v>43176</v>
      </c>
      <c r="F338" s="209">
        <v>11.8122057</v>
      </c>
      <c r="G338" s="210" t="s">
        <v>13</v>
      </c>
      <c r="H338" s="211" t="s">
        <v>14</v>
      </c>
      <c r="I338" s="210">
        <v>1</v>
      </c>
      <c r="J338" s="210" t="s">
        <v>15</v>
      </c>
      <c r="K338" s="210" t="s">
        <v>54</v>
      </c>
      <c r="L338" s="211" t="s">
        <v>60</v>
      </c>
      <c r="M338" s="211" t="s">
        <v>56</v>
      </c>
    </row>
    <row r="339" spans="1:13" x14ac:dyDescent="0.2">
      <c r="A339" s="211" t="s">
        <v>55</v>
      </c>
      <c r="B339" s="211" t="s">
        <v>58</v>
      </c>
      <c r="C339" s="211" t="s">
        <v>19</v>
      </c>
      <c r="D339" s="211" t="s">
        <v>12</v>
      </c>
      <c r="E339" s="208">
        <v>43176</v>
      </c>
      <c r="F339" s="221">
        <v>4059.7535400000002</v>
      </c>
      <c r="G339" s="210" t="s">
        <v>16</v>
      </c>
      <c r="H339" s="211" t="s">
        <v>14</v>
      </c>
      <c r="I339" s="210">
        <v>1</v>
      </c>
      <c r="J339" s="210" t="s">
        <v>15</v>
      </c>
      <c r="K339" s="210" t="s">
        <v>54</v>
      </c>
      <c r="L339" s="211" t="s">
        <v>60</v>
      </c>
      <c r="M339" s="211" t="s">
        <v>56</v>
      </c>
    </row>
    <row r="340" spans="1:13" x14ac:dyDescent="0.2">
      <c r="A340" s="211" t="s">
        <v>55</v>
      </c>
      <c r="B340" s="211" t="s">
        <v>58</v>
      </c>
      <c r="C340" s="211" t="s">
        <v>19</v>
      </c>
      <c r="D340" s="211" t="s">
        <v>12</v>
      </c>
      <c r="E340" s="208">
        <v>43176</v>
      </c>
      <c r="F340" s="209">
        <v>8.39</v>
      </c>
      <c r="G340" s="210" t="s">
        <v>13</v>
      </c>
      <c r="H340" s="211" t="s">
        <v>18</v>
      </c>
      <c r="I340" s="210">
        <v>1</v>
      </c>
      <c r="J340" s="210" t="s">
        <v>15</v>
      </c>
      <c r="K340" s="210" t="s">
        <v>54</v>
      </c>
      <c r="L340" s="211" t="s">
        <v>60</v>
      </c>
      <c r="M340" s="211" t="s">
        <v>17</v>
      </c>
    </row>
    <row r="341" spans="1:13" x14ac:dyDescent="0.2">
      <c r="A341" s="211" t="s">
        <v>55</v>
      </c>
      <c r="B341" s="211" t="s">
        <v>58</v>
      </c>
      <c r="C341" s="211" t="s">
        <v>19</v>
      </c>
      <c r="D341" s="211" t="s">
        <v>12</v>
      </c>
      <c r="E341" s="208">
        <v>43176</v>
      </c>
      <c r="F341" s="221">
        <v>2883.5708460000001</v>
      </c>
      <c r="G341" s="210" t="s">
        <v>16</v>
      </c>
      <c r="H341" s="211" t="s">
        <v>18</v>
      </c>
      <c r="I341" s="210">
        <v>1</v>
      </c>
      <c r="J341" s="210" t="s">
        <v>15</v>
      </c>
      <c r="K341" s="210" t="s">
        <v>54</v>
      </c>
      <c r="L341" s="211" t="s">
        <v>60</v>
      </c>
      <c r="M341" s="211" t="s">
        <v>17</v>
      </c>
    </row>
    <row r="342" spans="1:13" x14ac:dyDescent="0.2">
      <c r="A342" s="211" t="s">
        <v>55</v>
      </c>
      <c r="B342" s="211" t="s">
        <v>58</v>
      </c>
      <c r="C342" s="211" t="s">
        <v>19</v>
      </c>
      <c r="D342" s="211" t="s">
        <v>12</v>
      </c>
      <c r="E342" s="208">
        <v>43175</v>
      </c>
      <c r="F342" s="209">
        <v>19.430094700000001</v>
      </c>
      <c r="G342" s="210" t="s">
        <v>13</v>
      </c>
      <c r="H342" s="211" t="s">
        <v>14</v>
      </c>
      <c r="I342" s="210">
        <v>1</v>
      </c>
      <c r="J342" s="210" t="s">
        <v>15</v>
      </c>
      <c r="K342" s="210" t="s">
        <v>54</v>
      </c>
      <c r="L342" s="211" t="s">
        <v>60</v>
      </c>
      <c r="M342" s="211" t="s">
        <v>56</v>
      </c>
    </row>
    <row r="343" spans="1:13" x14ac:dyDescent="0.2">
      <c r="A343" s="211" t="s">
        <v>55</v>
      </c>
      <c r="B343" s="211" t="s">
        <v>58</v>
      </c>
      <c r="C343" s="211" t="s">
        <v>19</v>
      </c>
      <c r="D343" s="211" t="s">
        <v>12</v>
      </c>
      <c r="E343" s="208">
        <v>43175</v>
      </c>
      <c r="F343" s="221">
        <v>6838.3829999999998</v>
      </c>
      <c r="G343" s="210" t="s">
        <v>16</v>
      </c>
      <c r="H343" s="211" t="s">
        <v>14</v>
      </c>
      <c r="I343" s="210">
        <v>1</v>
      </c>
      <c r="J343" s="210" t="s">
        <v>15</v>
      </c>
      <c r="K343" s="210" t="s">
        <v>54</v>
      </c>
      <c r="L343" s="211" t="s">
        <v>60</v>
      </c>
      <c r="M343" s="211" t="s">
        <v>56</v>
      </c>
    </row>
    <row r="344" spans="1:13" x14ac:dyDescent="0.2">
      <c r="A344" s="211" t="s">
        <v>55</v>
      </c>
      <c r="B344" s="211" t="s">
        <v>58</v>
      </c>
      <c r="C344" s="211" t="s">
        <v>19</v>
      </c>
      <c r="D344" s="211" t="s">
        <v>12</v>
      </c>
      <c r="E344" s="208">
        <v>43175</v>
      </c>
      <c r="F344" s="209">
        <v>7.83</v>
      </c>
      <c r="G344" s="210" t="s">
        <v>13</v>
      </c>
      <c r="H344" s="211" t="s">
        <v>18</v>
      </c>
      <c r="I344" s="210">
        <v>1</v>
      </c>
      <c r="J344" s="210" t="s">
        <v>15</v>
      </c>
      <c r="K344" s="210" t="s">
        <v>54</v>
      </c>
      <c r="L344" s="211" t="s">
        <v>60</v>
      </c>
      <c r="M344" s="211" t="s">
        <v>17</v>
      </c>
    </row>
    <row r="345" spans="1:13" x14ac:dyDescent="0.2">
      <c r="A345" s="211" t="s">
        <v>55</v>
      </c>
      <c r="B345" s="211" t="s">
        <v>58</v>
      </c>
      <c r="C345" s="211" t="s">
        <v>19</v>
      </c>
      <c r="D345" s="211" t="s">
        <v>12</v>
      </c>
      <c r="E345" s="208">
        <v>43175</v>
      </c>
      <c r="F345" s="221">
        <v>2755.7528400000001</v>
      </c>
      <c r="G345" s="210" t="s">
        <v>16</v>
      </c>
      <c r="H345" s="211" t="s">
        <v>18</v>
      </c>
      <c r="I345" s="210">
        <v>1</v>
      </c>
      <c r="J345" s="210" t="s">
        <v>15</v>
      </c>
      <c r="K345" s="210" t="s">
        <v>54</v>
      </c>
      <c r="L345" s="211" t="s">
        <v>60</v>
      </c>
      <c r="M345" s="211" t="s">
        <v>17</v>
      </c>
    </row>
    <row r="346" spans="1:13" x14ac:dyDescent="0.2">
      <c r="A346" s="211" t="s">
        <v>55</v>
      </c>
      <c r="B346" s="211" t="s">
        <v>58</v>
      </c>
      <c r="C346" s="211" t="s">
        <v>19</v>
      </c>
      <c r="D346" s="211" t="s">
        <v>12</v>
      </c>
      <c r="E346" s="208">
        <v>43174</v>
      </c>
      <c r="F346" s="209">
        <v>11.0565131</v>
      </c>
      <c r="G346" s="210" t="s">
        <v>13</v>
      </c>
      <c r="H346" s="211" t="s">
        <v>14</v>
      </c>
      <c r="I346" s="210">
        <v>1</v>
      </c>
      <c r="J346" s="210" t="s">
        <v>15</v>
      </c>
      <c r="K346" s="210" t="s">
        <v>54</v>
      </c>
      <c r="L346" s="211" t="s">
        <v>60</v>
      </c>
      <c r="M346" s="211" t="s">
        <v>56</v>
      </c>
    </row>
    <row r="347" spans="1:13" x14ac:dyDescent="0.2">
      <c r="A347" s="211" t="s">
        <v>55</v>
      </c>
      <c r="B347" s="211" t="s">
        <v>58</v>
      </c>
      <c r="C347" s="211" t="s">
        <v>19</v>
      </c>
      <c r="D347" s="211" t="s">
        <v>12</v>
      </c>
      <c r="E347" s="208">
        <v>43174</v>
      </c>
      <c r="F347" s="221">
        <v>3744.7017000000001</v>
      </c>
      <c r="G347" s="210" t="s">
        <v>16</v>
      </c>
      <c r="H347" s="211" t="s">
        <v>14</v>
      </c>
      <c r="I347" s="210">
        <v>1</v>
      </c>
      <c r="J347" s="210" t="s">
        <v>15</v>
      </c>
      <c r="K347" s="210" t="s">
        <v>54</v>
      </c>
      <c r="L347" s="211" t="s">
        <v>60</v>
      </c>
      <c r="M347" s="211" t="s">
        <v>56</v>
      </c>
    </row>
    <row r="348" spans="1:13" x14ac:dyDescent="0.2">
      <c r="A348" s="211" t="s">
        <v>55</v>
      </c>
      <c r="B348" s="211" t="s">
        <v>58</v>
      </c>
      <c r="C348" s="211" t="s">
        <v>19</v>
      </c>
      <c r="D348" s="211" t="s">
        <v>12</v>
      </c>
      <c r="E348" s="208">
        <v>43174</v>
      </c>
      <c r="F348" s="209">
        <v>9.09</v>
      </c>
      <c r="G348" s="210" t="s">
        <v>13</v>
      </c>
      <c r="H348" s="211" t="s">
        <v>18</v>
      </c>
      <c r="I348" s="210">
        <v>1</v>
      </c>
      <c r="J348" s="210" t="s">
        <v>15</v>
      </c>
      <c r="K348" s="210" t="s">
        <v>54</v>
      </c>
      <c r="L348" s="211" t="s">
        <v>60</v>
      </c>
      <c r="M348" s="211" t="s">
        <v>17</v>
      </c>
    </row>
    <row r="349" spans="1:13" x14ac:dyDescent="0.2">
      <c r="A349" s="211" t="s">
        <v>55</v>
      </c>
      <c r="B349" s="211" t="s">
        <v>58</v>
      </c>
      <c r="C349" s="211" t="s">
        <v>19</v>
      </c>
      <c r="D349" s="211" t="s">
        <v>12</v>
      </c>
      <c r="E349" s="208">
        <v>43174</v>
      </c>
      <c r="F349" s="221">
        <v>3078.6684660000001</v>
      </c>
      <c r="G349" s="210" t="s">
        <v>16</v>
      </c>
      <c r="H349" s="211" t="s">
        <v>18</v>
      </c>
      <c r="I349" s="210">
        <v>1</v>
      </c>
      <c r="J349" s="210" t="s">
        <v>15</v>
      </c>
      <c r="K349" s="210" t="s">
        <v>54</v>
      </c>
      <c r="L349" s="211" t="s">
        <v>60</v>
      </c>
      <c r="M349" s="211" t="s">
        <v>17</v>
      </c>
    </row>
    <row r="350" spans="1:13" x14ac:dyDescent="0.2">
      <c r="A350" s="211" t="s">
        <v>55</v>
      </c>
      <c r="B350" s="211" t="s">
        <v>58</v>
      </c>
      <c r="C350" s="211" t="s">
        <v>19</v>
      </c>
      <c r="D350" s="211" t="s">
        <v>12</v>
      </c>
      <c r="E350" s="208">
        <v>43173</v>
      </c>
      <c r="F350" s="209">
        <v>11.89555</v>
      </c>
      <c r="G350" s="210" t="s">
        <v>13</v>
      </c>
      <c r="H350" s="211" t="s">
        <v>14</v>
      </c>
      <c r="I350" s="210">
        <v>1</v>
      </c>
      <c r="J350" s="210" t="s">
        <v>15</v>
      </c>
      <c r="K350" s="210" t="s">
        <v>54</v>
      </c>
      <c r="L350" s="211" t="s">
        <v>60</v>
      </c>
      <c r="M350" s="211" t="s">
        <v>56</v>
      </c>
    </row>
    <row r="351" spans="1:13" x14ac:dyDescent="0.2">
      <c r="A351" s="211" t="s">
        <v>55</v>
      </c>
      <c r="B351" s="211" t="s">
        <v>58</v>
      </c>
      <c r="C351" s="211" t="s">
        <v>19</v>
      </c>
      <c r="D351" s="211" t="s">
        <v>12</v>
      </c>
      <c r="E351" s="208">
        <v>43173</v>
      </c>
      <c r="F351" s="221">
        <v>3968.3554800000002</v>
      </c>
      <c r="G351" s="210" t="s">
        <v>16</v>
      </c>
      <c r="H351" s="211" t="s">
        <v>14</v>
      </c>
      <c r="I351" s="210">
        <v>1</v>
      </c>
      <c r="J351" s="210" t="s">
        <v>15</v>
      </c>
      <c r="K351" s="210" t="s">
        <v>54</v>
      </c>
      <c r="L351" s="211" t="s">
        <v>60</v>
      </c>
      <c r="M351" s="211" t="s">
        <v>56</v>
      </c>
    </row>
    <row r="352" spans="1:13" x14ac:dyDescent="0.2">
      <c r="A352" s="211" t="s">
        <v>55</v>
      </c>
      <c r="B352" s="211" t="s">
        <v>58</v>
      </c>
      <c r="C352" s="211" t="s">
        <v>19</v>
      </c>
      <c r="D352" s="211" t="s">
        <v>12</v>
      </c>
      <c r="E352" s="208">
        <v>43173</v>
      </c>
      <c r="F352" s="209">
        <v>8.66</v>
      </c>
      <c r="G352" s="210" t="s">
        <v>13</v>
      </c>
      <c r="H352" s="211" t="s">
        <v>18</v>
      </c>
      <c r="I352" s="210">
        <v>1</v>
      </c>
      <c r="J352" s="210" t="s">
        <v>15</v>
      </c>
      <c r="K352" s="210" t="s">
        <v>54</v>
      </c>
      <c r="L352" s="211" t="s">
        <v>60</v>
      </c>
      <c r="M352" s="211" t="s">
        <v>17</v>
      </c>
    </row>
    <row r="353" spans="1:13" x14ac:dyDescent="0.2">
      <c r="A353" s="211" t="s">
        <v>55</v>
      </c>
      <c r="B353" s="211" t="s">
        <v>58</v>
      </c>
      <c r="C353" s="211" t="s">
        <v>19</v>
      </c>
      <c r="D353" s="211" t="s">
        <v>12</v>
      </c>
      <c r="E353" s="208">
        <v>43173</v>
      </c>
      <c r="F353" s="221">
        <v>2888.9760000000001</v>
      </c>
      <c r="G353" s="210" t="s">
        <v>16</v>
      </c>
      <c r="H353" s="211" t="s">
        <v>18</v>
      </c>
      <c r="I353" s="210">
        <v>1</v>
      </c>
      <c r="J353" s="210" t="s">
        <v>15</v>
      </c>
      <c r="K353" s="210" t="s">
        <v>54</v>
      </c>
      <c r="L353" s="211" t="s">
        <v>60</v>
      </c>
      <c r="M353" s="211" t="s">
        <v>17</v>
      </c>
    </row>
    <row r="354" spans="1:13" x14ac:dyDescent="0.2">
      <c r="A354" s="211" t="s">
        <v>55</v>
      </c>
      <c r="B354" s="211" t="s">
        <v>58</v>
      </c>
      <c r="C354" s="211" t="s">
        <v>19</v>
      </c>
      <c r="D354" s="211" t="s">
        <v>12</v>
      </c>
      <c r="E354" s="208">
        <v>43172</v>
      </c>
      <c r="F354" s="209">
        <v>12.2561187</v>
      </c>
      <c r="G354" s="210" t="s">
        <v>13</v>
      </c>
      <c r="H354" s="211" t="s">
        <v>14</v>
      </c>
      <c r="I354" s="210">
        <v>1</v>
      </c>
      <c r="J354" s="210" t="s">
        <v>15</v>
      </c>
      <c r="K354" s="210" t="s">
        <v>54</v>
      </c>
      <c r="L354" s="211" t="s">
        <v>60</v>
      </c>
      <c r="M354" s="211" t="s">
        <v>56</v>
      </c>
    </row>
    <row r="355" spans="1:13" x14ac:dyDescent="0.2">
      <c r="A355" s="211" t="s">
        <v>55</v>
      </c>
      <c r="B355" s="211" t="s">
        <v>58</v>
      </c>
      <c r="C355" s="211" t="s">
        <v>19</v>
      </c>
      <c r="D355" s="211" t="s">
        <v>12</v>
      </c>
      <c r="E355" s="208">
        <v>43172</v>
      </c>
      <c r="F355" s="221">
        <v>4234.8101399999996</v>
      </c>
      <c r="G355" s="210" t="s">
        <v>16</v>
      </c>
      <c r="H355" s="211" t="s">
        <v>14</v>
      </c>
      <c r="I355" s="210">
        <v>1</v>
      </c>
      <c r="J355" s="210" t="s">
        <v>15</v>
      </c>
      <c r="K355" s="210" t="s">
        <v>54</v>
      </c>
      <c r="L355" s="211" t="s">
        <v>60</v>
      </c>
      <c r="M355" s="211" t="s">
        <v>56</v>
      </c>
    </row>
    <row r="356" spans="1:13" x14ac:dyDescent="0.2">
      <c r="A356" s="211" t="s">
        <v>55</v>
      </c>
      <c r="B356" s="211" t="s">
        <v>58</v>
      </c>
      <c r="C356" s="211" t="s">
        <v>19</v>
      </c>
      <c r="D356" s="211" t="s">
        <v>12</v>
      </c>
      <c r="E356" s="208">
        <v>43172</v>
      </c>
      <c r="F356" s="209">
        <v>8.68</v>
      </c>
      <c r="G356" s="210" t="s">
        <v>13</v>
      </c>
      <c r="H356" s="211" t="s">
        <v>18</v>
      </c>
      <c r="I356" s="210">
        <v>1</v>
      </c>
      <c r="J356" s="210" t="s">
        <v>15</v>
      </c>
      <c r="K356" s="210" t="s">
        <v>54</v>
      </c>
      <c r="L356" s="211" t="s">
        <v>60</v>
      </c>
      <c r="M356" s="211" t="s">
        <v>17</v>
      </c>
    </row>
    <row r="357" spans="1:13" x14ac:dyDescent="0.2">
      <c r="A357" s="211" t="s">
        <v>55</v>
      </c>
      <c r="B357" s="211" t="s">
        <v>58</v>
      </c>
      <c r="C357" s="211" t="s">
        <v>19</v>
      </c>
      <c r="D357" s="211" t="s">
        <v>12</v>
      </c>
      <c r="E357" s="208">
        <v>43172</v>
      </c>
      <c r="F357" s="221">
        <v>2999.1674159999998</v>
      </c>
      <c r="G357" s="210" t="s">
        <v>16</v>
      </c>
      <c r="H357" s="211" t="s">
        <v>18</v>
      </c>
      <c r="I357" s="210">
        <v>1</v>
      </c>
      <c r="J357" s="210" t="s">
        <v>15</v>
      </c>
      <c r="K357" s="210" t="s">
        <v>54</v>
      </c>
      <c r="L357" s="211" t="s">
        <v>60</v>
      </c>
      <c r="M357" s="211" t="s">
        <v>17</v>
      </c>
    </row>
    <row r="358" spans="1:13" x14ac:dyDescent="0.2">
      <c r="A358" s="211" t="s">
        <v>55</v>
      </c>
      <c r="B358" s="211" t="s">
        <v>58</v>
      </c>
      <c r="C358" s="211" t="s">
        <v>19</v>
      </c>
      <c r="D358" s="211" t="s">
        <v>12</v>
      </c>
      <c r="E358" s="208">
        <v>43171</v>
      </c>
      <c r="F358" s="209">
        <v>15.2437968</v>
      </c>
      <c r="G358" s="210" t="s">
        <v>13</v>
      </c>
      <c r="H358" s="211" t="s">
        <v>14</v>
      </c>
      <c r="I358" s="210">
        <v>1</v>
      </c>
      <c r="J358" s="210" t="s">
        <v>15</v>
      </c>
      <c r="K358" s="210" t="s">
        <v>54</v>
      </c>
      <c r="L358" s="211" t="s">
        <v>60</v>
      </c>
      <c r="M358" s="211" t="s">
        <v>56</v>
      </c>
    </row>
    <row r="359" spans="1:13" x14ac:dyDescent="0.2">
      <c r="A359" s="211" t="s">
        <v>55</v>
      </c>
      <c r="B359" s="211" t="s">
        <v>58</v>
      </c>
      <c r="C359" s="211" t="s">
        <v>19</v>
      </c>
      <c r="D359" s="211" t="s">
        <v>12</v>
      </c>
      <c r="E359" s="208">
        <v>43171</v>
      </c>
      <c r="F359" s="221">
        <v>5256.96054</v>
      </c>
      <c r="G359" s="210" t="s">
        <v>16</v>
      </c>
      <c r="H359" s="211" t="s">
        <v>14</v>
      </c>
      <c r="I359" s="210">
        <v>1</v>
      </c>
      <c r="J359" s="210" t="s">
        <v>15</v>
      </c>
      <c r="K359" s="210" t="s">
        <v>54</v>
      </c>
      <c r="L359" s="211" t="s">
        <v>60</v>
      </c>
      <c r="M359" s="211" t="s">
        <v>56</v>
      </c>
    </row>
    <row r="360" spans="1:13" x14ac:dyDescent="0.2">
      <c r="A360" s="211" t="s">
        <v>55</v>
      </c>
      <c r="B360" s="211" t="s">
        <v>58</v>
      </c>
      <c r="C360" s="211" t="s">
        <v>19</v>
      </c>
      <c r="D360" s="211" t="s">
        <v>12</v>
      </c>
      <c r="E360" s="208">
        <v>43171</v>
      </c>
      <c r="F360" s="209">
        <v>10</v>
      </c>
      <c r="G360" s="210" t="s">
        <v>13</v>
      </c>
      <c r="H360" s="211" t="s">
        <v>18</v>
      </c>
      <c r="I360" s="210">
        <v>1</v>
      </c>
      <c r="J360" s="210" t="s">
        <v>15</v>
      </c>
      <c r="K360" s="210" t="s">
        <v>54</v>
      </c>
      <c r="L360" s="211" t="s">
        <v>60</v>
      </c>
      <c r="M360" s="211" t="s">
        <v>17</v>
      </c>
    </row>
    <row r="361" spans="1:13" x14ac:dyDescent="0.2">
      <c r="A361" s="211" t="s">
        <v>55</v>
      </c>
      <c r="B361" s="211" t="s">
        <v>58</v>
      </c>
      <c r="C361" s="211" t="s">
        <v>19</v>
      </c>
      <c r="D361" s="211" t="s">
        <v>12</v>
      </c>
      <c r="E361" s="208">
        <v>43171</v>
      </c>
      <c r="F361" s="221">
        <v>3448.59</v>
      </c>
      <c r="G361" s="210" t="s">
        <v>16</v>
      </c>
      <c r="H361" s="211" t="s">
        <v>18</v>
      </c>
      <c r="I361" s="210">
        <v>1</v>
      </c>
      <c r="J361" s="210" t="s">
        <v>15</v>
      </c>
      <c r="K361" s="210" t="s">
        <v>54</v>
      </c>
      <c r="L361" s="211" t="s">
        <v>60</v>
      </c>
      <c r="M361" s="211" t="s">
        <v>17</v>
      </c>
    </row>
    <row r="362" spans="1:13" x14ac:dyDescent="0.2">
      <c r="A362" s="211" t="s">
        <v>55</v>
      </c>
      <c r="B362" s="211" t="s">
        <v>58</v>
      </c>
      <c r="C362" s="211" t="s">
        <v>19</v>
      </c>
      <c r="D362" s="211" t="s">
        <v>12</v>
      </c>
      <c r="E362" s="208">
        <v>43170</v>
      </c>
      <c r="F362" s="209">
        <v>14.2293547</v>
      </c>
      <c r="G362" s="210" t="s">
        <v>13</v>
      </c>
      <c r="H362" s="211" t="s">
        <v>14</v>
      </c>
      <c r="I362" s="210">
        <v>1</v>
      </c>
      <c r="J362" s="210" t="s">
        <v>15</v>
      </c>
      <c r="K362" s="210" t="s">
        <v>54</v>
      </c>
      <c r="L362" s="211" t="s">
        <v>60</v>
      </c>
      <c r="M362" s="211" t="s">
        <v>56</v>
      </c>
    </row>
    <row r="363" spans="1:13" x14ac:dyDescent="0.2">
      <c r="A363" s="211" t="s">
        <v>55</v>
      </c>
      <c r="B363" s="211" t="s">
        <v>58</v>
      </c>
      <c r="C363" s="211" t="s">
        <v>19</v>
      </c>
      <c r="D363" s="211" t="s">
        <v>12</v>
      </c>
      <c r="E363" s="208">
        <v>43170</v>
      </c>
      <c r="F363" s="221">
        <v>5021.0469599999997</v>
      </c>
      <c r="G363" s="210" t="s">
        <v>16</v>
      </c>
      <c r="H363" s="211" t="s">
        <v>14</v>
      </c>
      <c r="I363" s="210">
        <v>1</v>
      </c>
      <c r="J363" s="210" t="s">
        <v>15</v>
      </c>
      <c r="K363" s="210" t="s">
        <v>54</v>
      </c>
      <c r="L363" s="211" t="s">
        <v>60</v>
      </c>
      <c r="M363" s="211" t="s">
        <v>56</v>
      </c>
    </row>
    <row r="364" spans="1:13" x14ac:dyDescent="0.2">
      <c r="A364" s="211" t="s">
        <v>55</v>
      </c>
      <c r="B364" s="211" t="s">
        <v>58</v>
      </c>
      <c r="C364" s="211" t="s">
        <v>19</v>
      </c>
      <c r="D364" s="211" t="s">
        <v>12</v>
      </c>
      <c r="E364" s="208">
        <v>43170</v>
      </c>
      <c r="F364" s="209">
        <v>8.9</v>
      </c>
      <c r="G364" s="210" t="s">
        <v>13</v>
      </c>
      <c r="H364" s="211" t="s">
        <v>18</v>
      </c>
      <c r="I364" s="210">
        <v>1</v>
      </c>
      <c r="J364" s="210" t="s">
        <v>15</v>
      </c>
      <c r="K364" s="210" t="s">
        <v>54</v>
      </c>
      <c r="L364" s="211" t="s">
        <v>60</v>
      </c>
      <c r="M364" s="211" t="s">
        <v>17</v>
      </c>
    </row>
    <row r="365" spans="1:13" x14ac:dyDescent="0.2">
      <c r="A365" s="211" t="s">
        <v>55</v>
      </c>
      <c r="B365" s="211" t="s">
        <v>58</v>
      </c>
      <c r="C365" s="211" t="s">
        <v>19</v>
      </c>
      <c r="D365" s="211" t="s">
        <v>12</v>
      </c>
      <c r="E365" s="208">
        <v>43170</v>
      </c>
      <c r="F365" s="221">
        <v>3140.5020599999998</v>
      </c>
      <c r="G365" s="210" t="s">
        <v>16</v>
      </c>
      <c r="H365" s="211" t="s">
        <v>18</v>
      </c>
      <c r="I365" s="210">
        <v>1</v>
      </c>
      <c r="J365" s="210" t="s">
        <v>15</v>
      </c>
      <c r="K365" s="210" t="s">
        <v>54</v>
      </c>
      <c r="L365" s="211" t="s">
        <v>60</v>
      </c>
      <c r="M365" s="211" t="s">
        <v>17</v>
      </c>
    </row>
    <row r="366" spans="1:13" x14ac:dyDescent="0.2">
      <c r="A366" s="211" t="s">
        <v>55</v>
      </c>
      <c r="B366" s="211" t="s">
        <v>58</v>
      </c>
      <c r="C366" s="211" t="s">
        <v>19</v>
      </c>
      <c r="D366" s="211" t="s">
        <v>12</v>
      </c>
      <c r="E366" s="208">
        <v>43169</v>
      </c>
      <c r="F366" s="209">
        <v>12.689861000000001</v>
      </c>
      <c r="G366" s="210" t="s">
        <v>13</v>
      </c>
      <c r="H366" s="211" t="s">
        <v>14</v>
      </c>
      <c r="I366" s="210">
        <v>1</v>
      </c>
      <c r="J366" s="210" t="s">
        <v>15</v>
      </c>
      <c r="K366" s="210" t="s">
        <v>54</v>
      </c>
      <c r="L366" s="211" t="s">
        <v>60</v>
      </c>
      <c r="M366" s="211" t="s">
        <v>56</v>
      </c>
    </row>
    <row r="367" spans="1:13" x14ac:dyDescent="0.2">
      <c r="A367" s="211" t="s">
        <v>55</v>
      </c>
      <c r="B367" s="211" t="s">
        <v>58</v>
      </c>
      <c r="C367" s="211" t="s">
        <v>19</v>
      </c>
      <c r="D367" s="211" t="s">
        <v>12</v>
      </c>
      <c r="E367" s="208">
        <v>43169</v>
      </c>
      <c r="F367" s="221">
        <v>4645.0297200000005</v>
      </c>
      <c r="G367" s="210" t="s">
        <v>16</v>
      </c>
      <c r="H367" s="211" t="s">
        <v>14</v>
      </c>
      <c r="I367" s="210">
        <v>1</v>
      </c>
      <c r="J367" s="210" t="s">
        <v>15</v>
      </c>
      <c r="K367" s="210" t="s">
        <v>54</v>
      </c>
      <c r="L367" s="211" t="s">
        <v>60</v>
      </c>
      <c r="M367" s="211" t="s">
        <v>56</v>
      </c>
    </row>
    <row r="368" spans="1:13" x14ac:dyDescent="0.2">
      <c r="A368" s="211" t="s">
        <v>55</v>
      </c>
      <c r="B368" s="211" t="s">
        <v>58</v>
      </c>
      <c r="C368" s="211" t="s">
        <v>19</v>
      </c>
      <c r="D368" s="211" t="s">
        <v>12</v>
      </c>
      <c r="E368" s="208">
        <v>43169</v>
      </c>
      <c r="F368" s="209">
        <v>7.86</v>
      </c>
      <c r="G368" s="210" t="s">
        <v>13</v>
      </c>
      <c r="H368" s="211" t="s">
        <v>18</v>
      </c>
      <c r="I368" s="210">
        <v>1</v>
      </c>
      <c r="J368" s="210" t="s">
        <v>15</v>
      </c>
      <c r="K368" s="210" t="s">
        <v>54</v>
      </c>
      <c r="L368" s="211" t="s">
        <v>60</v>
      </c>
      <c r="M368" s="211" t="s">
        <v>17</v>
      </c>
    </row>
    <row r="369" spans="1:13" x14ac:dyDescent="0.2">
      <c r="A369" s="211" t="s">
        <v>55</v>
      </c>
      <c r="B369" s="211" t="s">
        <v>58</v>
      </c>
      <c r="C369" s="211" t="s">
        <v>19</v>
      </c>
      <c r="D369" s="211" t="s">
        <v>12</v>
      </c>
      <c r="E369" s="208">
        <v>43169</v>
      </c>
      <c r="F369" s="221">
        <v>2877.0948360000002</v>
      </c>
      <c r="G369" s="210" t="s">
        <v>16</v>
      </c>
      <c r="H369" s="211" t="s">
        <v>18</v>
      </c>
      <c r="I369" s="210">
        <v>1</v>
      </c>
      <c r="J369" s="210" t="s">
        <v>15</v>
      </c>
      <c r="K369" s="210" t="s">
        <v>54</v>
      </c>
      <c r="L369" s="211" t="s">
        <v>60</v>
      </c>
      <c r="M369" s="211" t="s">
        <v>17</v>
      </c>
    </row>
    <row r="370" spans="1:13" x14ac:dyDescent="0.2">
      <c r="A370" s="211" t="s">
        <v>55</v>
      </c>
      <c r="B370" s="211" t="s">
        <v>58</v>
      </c>
      <c r="C370" s="211" t="s">
        <v>19</v>
      </c>
      <c r="D370" s="211" t="s">
        <v>12</v>
      </c>
      <c r="E370" s="208">
        <v>43168</v>
      </c>
      <c r="F370" s="209">
        <v>17.491482999999999</v>
      </c>
      <c r="G370" s="210" t="s">
        <v>13</v>
      </c>
      <c r="H370" s="211" t="s">
        <v>14</v>
      </c>
      <c r="I370" s="210">
        <v>1</v>
      </c>
      <c r="J370" s="210" t="s">
        <v>15</v>
      </c>
      <c r="K370" s="210" t="s">
        <v>54</v>
      </c>
      <c r="L370" s="211" t="s">
        <v>60</v>
      </c>
      <c r="M370" s="211" t="s">
        <v>56</v>
      </c>
    </row>
    <row r="371" spans="1:13" x14ac:dyDescent="0.2">
      <c r="A371" s="211" t="s">
        <v>55</v>
      </c>
      <c r="B371" s="211" t="s">
        <v>58</v>
      </c>
      <c r="C371" s="211" t="s">
        <v>19</v>
      </c>
      <c r="D371" s="211" t="s">
        <v>12</v>
      </c>
      <c r="E371" s="208">
        <v>43168</v>
      </c>
      <c r="F371" s="221">
        <v>6354.4878600000002</v>
      </c>
      <c r="G371" s="210" t="s">
        <v>16</v>
      </c>
      <c r="H371" s="211" t="s">
        <v>14</v>
      </c>
      <c r="I371" s="210">
        <v>1</v>
      </c>
      <c r="J371" s="210" t="s">
        <v>15</v>
      </c>
      <c r="K371" s="210" t="s">
        <v>54</v>
      </c>
      <c r="L371" s="211" t="s">
        <v>60</v>
      </c>
      <c r="M371" s="211" t="s">
        <v>56</v>
      </c>
    </row>
    <row r="372" spans="1:13" x14ac:dyDescent="0.2">
      <c r="A372" s="211" t="s">
        <v>55</v>
      </c>
      <c r="B372" s="211" t="s">
        <v>58</v>
      </c>
      <c r="C372" s="211" t="s">
        <v>19</v>
      </c>
      <c r="D372" s="211" t="s">
        <v>12</v>
      </c>
      <c r="E372" s="208">
        <v>43168</v>
      </c>
      <c r="F372" s="209">
        <v>6.98</v>
      </c>
      <c r="G372" s="210" t="s">
        <v>13</v>
      </c>
      <c r="H372" s="211" t="s">
        <v>18</v>
      </c>
      <c r="I372" s="210">
        <v>1</v>
      </c>
      <c r="J372" s="210" t="s">
        <v>15</v>
      </c>
      <c r="K372" s="210" t="s">
        <v>54</v>
      </c>
      <c r="L372" s="211" t="s">
        <v>60</v>
      </c>
      <c r="M372" s="211" t="s">
        <v>17</v>
      </c>
    </row>
    <row r="373" spans="1:13" x14ac:dyDescent="0.2">
      <c r="A373" s="211" t="s">
        <v>55</v>
      </c>
      <c r="B373" s="211" t="s">
        <v>58</v>
      </c>
      <c r="C373" s="211" t="s">
        <v>19</v>
      </c>
      <c r="D373" s="211" t="s">
        <v>12</v>
      </c>
      <c r="E373" s="208">
        <v>43168</v>
      </c>
      <c r="F373" s="221">
        <v>2535.7669919999998</v>
      </c>
      <c r="G373" s="210" t="s">
        <v>16</v>
      </c>
      <c r="H373" s="211" t="s">
        <v>18</v>
      </c>
      <c r="I373" s="210">
        <v>1</v>
      </c>
      <c r="J373" s="210" t="s">
        <v>15</v>
      </c>
      <c r="K373" s="210" t="s">
        <v>54</v>
      </c>
      <c r="L373" s="211" t="s">
        <v>60</v>
      </c>
      <c r="M373" s="211" t="s">
        <v>17</v>
      </c>
    </row>
    <row r="374" spans="1:13" x14ac:dyDescent="0.2">
      <c r="A374" s="211" t="s">
        <v>55</v>
      </c>
      <c r="B374" s="211" t="s">
        <v>58</v>
      </c>
      <c r="C374" s="211" t="s">
        <v>19</v>
      </c>
      <c r="D374" s="211" t="s">
        <v>12</v>
      </c>
      <c r="E374" s="208">
        <v>43167</v>
      </c>
      <c r="F374" s="209">
        <v>13.2445535</v>
      </c>
      <c r="G374" s="210" t="s">
        <v>13</v>
      </c>
      <c r="H374" s="211" t="s">
        <v>14</v>
      </c>
      <c r="I374" s="210">
        <v>1</v>
      </c>
      <c r="J374" s="210" t="s">
        <v>15</v>
      </c>
      <c r="K374" s="210" t="s">
        <v>54</v>
      </c>
      <c r="L374" s="211" t="s">
        <v>60</v>
      </c>
      <c r="M374" s="211" t="s">
        <v>56</v>
      </c>
    </row>
    <row r="375" spans="1:13" x14ac:dyDescent="0.2">
      <c r="A375" s="211" t="s">
        <v>55</v>
      </c>
      <c r="B375" s="211" t="s">
        <v>58</v>
      </c>
      <c r="C375" s="211" t="s">
        <v>19</v>
      </c>
      <c r="D375" s="211" t="s">
        <v>12</v>
      </c>
      <c r="E375" s="208">
        <v>43167</v>
      </c>
      <c r="F375" s="221">
        <v>4948.5890399999998</v>
      </c>
      <c r="G375" s="210" t="s">
        <v>16</v>
      </c>
      <c r="H375" s="211" t="s">
        <v>14</v>
      </c>
      <c r="I375" s="210">
        <v>1</v>
      </c>
      <c r="J375" s="210" t="s">
        <v>15</v>
      </c>
      <c r="K375" s="210" t="s">
        <v>54</v>
      </c>
      <c r="L375" s="211" t="s">
        <v>60</v>
      </c>
      <c r="M375" s="211" t="s">
        <v>56</v>
      </c>
    </row>
    <row r="376" spans="1:13" x14ac:dyDescent="0.2">
      <c r="A376" s="211" t="s">
        <v>55</v>
      </c>
      <c r="B376" s="211" t="s">
        <v>58</v>
      </c>
      <c r="C376" s="211" t="s">
        <v>19</v>
      </c>
      <c r="D376" s="211" t="s">
        <v>12</v>
      </c>
      <c r="E376" s="208">
        <v>43167</v>
      </c>
      <c r="F376" s="209">
        <v>8.3699999999999992</v>
      </c>
      <c r="G376" s="210" t="s">
        <v>13</v>
      </c>
      <c r="H376" s="211" t="s">
        <v>18</v>
      </c>
      <c r="I376" s="210">
        <v>1</v>
      </c>
      <c r="J376" s="210" t="s">
        <v>15</v>
      </c>
      <c r="K376" s="210" t="s">
        <v>54</v>
      </c>
      <c r="L376" s="211" t="s">
        <v>60</v>
      </c>
      <c r="M376" s="211" t="s">
        <v>17</v>
      </c>
    </row>
    <row r="377" spans="1:13" x14ac:dyDescent="0.2">
      <c r="A377" s="211" t="s">
        <v>55</v>
      </c>
      <c r="B377" s="211" t="s">
        <v>58</v>
      </c>
      <c r="C377" s="211" t="s">
        <v>19</v>
      </c>
      <c r="D377" s="211" t="s">
        <v>12</v>
      </c>
      <c r="E377" s="208">
        <v>43167</v>
      </c>
      <c r="F377" s="221">
        <v>3127.2998400000001</v>
      </c>
      <c r="G377" s="210" t="s">
        <v>16</v>
      </c>
      <c r="H377" s="211" t="s">
        <v>18</v>
      </c>
      <c r="I377" s="210">
        <v>1</v>
      </c>
      <c r="J377" s="210" t="s">
        <v>15</v>
      </c>
      <c r="K377" s="210" t="s">
        <v>54</v>
      </c>
      <c r="L377" s="211" t="s">
        <v>60</v>
      </c>
      <c r="M377" s="211" t="s">
        <v>17</v>
      </c>
    </row>
    <row r="378" spans="1:13" x14ac:dyDescent="0.2">
      <c r="A378" s="211" t="s">
        <v>55</v>
      </c>
      <c r="B378" s="211" t="s">
        <v>58</v>
      </c>
      <c r="C378" s="211" t="s">
        <v>19</v>
      </c>
      <c r="D378" s="211" t="s">
        <v>12</v>
      </c>
      <c r="E378" s="208">
        <v>43166</v>
      </c>
      <c r="F378" s="209">
        <v>18.434478299999999</v>
      </c>
      <c r="G378" s="210" t="s">
        <v>13</v>
      </c>
      <c r="H378" s="211" t="s">
        <v>14</v>
      </c>
      <c r="I378" s="210">
        <v>1</v>
      </c>
      <c r="J378" s="210" t="s">
        <v>15</v>
      </c>
      <c r="K378" s="210" t="s">
        <v>54</v>
      </c>
      <c r="L378" s="211" t="s">
        <v>60</v>
      </c>
      <c r="M378" s="211" t="s">
        <v>56</v>
      </c>
    </row>
    <row r="379" spans="1:13" x14ac:dyDescent="0.2">
      <c r="A379" s="211" t="s">
        <v>55</v>
      </c>
      <c r="B379" s="211" t="s">
        <v>58</v>
      </c>
      <c r="C379" s="211" t="s">
        <v>19</v>
      </c>
      <c r="D379" s="211" t="s">
        <v>12</v>
      </c>
      <c r="E379" s="208">
        <v>43166</v>
      </c>
      <c r="F379" s="221">
        <v>7161.3745200000003</v>
      </c>
      <c r="G379" s="210" t="s">
        <v>16</v>
      </c>
      <c r="H379" s="211" t="s">
        <v>14</v>
      </c>
      <c r="I379" s="210">
        <v>1</v>
      </c>
      <c r="J379" s="210" t="s">
        <v>15</v>
      </c>
      <c r="K379" s="210" t="s">
        <v>54</v>
      </c>
      <c r="L379" s="211" t="s">
        <v>60</v>
      </c>
      <c r="M379" s="211" t="s">
        <v>56</v>
      </c>
    </row>
    <row r="380" spans="1:13" x14ac:dyDescent="0.2">
      <c r="A380" s="211" t="s">
        <v>55</v>
      </c>
      <c r="B380" s="211" t="s">
        <v>58</v>
      </c>
      <c r="C380" s="211" t="s">
        <v>19</v>
      </c>
      <c r="D380" s="211" t="s">
        <v>12</v>
      </c>
      <c r="E380" s="208">
        <v>43166</v>
      </c>
      <c r="F380" s="209">
        <v>7.09</v>
      </c>
      <c r="G380" s="210" t="s">
        <v>13</v>
      </c>
      <c r="H380" s="211" t="s">
        <v>18</v>
      </c>
      <c r="I380" s="210">
        <v>1</v>
      </c>
      <c r="J380" s="210" t="s">
        <v>15</v>
      </c>
      <c r="K380" s="210" t="s">
        <v>54</v>
      </c>
      <c r="L380" s="211" t="s">
        <v>60</v>
      </c>
      <c r="M380" s="211" t="s">
        <v>17</v>
      </c>
    </row>
    <row r="381" spans="1:13" x14ac:dyDescent="0.2">
      <c r="A381" s="211" t="s">
        <v>55</v>
      </c>
      <c r="B381" s="211" t="s">
        <v>58</v>
      </c>
      <c r="C381" s="211" t="s">
        <v>19</v>
      </c>
      <c r="D381" s="211" t="s">
        <v>12</v>
      </c>
      <c r="E381" s="208">
        <v>43166</v>
      </c>
      <c r="F381" s="221">
        <v>2754.3033479999999</v>
      </c>
      <c r="G381" s="210" t="s">
        <v>16</v>
      </c>
      <c r="H381" s="211" t="s">
        <v>18</v>
      </c>
      <c r="I381" s="210">
        <v>1</v>
      </c>
      <c r="J381" s="210" t="s">
        <v>15</v>
      </c>
      <c r="K381" s="210" t="s">
        <v>54</v>
      </c>
      <c r="L381" s="211" t="s">
        <v>60</v>
      </c>
      <c r="M381" s="211" t="s">
        <v>17</v>
      </c>
    </row>
    <row r="382" spans="1:13" x14ac:dyDescent="0.2">
      <c r="A382" s="211" t="s">
        <v>55</v>
      </c>
      <c r="B382" s="211" t="s">
        <v>58</v>
      </c>
      <c r="C382" s="211" t="s">
        <v>19</v>
      </c>
      <c r="D382" s="211" t="s">
        <v>12</v>
      </c>
      <c r="E382" s="208">
        <v>43165</v>
      </c>
      <c r="F382" s="209">
        <v>10.678508900000001</v>
      </c>
      <c r="G382" s="210" t="s">
        <v>13</v>
      </c>
      <c r="H382" s="211" t="s">
        <v>14</v>
      </c>
      <c r="I382" s="210">
        <v>1</v>
      </c>
      <c r="J382" s="210" t="s">
        <v>15</v>
      </c>
      <c r="K382" s="210" t="s">
        <v>54</v>
      </c>
      <c r="L382" s="211" t="s">
        <v>60</v>
      </c>
      <c r="M382" s="211" t="s">
        <v>56</v>
      </c>
    </row>
    <row r="383" spans="1:13" x14ac:dyDescent="0.2">
      <c r="A383" s="211" t="s">
        <v>55</v>
      </c>
      <c r="B383" s="211" t="s">
        <v>58</v>
      </c>
      <c r="C383" s="211" t="s">
        <v>19</v>
      </c>
      <c r="D383" s="211" t="s">
        <v>12</v>
      </c>
      <c r="E383" s="208">
        <v>43165</v>
      </c>
      <c r="F383" s="221">
        <v>4276.6018800000002</v>
      </c>
      <c r="G383" s="210" t="s">
        <v>16</v>
      </c>
      <c r="H383" s="211" t="s">
        <v>14</v>
      </c>
      <c r="I383" s="210">
        <v>1</v>
      </c>
      <c r="J383" s="210" t="s">
        <v>15</v>
      </c>
      <c r="K383" s="210" t="s">
        <v>54</v>
      </c>
      <c r="L383" s="211" t="s">
        <v>60</v>
      </c>
      <c r="M383" s="211" t="s">
        <v>56</v>
      </c>
    </row>
    <row r="384" spans="1:13" x14ac:dyDescent="0.2">
      <c r="A384" s="211" t="s">
        <v>55</v>
      </c>
      <c r="B384" s="211" t="s">
        <v>58</v>
      </c>
      <c r="C384" s="211" t="s">
        <v>19</v>
      </c>
      <c r="D384" s="211" t="s">
        <v>12</v>
      </c>
      <c r="E384" s="208">
        <v>43165</v>
      </c>
      <c r="F384" s="209">
        <v>6.65</v>
      </c>
      <c r="G384" s="210" t="s">
        <v>13</v>
      </c>
      <c r="H384" s="211" t="s">
        <v>18</v>
      </c>
      <c r="I384" s="210">
        <v>1</v>
      </c>
      <c r="J384" s="210" t="s">
        <v>15</v>
      </c>
      <c r="K384" s="210" t="s">
        <v>54</v>
      </c>
      <c r="L384" s="211" t="s">
        <v>60</v>
      </c>
      <c r="M384" s="211" t="s">
        <v>17</v>
      </c>
    </row>
    <row r="385" spans="1:13" x14ac:dyDescent="0.2">
      <c r="A385" s="211" t="s">
        <v>55</v>
      </c>
      <c r="B385" s="211" t="s">
        <v>58</v>
      </c>
      <c r="C385" s="211" t="s">
        <v>19</v>
      </c>
      <c r="D385" s="211" t="s">
        <v>12</v>
      </c>
      <c r="E385" s="208">
        <v>43165</v>
      </c>
      <c r="F385" s="221">
        <v>2663.23722</v>
      </c>
      <c r="G385" s="210" t="s">
        <v>16</v>
      </c>
      <c r="H385" s="211" t="s">
        <v>18</v>
      </c>
      <c r="I385" s="210">
        <v>1</v>
      </c>
      <c r="J385" s="210" t="s">
        <v>15</v>
      </c>
      <c r="K385" s="210" t="s">
        <v>54</v>
      </c>
      <c r="L385" s="211" t="s">
        <v>60</v>
      </c>
      <c r="M385" s="211" t="s">
        <v>17</v>
      </c>
    </row>
    <row r="386" spans="1:13" x14ac:dyDescent="0.2">
      <c r="A386" s="211" t="s">
        <v>55</v>
      </c>
      <c r="B386" s="211" t="s">
        <v>58</v>
      </c>
      <c r="C386" s="211" t="s">
        <v>19</v>
      </c>
      <c r="D386" s="211" t="s">
        <v>12</v>
      </c>
      <c r="E386" s="208">
        <v>43164</v>
      </c>
      <c r="F386" s="209">
        <v>11.109142500000001</v>
      </c>
      <c r="G386" s="210" t="s">
        <v>13</v>
      </c>
      <c r="H386" s="211" t="s">
        <v>14</v>
      </c>
      <c r="I386" s="210">
        <v>1</v>
      </c>
      <c r="J386" s="210" t="s">
        <v>15</v>
      </c>
      <c r="K386" s="210" t="s">
        <v>54</v>
      </c>
      <c r="L386" s="211" t="s">
        <v>60</v>
      </c>
      <c r="M386" s="211" t="s">
        <v>56</v>
      </c>
    </row>
    <row r="387" spans="1:13" x14ac:dyDescent="0.2">
      <c r="A387" s="211" t="s">
        <v>55</v>
      </c>
      <c r="B387" s="211" t="s">
        <v>58</v>
      </c>
      <c r="C387" s="211" t="s">
        <v>19</v>
      </c>
      <c r="D387" s="211" t="s">
        <v>12</v>
      </c>
      <c r="E387" s="208">
        <v>43164</v>
      </c>
      <c r="F387" s="221">
        <v>4732.5747000000001</v>
      </c>
      <c r="G387" s="210" t="s">
        <v>16</v>
      </c>
      <c r="H387" s="211" t="s">
        <v>14</v>
      </c>
      <c r="I387" s="210">
        <v>1</v>
      </c>
      <c r="J387" s="210" t="s">
        <v>15</v>
      </c>
      <c r="K387" s="210" t="s">
        <v>54</v>
      </c>
      <c r="L387" s="211" t="s">
        <v>60</v>
      </c>
      <c r="M387" s="211" t="s">
        <v>56</v>
      </c>
    </row>
    <row r="388" spans="1:13" x14ac:dyDescent="0.2">
      <c r="A388" s="211" t="s">
        <v>55</v>
      </c>
      <c r="B388" s="211" t="s">
        <v>58</v>
      </c>
      <c r="C388" s="211" t="s">
        <v>19</v>
      </c>
      <c r="D388" s="211" t="s">
        <v>12</v>
      </c>
      <c r="E388" s="208">
        <v>43164</v>
      </c>
      <c r="F388" s="209">
        <v>9.59</v>
      </c>
      <c r="G388" s="210" t="s">
        <v>13</v>
      </c>
      <c r="H388" s="211" t="s">
        <v>18</v>
      </c>
      <c r="I388" s="210">
        <v>1</v>
      </c>
      <c r="J388" s="210" t="s">
        <v>15</v>
      </c>
      <c r="K388" s="210" t="s">
        <v>54</v>
      </c>
      <c r="L388" s="211" t="s">
        <v>60</v>
      </c>
      <c r="M388" s="211" t="s">
        <v>17</v>
      </c>
    </row>
    <row r="389" spans="1:13" x14ac:dyDescent="0.2">
      <c r="A389" s="211" t="s">
        <v>55</v>
      </c>
      <c r="B389" s="211" t="s">
        <v>58</v>
      </c>
      <c r="C389" s="211" t="s">
        <v>19</v>
      </c>
      <c r="D389" s="211" t="s">
        <v>12</v>
      </c>
      <c r="E389" s="208">
        <v>43164</v>
      </c>
      <c r="F389" s="221">
        <v>4085.409048</v>
      </c>
      <c r="G389" s="210" t="s">
        <v>16</v>
      </c>
      <c r="H389" s="211" t="s">
        <v>18</v>
      </c>
      <c r="I389" s="210">
        <v>1</v>
      </c>
      <c r="J389" s="210" t="s">
        <v>15</v>
      </c>
      <c r="K389" s="210" t="s">
        <v>54</v>
      </c>
      <c r="L389" s="211" t="s">
        <v>60</v>
      </c>
      <c r="M389" s="211" t="s">
        <v>17</v>
      </c>
    </row>
    <row r="390" spans="1:13" x14ac:dyDescent="0.2">
      <c r="A390" s="211" t="s">
        <v>55</v>
      </c>
      <c r="B390" s="211" t="s">
        <v>58</v>
      </c>
      <c r="C390" s="211" t="s">
        <v>19</v>
      </c>
      <c r="D390" s="211" t="s">
        <v>12</v>
      </c>
      <c r="E390" s="208">
        <v>43163</v>
      </c>
      <c r="F390" s="209">
        <v>11.749882400000001</v>
      </c>
      <c r="G390" s="210" t="s">
        <v>13</v>
      </c>
      <c r="H390" s="211" t="s">
        <v>14</v>
      </c>
      <c r="I390" s="210">
        <v>1</v>
      </c>
      <c r="J390" s="210" t="s">
        <v>15</v>
      </c>
      <c r="K390" s="210" t="s">
        <v>54</v>
      </c>
      <c r="L390" s="211" t="s">
        <v>60</v>
      </c>
      <c r="M390" s="211" t="s">
        <v>56</v>
      </c>
    </row>
    <row r="391" spans="1:13" x14ac:dyDescent="0.2">
      <c r="A391" s="211" t="s">
        <v>55</v>
      </c>
      <c r="B391" s="211" t="s">
        <v>58</v>
      </c>
      <c r="C391" s="211" t="s">
        <v>19</v>
      </c>
      <c r="D391" s="211" t="s">
        <v>12</v>
      </c>
      <c r="E391" s="208">
        <v>43163</v>
      </c>
      <c r="F391" s="221">
        <v>4168.6656000000003</v>
      </c>
      <c r="G391" s="210" t="s">
        <v>16</v>
      </c>
      <c r="H391" s="211" t="s">
        <v>14</v>
      </c>
      <c r="I391" s="210">
        <v>1</v>
      </c>
      <c r="J391" s="210" t="s">
        <v>15</v>
      </c>
      <c r="K391" s="210" t="s">
        <v>54</v>
      </c>
      <c r="L391" s="211" t="s">
        <v>60</v>
      </c>
      <c r="M391" s="211" t="s">
        <v>56</v>
      </c>
    </row>
    <row r="392" spans="1:13" x14ac:dyDescent="0.2">
      <c r="A392" s="211" t="s">
        <v>55</v>
      </c>
      <c r="B392" s="211" t="s">
        <v>58</v>
      </c>
      <c r="C392" s="211" t="s">
        <v>19</v>
      </c>
      <c r="D392" s="211" t="s">
        <v>12</v>
      </c>
      <c r="E392" s="208">
        <v>43163</v>
      </c>
      <c r="F392" s="209">
        <v>7.54</v>
      </c>
      <c r="G392" s="210" t="s">
        <v>13</v>
      </c>
      <c r="H392" s="211" t="s">
        <v>18</v>
      </c>
      <c r="I392" s="210">
        <v>1</v>
      </c>
      <c r="J392" s="210" t="s">
        <v>15</v>
      </c>
      <c r="K392" s="210" t="s">
        <v>54</v>
      </c>
      <c r="L392" s="211" t="s">
        <v>60</v>
      </c>
      <c r="M392" s="211" t="s">
        <v>17</v>
      </c>
    </row>
    <row r="393" spans="1:13" x14ac:dyDescent="0.2">
      <c r="A393" s="211" t="s">
        <v>55</v>
      </c>
      <c r="B393" s="211" t="s">
        <v>58</v>
      </c>
      <c r="C393" s="211" t="s">
        <v>19</v>
      </c>
      <c r="D393" s="211" t="s">
        <v>12</v>
      </c>
      <c r="E393" s="208">
        <v>43163</v>
      </c>
      <c r="F393" s="221">
        <v>2675.0683439999998</v>
      </c>
      <c r="G393" s="210" t="s">
        <v>16</v>
      </c>
      <c r="H393" s="211" t="s">
        <v>18</v>
      </c>
      <c r="I393" s="210">
        <v>1</v>
      </c>
      <c r="J393" s="210" t="s">
        <v>15</v>
      </c>
      <c r="K393" s="210" t="s">
        <v>54</v>
      </c>
      <c r="L393" s="211" t="s">
        <v>60</v>
      </c>
      <c r="M393" s="211" t="s">
        <v>17</v>
      </c>
    </row>
    <row r="394" spans="1:13" x14ac:dyDescent="0.2">
      <c r="A394" s="211" t="s">
        <v>55</v>
      </c>
      <c r="B394" s="211" t="s">
        <v>58</v>
      </c>
      <c r="C394" s="211" t="s">
        <v>19</v>
      </c>
      <c r="D394" s="211" t="s">
        <v>12</v>
      </c>
      <c r="E394" s="208">
        <v>43162</v>
      </c>
      <c r="F394" s="209">
        <v>11.382106200000001</v>
      </c>
      <c r="G394" s="210" t="s">
        <v>13</v>
      </c>
      <c r="H394" s="211" t="s">
        <v>14</v>
      </c>
      <c r="I394" s="210">
        <v>1</v>
      </c>
      <c r="J394" s="210" t="s">
        <v>15</v>
      </c>
      <c r="K394" s="210" t="s">
        <v>54</v>
      </c>
      <c r="L394" s="211" t="s">
        <v>60</v>
      </c>
      <c r="M394" s="211" t="s">
        <v>56</v>
      </c>
    </row>
    <row r="395" spans="1:13" x14ac:dyDescent="0.2">
      <c r="A395" s="211" t="s">
        <v>55</v>
      </c>
      <c r="B395" s="211" t="s">
        <v>58</v>
      </c>
      <c r="C395" s="211" t="s">
        <v>19</v>
      </c>
      <c r="D395" s="211" t="s">
        <v>12</v>
      </c>
      <c r="E395" s="208">
        <v>43162</v>
      </c>
      <c r="F395" s="221">
        <v>4074.2568000000001</v>
      </c>
      <c r="G395" s="210" t="s">
        <v>16</v>
      </c>
      <c r="H395" s="211" t="s">
        <v>14</v>
      </c>
      <c r="I395" s="210">
        <v>1</v>
      </c>
      <c r="J395" s="210" t="s">
        <v>15</v>
      </c>
      <c r="K395" s="210" t="s">
        <v>54</v>
      </c>
      <c r="L395" s="211" t="s">
        <v>60</v>
      </c>
      <c r="M395" s="211" t="s">
        <v>56</v>
      </c>
    </row>
    <row r="396" spans="1:13" x14ac:dyDescent="0.2">
      <c r="A396" s="211" t="s">
        <v>55</v>
      </c>
      <c r="B396" s="211" t="s">
        <v>58</v>
      </c>
      <c r="C396" s="211" t="s">
        <v>19</v>
      </c>
      <c r="D396" s="211" t="s">
        <v>12</v>
      </c>
      <c r="E396" s="208">
        <v>43162</v>
      </c>
      <c r="F396" s="209">
        <v>7.64</v>
      </c>
      <c r="G396" s="210" t="s">
        <v>13</v>
      </c>
      <c r="H396" s="211" t="s">
        <v>18</v>
      </c>
      <c r="I396" s="210">
        <v>1</v>
      </c>
      <c r="J396" s="210" t="s">
        <v>15</v>
      </c>
      <c r="K396" s="210" t="s">
        <v>54</v>
      </c>
      <c r="L396" s="211" t="s">
        <v>60</v>
      </c>
      <c r="M396" s="211" t="s">
        <v>17</v>
      </c>
    </row>
    <row r="397" spans="1:13" x14ac:dyDescent="0.2">
      <c r="A397" s="211" t="s">
        <v>55</v>
      </c>
      <c r="B397" s="211" t="s">
        <v>58</v>
      </c>
      <c r="C397" s="211" t="s">
        <v>19</v>
      </c>
      <c r="D397" s="211" t="s">
        <v>12</v>
      </c>
      <c r="E397" s="208">
        <v>43162</v>
      </c>
      <c r="F397" s="221">
        <v>2734.7593919999999</v>
      </c>
      <c r="G397" s="210" t="s">
        <v>16</v>
      </c>
      <c r="H397" s="211" t="s">
        <v>18</v>
      </c>
      <c r="I397" s="210">
        <v>1</v>
      </c>
      <c r="J397" s="210" t="s">
        <v>15</v>
      </c>
      <c r="K397" s="210" t="s">
        <v>54</v>
      </c>
      <c r="L397" s="211" t="s">
        <v>60</v>
      </c>
      <c r="M397" s="211" t="s">
        <v>17</v>
      </c>
    </row>
    <row r="398" spans="1:13" x14ac:dyDescent="0.2">
      <c r="A398" s="211" t="s">
        <v>55</v>
      </c>
      <c r="B398" s="211" t="s">
        <v>58</v>
      </c>
      <c r="C398" s="211" t="s">
        <v>19</v>
      </c>
      <c r="D398" s="211" t="s">
        <v>12</v>
      </c>
      <c r="E398" s="208">
        <v>43161</v>
      </c>
      <c r="F398" s="209">
        <v>11.0474744</v>
      </c>
      <c r="G398" s="210" t="s">
        <v>13</v>
      </c>
      <c r="H398" s="211" t="s">
        <v>14</v>
      </c>
      <c r="I398" s="210">
        <v>1</v>
      </c>
      <c r="J398" s="210" t="s">
        <v>15</v>
      </c>
      <c r="K398" s="210" t="s">
        <v>54</v>
      </c>
      <c r="L398" s="211" t="s">
        <v>60</v>
      </c>
      <c r="M398" s="211" t="s">
        <v>56</v>
      </c>
    </row>
    <row r="399" spans="1:13" x14ac:dyDescent="0.2">
      <c r="A399" s="211" t="s">
        <v>55</v>
      </c>
      <c r="B399" s="211" t="s">
        <v>58</v>
      </c>
      <c r="C399" s="211" t="s">
        <v>19</v>
      </c>
      <c r="D399" s="211" t="s">
        <v>12</v>
      </c>
      <c r="E399" s="208">
        <v>43161</v>
      </c>
      <c r="F399" s="221">
        <v>3969.2161679999999</v>
      </c>
      <c r="G399" s="210" t="s">
        <v>16</v>
      </c>
      <c r="H399" s="211" t="s">
        <v>14</v>
      </c>
      <c r="I399" s="210">
        <v>1</v>
      </c>
      <c r="J399" s="210" t="s">
        <v>15</v>
      </c>
      <c r="K399" s="210" t="s">
        <v>54</v>
      </c>
      <c r="L399" s="211" t="s">
        <v>60</v>
      </c>
      <c r="M399" s="211" t="s">
        <v>56</v>
      </c>
    </row>
    <row r="400" spans="1:13" x14ac:dyDescent="0.2">
      <c r="A400" s="211" t="s">
        <v>55</v>
      </c>
      <c r="B400" s="211" t="s">
        <v>58</v>
      </c>
      <c r="C400" s="211" t="s">
        <v>19</v>
      </c>
      <c r="D400" s="211" t="s">
        <v>12</v>
      </c>
      <c r="E400" s="208">
        <v>43161</v>
      </c>
      <c r="F400" s="209">
        <v>7.35</v>
      </c>
      <c r="G400" s="210" t="s">
        <v>13</v>
      </c>
      <c r="H400" s="211" t="s">
        <v>18</v>
      </c>
      <c r="I400" s="210">
        <v>1</v>
      </c>
      <c r="J400" s="210" t="s">
        <v>15</v>
      </c>
      <c r="K400" s="210" t="s">
        <v>54</v>
      </c>
      <c r="L400" s="211" t="s">
        <v>60</v>
      </c>
      <c r="M400" s="211" t="s">
        <v>17</v>
      </c>
    </row>
    <row r="401" spans="1:13" x14ac:dyDescent="0.2">
      <c r="A401" s="211" t="s">
        <v>55</v>
      </c>
      <c r="B401" s="211" t="s">
        <v>58</v>
      </c>
      <c r="C401" s="211" t="s">
        <v>19</v>
      </c>
      <c r="D401" s="211" t="s">
        <v>12</v>
      </c>
      <c r="E401" s="208">
        <v>43161</v>
      </c>
      <c r="F401" s="221">
        <v>2640.7609200000002</v>
      </c>
      <c r="G401" s="210" t="s">
        <v>16</v>
      </c>
      <c r="H401" s="211" t="s">
        <v>18</v>
      </c>
      <c r="I401" s="210">
        <v>1</v>
      </c>
      <c r="J401" s="210" t="s">
        <v>15</v>
      </c>
      <c r="K401" s="210" t="s">
        <v>54</v>
      </c>
      <c r="L401" s="211" t="s">
        <v>60</v>
      </c>
      <c r="M401" s="211" t="s">
        <v>17</v>
      </c>
    </row>
    <row r="402" spans="1:13" x14ac:dyDescent="0.2">
      <c r="A402" s="211" t="s">
        <v>55</v>
      </c>
      <c r="B402" s="211" t="s">
        <v>58</v>
      </c>
      <c r="C402" s="211" t="s">
        <v>19</v>
      </c>
      <c r="D402" s="211" t="s">
        <v>12</v>
      </c>
      <c r="E402" s="208">
        <v>43160</v>
      </c>
      <c r="F402" s="209">
        <v>11.9131128</v>
      </c>
      <c r="G402" s="210" t="s">
        <v>13</v>
      </c>
      <c r="H402" s="211" t="s">
        <v>14</v>
      </c>
      <c r="I402" s="210">
        <v>1</v>
      </c>
      <c r="J402" s="210" t="s">
        <v>15</v>
      </c>
      <c r="K402" s="210" t="s">
        <v>54</v>
      </c>
      <c r="L402" s="211" t="s">
        <v>60</v>
      </c>
      <c r="M402" s="211" t="s">
        <v>56</v>
      </c>
    </row>
    <row r="403" spans="1:13" x14ac:dyDescent="0.2">
      <c r="A403" s="211" t="s">
        <v>55</v>
      </c>
      <c r="B403" s="211" t="s">
        <v>58</v>
      </c>
      <c r="C403" s="211" t="s">
        <v>19</v>
      </c>
      <c r="D403" s="211" t="s">
        <v>12</v>
      </c>
      <c r="E403" s="208">
        <v>43160</v>
      </c>
      <c r="F403" s="221">
        <v>4296.1258200000002</v>
      </c>
      <c r="G403" s="210" t="s">
        <v>16</v>
      </c>
      <c r="H403" s="211" t="s">
        <v>14</v>
      </c>
      <c r="I403" s="210">
        <v>1</v>
      </c>
      <c r="J403" s="210" t="s">
        <v>15</v>
      </c>
      <c r="K403" s="210" t="s">
        <v>54</v>
      </c>
      <c r="L403" s="211" t="s">
        <v>60</v>
      </c>
      <c r="M403" s="211" t="s">
        <v>56</v>
      </c>
    </row>
    <row r="404" spans="1:13" x14ac:dyDescent="0.2">
      <c r="A404" s="211" t="s">
        <v>55</v>
      </c>
      <c r="B404" s="211" t="s">
        <v>58</v>
      </c>
      <c r="C404" s="211" t="s">
        <v>19</v>
      </c>
      <c r="D404" s="211" t="s">
        <v>12</v>
      </c>
      <c r="E404" s="208">
        <v>43160</v>
      </c>
      <c r="F404" s="209">
        <v>6.75</v>
      </c>
      <c r="G404" s="210" t="s">
        <v>13</v>
      </c>
      <c r="H404" s="211" t="s">
        <v>18</v>
      </c>
      <c r="I404" s="210">
        <v>1</v>
      </c>
      <c r="J404" s="210" t="s">
        <v>15</v>
      </c>
      <c r="K404" s="210" t="s">
        <v>54</v>
      </c>
      <c r="L404" s="211" t="s">
        <v>60</v>
      </c>
      <c r="M404" s="211" t="s">
        <v>17</v>
      </c>
    </row>
    <row r="405" spans="1:13" x14ac:dyDescent="0.2">
      <c r="A405" s="211" t="s">
        <v>55</v>
      </c>
      <c r="B405" s="211" t="s">
        <v>58</v>
      </c>
      <c r="C405" s="211" t="s">
        <v>19</v>
      </c>
      <c r="D405" s="211" t="s">
        <v>12</v>
      </c>
      <c r="E405" s="208">
        <v>43160</v>
      </c>
      <c r="F405" s="221">
        <v>2434.1958</v>
      </c>
      <c r="G405" s="210" t="s">
        <v>16</v>
      </c>
      <c r="H405" s="211" t="s">
        <v>18</v>
      </c>
      <c r="I405" s="210">
        <v>1</v>
      </c>
      <c r="J405" s="210" t="s">
        <v>15</v>
      </c>
      <c r="K405" s="210" t="s">
        <v>54</v>
      </c>
      <c r="L405" s="211" t="s">
        <v>60</v>
      </c>
      <c r="M405" s="211" t="s">
        <v>17</v>
      </c>
    </row>
    <row r="406" spans="1:13" x14ac:dyDescent="0.2">
      <c r="A406" s="211" t="s">
        <v>55</v>
      </c>
      <c r="B406" s="211" t="s">
        <v>58</v>
      </c>
      <c r="C406" s="211" t="s">
        <v>19</v>
      </c>
      <c r="D406" s="211" t="s">
        <v>12</v>
      </c>
      <c r="E406" s="208">
        <v>43159</v>
      </c>
      <c r="F406" s="209">
        <v>10.341301400000001</v>
      </c>
      <c r="G406" s="210" t="s">
        <v>13</v>
      </c>
      <c r="H406" s="211" t="s">
        <v>14</v>
      </c>
      <c r="I406" s="210">
        <v>1</v>
      </c>
      <c r="J406" s="210" t="s">
        <v>15</v>
      </c>
      <c r="K406" s="210" t="s">
        <v>54</v>
      </c>
      <c r="L406" s="211" t="s">
        <v>60</v>
      </c>
      <c r="M406" s="211" t="s">
        <v>56</v>
      </c>
    </row>
    <row r="407" spans="1:13" x14ac:dyDescent="0.2">
      <c r="A407" s="211" t="s">
        <v>55</v>
      </c>
      <c r="B407" s="211" t="s">
        <v>58</v>
      </c>
      <c r="C407" s="211" t="s">
        <v>19</v>
      </c>
      <c r="D407" s="211" t="s">
        <v>12</v>
      </c>
      <c r="E407" s="208">
        <v>43159</v>
      </c>
      <c r="F407" s="221">
        <v>3817.2680399999999</v>
      </c>
      <c r="G407" s="210" t="s">
        <v>16</v>
      </c>
      <c r="H407" s="211" t="s">
        <v>14</v>
      </c>
      <c r="I407" s="210">
        <v>1</v>
      </c>
      <c r="J407" s="210" t="s">
        <v>15</v>
      </c>
      <c r="K407" s="210" t="s">
        <v>54</v>
      </c>
      <c r="L407" s="211" t="s">
        <v>60</v>
      </c>
      <c r="M407" s="211" t="s">
        <v>56</v>
      </c>
    </row>
    <row r="408" spans="1:13" x14ac:dyDescent="0.2">
      <c r="A408" s="211" t="s">
        <v>55</v>
      </c>
      <c r="B408" s="211" t="s">
        <v>58</v>
      </c>
      <c r="C408" s="211" t="s">
        <v>19</v>
      </c>
      <c r="D408" s="211" t="s">
        <v>12</v>
      </c>
      <c r="E408" s="208">
        <v>43159</v>
      </c>
      <c r="F408" s="209">
        <v>6.66</v>
      </c>
      <c r="G408" s="210" t="s">
        <v>13</v>
      </c>
      <c r="H408" s="211" t="s">
        <v>18</v>
      </c>
      <c r="I408" s="210">
        <v>1</v>
      </c>
      <c r="J408" s="210" t="s">
        <v>15</v>
      </c>
      <c r="K408" s="210" t="s">
        <v>54</v>
      </c>
      <c r="L408" s="211" t="s">
        <v>60</v>
      </c>
      <c r="M408" s="211" t="s">
        <v>17</v>
      </c>
    </row>
    <row r="409" spans="1:13" x14ac:dyDescent="0.2">
      <c r="A409" s="211" t="s">
        <v>55</v>
      </c>
      <c r="B409" s="211" t="s">
        <v>58</v>
      </c>
      <c r="C409" s="211" t="s">
        <v>19</v>
      </c>
      <c r="D409" s="211" t="s">
        <v>12</v>
      </c>
      <c r="E409" s="208">
        <v>43159</v>
      </c>
      <c r="F409" s="221">
        <v>2458.3951440000001</v>
      </c>
      <c r="G409" s="210" t="s">
        <v>16</v>
      </c>
      <c r="H409" s="211" t="s">
        <v>18</v>
      </c>
      <c r="I409" s="210">
        <v>1</v>
      </c>
      <c r="J409" s="210" t="s">
        <v>15</v>
      </c>
      <c r="K409" s="210" t="s">
        <v>54</v>
      </c>
      <c r="L409" s="211" t="s">
        <v>60</v>
      </c>
      <c r="M409" s="211" t="s">
        <v>17</v>
      </c>
    </row>
    <row r="410" spans="1:13" x14ac:dyDescent="0.2">
      <c r="A410" s="211" t="s">
        <v>55</v>
      </c>
      <c r="B410" s="211" t="s">
        <v>58</v>
      </c>
      <c r="C410" s="211" t="s">
        <v>19</v>
      </c>
      <c r="D410" s="211" t="s">
        <v>12</v>
      </c>
      <c r="E410" s="208">
        <v>43158</v>
      </c>
      <c r="F410" s="209">
        <v>10.9091033</v>
      </c>
      <c r="G410" s="210" t="s">
        <v>13</v>
      </c>
      <c r="H410" s="211" t="s">
        <v>14</v>
      </c>
      <c r="I410" s="210">
        <v>1</v>
      </c>
      <c r="J410" s="210" t="s">
        <v>15</v>
      </c>
      <c r="K410" s="210" t="s">
        <v>54</v>
      </c>
      <c r="L410" s="211" t="s">
        <v>60</v>
      </c>
      <c r="M410" s="211" t="s">
        <v>56</v>
      </c>
    </row>
    <row r="411" spans="1:13" x14ac:dyDescent="0.2">
      <c r="A411" s="211" t="s">
        <v>55</v>
      </c>
      <c r="B411" s="211" t="s">
        <v>58</v>
      </c>
      <c r="C411" s="211" t="s">
        <v>19</v>
      </c>
      <c r="D411" s="211" t="s">
        <v>12</v>
      </c>
      <c r="E411" s="208">
        <v>43158</v>
      </c>
      <c r="F411" s="221">
        <v>3977.72964</v>
      </c>
      <c r="G411" s="210" t="s">
        <v>16</v>
      </c>
      <c r="H411" s="211" t="s">
        <v>14</v>
      </c>
      <c r="I411" s="210">
        <v>1</v>
      </c>
      <c r="J411" s="210" t="s">
        <v>15</v>
      </c>
      <c r="K411" s="210" t="s">
        <v>54</v>
      </c>
      <c r="L411" s="211" t="s">
        <v>60</v>
      </c>
      <c r="M411" s="211" t="s">
        <v>56</v>
      </c>
    </row>
    <row r="412" spans="1:13" x14ac:dyDescent="0.2">
      <c r="A412" s="211" t="s">
        <v>55</v>
      </c>
      <c r="B412" s="211" t="s">
        <v>58</v>
      </c>
      <c r="C412" s="211" t="s">
        <v>19</v>
      </c>
      <c r="D412" s="211" t="s">
        <v>12</v>
      </c>
      <c r="E412" s="208">
        <v>43158</v>
      </c>
      <c r="F412" s="209">
        <v>7.43</v>
      </c>
      <c r="G412" s="210" t="s">
        <v>13</v>
      </c>
      <c r="H412" s="211" t="s">
        <v>18</v>
      </c>
      <c r="I412" s="210">
        <v>1</v>
      </c>
      <c r="J412" s="210" t="s">
        <v>15</v>
      </c>
      <c r="K412" s="210" t="s">
        <v>54</v>
      </c>
      <c r="L412" s="211" t="s">
        <v>60</v>
      </c>
      <c r="M412" s="211" t="s">
        <v>17</v>
      </c>
    </row>
    <row r="413" spans="1:13" x14ac:dyDescent="0.2">
      <c r="A413" s="211" t="s">
        <v>55</v>
      </c>
      <c r="B413" s="211" t="s">
        <v>58</v>
      </c>
      <c r="C413" s="211" t="s">
        <v>19</v>
      </c>
      <c r="D413" s="211" t="s">
        <v>12</v>
      </c>
      <c r="E413" s="208">
        <v>43158</v>
      </c>
      <c r="F413" s="221">
        <v>2709.1622640000001</v>
      </c>
      <c r="G413" s="210" t="s">
        <v>16</v>
      </c>
      <c r="H413" s="211" t="s">
        <v>18</v>
      </c>
      <c r="I413" s="210">
        <v>1</v>
      </c>
      <c r="J413" s="210" t="s">
        <v>15</v>
      </c>
      <c r="K413" s="210" t="s">
        <v>54</v>
      </c>
      <c r="L413" s="211" t="s">
        <v>60</v>
      </c>
      <c r="M413" s="211" t="s">
        <v>17</v>
      </c>
    </row>
    <row r="414" spans="1:13" x14ac:dyDescent="0.2">
      <c r="A414" s="211" t="s">
        <v>55</v>
      </c>
      <c r="B414" s="211" t="s">
        <v>58</v>
      </c>
      <c r="C414" s="211" t="s">
        <v>19</v>
      </c>
      <c r="D414" s="211" t="s">
        <v>12</v>
      </c>
      <c r="E414" s="208">
        <v>43157</v>
      </c>
      <c r="F414" s="209">
        <v>12.0401595</v>
      </c>
      <c r="G414" s="210" t="s">
        <v>13</v>
      </c>
      <c r="H414" s="211" t="s">
        <v>14</v>
      </c>
      <c r="I414" s="210">
        <v>1</v>
      </c>
      <c r="J414" s="210" t="s">
        <v>15</v>
      </c>
      <c r="K414" s="210" t="s">
        <v>54</v>
      </c>
      <c r="L414" s="211" t="s">
        <v>60</v>
      </c>
      <c r="M414" s="211" t="s">
        <v>56</v>
      </c>
    </row>
    <row r="415" spans="1:13" x14ac:dyDescent="0.2">
      <c r="A415" s="211" t="s">
        <v>55</v>
      </c>
      <c r="B415" s="211" t="s">
        <v>58</v>
      </c>
      <c r="C415" s="211" t="s">
        <v>19</v>
      </c>
      <c r="D415" s="211" t="s">
        <v>12</v>
      </c>
      <c r="E415" s="208">
        <v>43157</v>
      </c>
      <c r="F415" s="221">
        <v>4530.7216799999997</v>
      </c>
      <c r="G415" s="210" t="s">
        <v>16</v>
      </c>
      <c r="H415" s="211" t="s">
        <v>14</v>
      </c>
      <c r="I415" s="210">
        <v>1</v>
      </c>
      <c r="J415" s="210" t="s">
        <v>15</v>
      </c>
      <c r="K415" s="210" t="s">
        <v>54</v>
      </c>
      <c r="L415" s="211" t="s">
        <v>60</v>
      </c>
      <c r="M415" s="211" t="s">
        <v>56</v>
      </c>
    </row>
    <row r="416" spans="1:13" x14ac:dyDescent="0.2">
      <c r="A416" s="211" t="s">
        <v>55</v>
      </c>
      <c r="B416" s="211" t="s">
        <v>58</v>
      </c>
      <c r="C416" s="211" t="s">
        <v>19</v>
      </c>
      <c r="D416" s="211" t="s">
        <v>12</v>
      </c>
      <c r="E416" s="208">
        <v>43157</v>
      </c>
      <c r="F416" s="209">
        <v>7.83</v>
      </c>
      <c r="G416" s="210" t="s">
        <v>13</v>
      </c>
      <c r="H416" s="211" t="s">
        <v>18</v>
      </c>
      <c r="I416" s="210">
        <v>1</v>
      </c>
      <c r="J416" s="210" t="s">
        <v>15</v>
      </c>
      <c r="K416" s="210" t="s">
        <v>54</v>
      </c>
      <c r="L416" s="211" t="s">
        <v>60</v>
      </c>
      <c r="M416" s="211" t="s">
        <v>17</v>
      </c>
    </row>
    <row r="417" spans="1:13" x14ac:dyDescent="0.2">
      <c r="A417" s="211" t="s">
        <v>55</v>
      </c>
      <c r="B417" s="211" t="s">
        <v>58</v>
      </c>
      <c r="C417" s="211" t="s">
        <v>19</v>
      </c>
      <c r="D417" s="211" t="s">
        <v>12</v>
      </c>
      <c r="E417" s="208">
        <v>43157</v>
      </c>
      <c r="F417" s="221">
        <v>2946.4352640000002</v>
      </c>
      <c r="G417" s="210" t="s">
        <v>16</v>
      </c>
      <c r="H417" s="211" t="s">
        <v>18</v>
      </c>
      <c r="I417" s="210">
        <v>1</v>
      </c>
      <c r="J417" s="210" t="s">
        <v>15</v>
      </c>
      <c r="K417" s="210" t="s">
        <v>54</v>
      </c>
      <c r="L417" s="211" t="s">
        <v>60</v>
      </c>
      <c r="M417" s="211" t="s">
        <v>17</v>
      </c>
    </row>
    <row r="418" spans="1:13" x14ac:dyDescent="0.2">
      <c r="A418" s="211" t="s">
        <v>55</v>
      </c>
      <c r="B418" s="211" t="s">
        <v>58</v>
      </c>
      <c r="C418" s="211" t="s">
        <v>19</v>
      </c>
      <c r="D418" s="211" t="s">
        <v>12</v>
      </c>
      <c r="E418" s="208">
        <v>43156</v>
      </c>
      <c r="F418" s="209">
        <v>12.252352</v>
      </c>
      <c r="G418" s="210" t="s">
        <v>13</v>
      </c>
      <c r="H418" s="211" t="s">
        <v>14</v>
      </c>
      <c r="I418" s="210">
        <v>1</v>
      </c>
      <c r="J418" s="210" t="s">
        <v>15</v>
      </c>
      <c r="K418" s="210" t="s">
        <v>54</v>
      </c>
      <c r="L418" s="211" t="s">
        <v>60</v>
      </c>
      <c r="M418" s="211" t="s">
        <v>56</v>
      </c>
    </row>
    <row r="419" spans="1:13" x14ac:dyDescent="0.2">
      <c r="A419" s="211" t="s">
        <v>55</v>
      </c>
      <c r="B419" s="211" t="s">
        <v>58</v>
      </c>
      <c r="C419" s="211" t="s">
        <v>19</v>
      </c>
      <c r="D419" s="211" t="s">
        <v>12</v>
      </c>
      <c r="E419" s="208">
        <v>43156</v>
      </c>
      <c r="F419" s="221">
        <v>4713.7763400000003</v>
      </c>
      <c r="G419" s="210" t="s">
        <v>16</v>
      </c>
      <c r="H419" s="211" t="s">
        <v>14</v>
      </c>
      <c r="I419" s="210">
        <v>1</v>
      </c>
      <c r="J419" s="210" t="s">
        <v>15</v>
      </c>
      <c r="K419" s="210" t="s">
        <v>54</v>
      </c>
      <c r="L419" s="211" t="s">
        <v>60</v>
      </c>
      <c r="M419" s="211" t="s">
        <v>56</v>
      </c>
    </row>
    <row r="420" spans="1:13" x14ac:dyDescent="0.2">
      <c r="A420" s="211" t="s">
        <v>55</v>
      </c>
      <c r="B420" s="211" t="s">
        <v>58</v>
      </c>
      <c r="C420" s="211" t="s">
        <v>19</v>
      </c>
      <c r="D420" s="211" t="s">
        <v>12</v>
      </c>
      <c r="E420" s="208">
        <v>43156</v>
      </c>
      <c r="F420" s="209">
        <v>7.8</v>
      </c>
      <c r="G420" s="210" t="s">
        <v>13</v>
      </c>
      <c r="H420" s="211" t="s">
        <v>18</v>
      </c>
      <c r="I420" s="210">
        <v>1</v>
      </c>
      <c r="J420" s="210" t="s">
        <v>15</v>
      </c>
      <c r="K420" s="210" t="s">
        <v>54</v>
      </c>
      <c r="L420" s="211" t="s">
        <v>60</v>
      </c>
      <c r="M420" s="211" t="s">
        <v>17</v>
      </c>
    </row>
    <row r="421" spans="1:13" x14ac:dyDescent="0.2">
      <c r="A421" s="211" t="s">
        <v>55</v>
      </c>
      <c r="B421" s="211" t="s">
        <v>58</v>
      </c>
      <c r="C421" s="211" t="s">
        <v>19</v>
      </c>
      <c r="D421" s="211" t="s">
        <v>12</v>
      </c>
      <c r="E421" s="208">
        <v>43156</v>
      </c>
      <c r="F421" s="221">
        <v>3000.8487599999999</v>
      </c>
      <c r="G421" s="210" t="s">
        <v>16</v>
      </c>
      <c r="H421" s="211" t="s">
        <v>18</v>
      </c>
      <c r="I421" s="210">
        <v>1</v>
      </c>
      <c r="J421" s="210" t="s">
        <v>15</v>
      </c>
      <c r="K421" s="210" t="s">
        <v>54</v>
      </c>
      <c r="L421" s="211" t="s">
        <v>60</v>
      </c>
      <c r="M421" s="211" t="s">
        <v>17</v>
      </c>
    </row>
    <row r="422" spans="1:13" x14ac:dyDescent="0.2">
      <c r="A422" s="211" t="s">
        <v>55</v>
      </c>
      <c r="B422" s="211" t="s">
        <v>58</v>
      </c>
      <c r="C422" s="211" t="s">
        <v>19</v>
      </c>
      <c r="D422" s="211" t="s">
        <v>12</v>
      </c>
      <c r="E422" s="208">
        <v>43155</v>
      </c>
      <c r="F422" s="209">
        <v>11.8253883</v>
      </c>
      <c r="G422" s="210" t="s">
        <v>13</v>
      </c>
      <c r="H422" s="211" t="s">
        <v>14</v>
      </c>
      <c r="I422" s="210">
        <v>1</v>
      </c>
      <c r="J422" s="210" t="s">
        <v>15</v>
      </c>
      <c r="K422" s="210" t="s">
        <v>54</v>
      </c>
      <c r="L422" s="211" t="s">
        <v>60</v>
      </c>
      <c r="M422" s="211" t="s">
        <v>56</v>
      </c>
    </row>
    <row r="423" spans="1:13" x14ac:dyDescent="0.2">
      <c r="A423" s="211" t="s">
        <v>55</v>
      </c>
      <c r="B423" s="211" t="s">
        <v>58</v>
      </c>
      <c r="C423" s="211" t="s">
        <v>19</v>
      </c>
      <c r="D423" s="211" t="s">
        <v>12</v>
      </c>
      <c r="E423" s="208">
        <v>43155</v>
      </c>
      <c r="F423" s="221">
        <v>4634.3294999999998</v>
      </c>
      <c r="G423" s="210" t="s">
        <v>16</v>
      </c>
      <c r="H423" s="211" t="s">
        <v>14</v>
      </c>
      <c r="I423" s="210">
        <v>1</v>
      </c>
      <c r="J423" s="210" t="s">
        <v>15</v>
      </c>
      <c r="K423" s="210" t="s">
        <v>54</v>
      </c>
      <c r="L423" s="211" t="s">
        <v>60</v>
      </c>
      <c r="M423" s="211" t="s">
        <v>56</v>
      </c>
    </row>
    <row r="424" spans="1:13" x14ac:dyDescent="0.2">
      <c r="A424" s="211" t="s">
        <v>55</v>
      </c>
      <c r="B424" s="211" t="s">
        <v>58</v>
      </c>
      <c r="C424" s="211" t="s">
        <v>19</v>
      </c>
      <c r="D424" s="211" t="s">
        <v>12</v>
      </c>
      <c r="E424" s="208">
        <v>43155</v>
      </c>
      <c r="F424" s="209">
        <v>6.37</v>
      </c>
      <c r="G424" s="210" t="s">
        <v>13</v>
      </c>
      <c r="H424" s="211" t="s">
        <v>18</v>
      </c>
      <c r="I424" s="210">
        <v>1</v>
      </c>
      <c r="J424" s="210" t="s">
        <v>15</v>
      </c>
      <c r="K424" s="210" t="s">
        <v>54</v>
      </c>
      <c r="L424" s="211" t="s">
        <v>60</v>
      </c>
      <c r="M424" s="211" t="s">
        <v>17</v>
      </c>
    </row>
    <row r="425" spans="1:13" x14ac:dyDescent="0.2">
      <c r="A425" s="211" t="s">
        <v>55</v>
      </c>
      <c r="B425" s="211" t="s">
        <v>58</v>
      </c>
      <c r="C425" s="211" t="s">
        <v>19</v>
      </c>
      <c r="D425" s="211" t="s">
        <v>12</v>
      </c>
      <c r="E425" s="208">
        <v>43155</v>
      </c>
      <c r="F425" s="221">
        <v>2496.3813420000001</v>
      </c>
      <c r="G425" s="210" t="s">
        <v>16</v>
      </c>
      <c r="H425" s="211" t="s">
        <v>18</v>
      </c>
      <c r="I425" s="210">
        <v>1</v>
      </c>
      <c r="J425" s="210" t="s">
        <v>15</v>
      </c>
      <c r="K425" s="210" t="s">
        <v>54</v>
      </c>
      <c r="L425" s="211" t="s">
        <v>60</v>
      </c>
      <c r="M425" s="211" t="s">
        <v>17</v>
      </c>
    </row>
    <row r="426" spans="1:13" x14ac:dyDescent="0.2">
      <c r="A426" s="211" t="s">
        <v>55</v>
      </c>
      <c r="B426" s="211" t="s">
        <v>58</v>
      </c>
      <c r="C426" s="211" t="s">
        <v>19</v>
      </c>
      <c r="D426" s="211" t="s">
        <v>12</v>
      </c>
      <c r="E426" s="208">
        <v>43154</v>
      </c>
      <c r="F426" s="209">
        <v>12.6517979</v>
      </c>
      <c r="G426" s="210" t="s">
        <v>13</v>
      </c>
      <c r="H426" s="211" t="s">
        <v>14</v>
      </c>
      <c r="I426" s="210">
        <v>1</v>
      </c>
      <c r="J426" s="210" t="s">
        <v>15</v>
      </c>
      <c r="K426" s="210" t="s">
        <v>54</v>
      </c>
      <c r="L426" s="211" t="s">
        <v>60</v>
      </c>
      <c r="M426" s="211" t="s">
        <v>56</v>
      </c>
    </row>
    <row r="427" spans="1:13" x14ac:dyDescent="0.2">
      <c r="A427" s="211" t="s">
        <v>55</v>
      </c>
      <c r="B427" s="211" t="s">
        <v>58</v>
      </c>
      <c r="C427" s="211" t="s">
        <v>19</v>
      </c>
      <c r="D427" s="211" t="s">
        <v>12</v>
      </c>
      <c r="E427" s="208">
        <v>43154</v>
      </c>
      <c r="F427" s="221">
        <v>4929.7072799999996</v>
      </c>
      <c r="G427" s="210" t="s">
        <v>16</v>
      </c>
      <c r="H427" s="211" t="s">
        <v>14</v>
      </c>
      <c r="I427" s="210">
        <v>1</v>
      </c>
      <c r="J427" s="210" t="s">
        <v>15</v>
      </c>
      <c r="K427" s="210" t="s">
        <v>54</v>
      </c>
      <c r="L427" s="211" t="s">
        <v>60</v>
      </c>
      <c r="M427" s="211" t="s">
        <v>56</v>
      </c>
    </row>
    <row r="428" spans="1:13" x14ac:dyDescent="0.2">
      <c r="A428" s="211" t="s">
        <v>55</v>
      </c>
      <c r="B428" s="211" t="s">
        <v>58</v>
      </c>
      <c r="C428" s="211" t="s">
        <v>19</v>
      </c>
      <c r="D428" s="211" t="s">
        <v>12</v>
      </c>
      <c r="E428" s="208">
        <v>43154</v>
      </c>
      <c r="F428" s="209">
        <v>6.24</v>
      </c>
      <c r="G428" s="210" t="s">
        <v>13</v>
      </c>
      <c r="H428" s="211" t="s">
        <v>18</v>
      </c>
      <c r="I428" s="210">
        <v>1</v>
      </c>
      <c r="J428" s="210" t="s">
        <v>15</v>
      </c>
      <c r="K428" s="210" t="s">
        <v>54</v>
      </c>
      <c r="L428" s="211" t="s">
        <v>60</v>
      </c>
      <c r="M428" s="211" t="s">
        <v>17</v>
      </c>
    </row>
    <row r="429" spans="1:13" x14ac:dyDescent="0.2">
      <c r="A429" s="211" t="s">
        <v>55</v>
      </c>
      <c r="B429" s="211" t="s">
        <v>58</v>
      </c>
      <c r="C429" s="211" t="s">
        <v>19</v>
      </c>
      <c r="D429" s="211" t="s">
        <v>12</v>
      </c>
      <c r="E429" s="208">
        <v>43154</v>
      </c>
      <c r="F429" s="221">
        <v>2431.3835519999998</v>
      </c>
      <c r="G429" s="210" t="s">
        <v>16</v>
      </c>
      <c r="H429" s="211" t="s">
        <v>18</v>
      </c>
      <c r="I429" s="210">
        <v>1</v>
      </c>
      <c r="J429" s="210" t="s">
        <v>15</v>
      </c>
      <c r="K429" s="210" t="s">
        <v>54</v>
      </c>
      <c r="L429" s="211" t="s">
        <v>60</v>
      </c>
      <c r="M429" s="211" t="s">
        <v>17</v>
      </c>
    </row>
    <row r="430" spans="1:13" x14ac:dyDescent="0.2">
      <c r="A430" s="211" t="s">
        <v>55</v>
      </c>
      <c r="B430" s="211" t="s">
        <v>58</v>
      </c>
      <c r="C430" s="211" t="s">
        <v>19</v>
      </c>
      <c r="D430" s="211" t="s">
        <v>12</v>
      </c>
      <c r="E430" s="208">
        <v>43153</v>
      </c>
      <c r="F430" s="209">
        <v>16.0055011</v>
      </c>
      <c r="G430" s="210" t="s">
        <v>13</v>
      </c>
      <c r="H430" s="211" t="s">
        <v>14</v>
      </c>
      <c r="I430" s="210">
        <v>1</v>
      </c>
      <c r="J430" s="210" t="s">
        <v>15</v>
      </c>
      <c r="K430" s="210" t="s">
        <v>54</v>
      </c>
      <c r="L430" s="211" t="s">
        <v>60</v>
      </c>
      <c r="M430" s="211" t="s">
        <v>56</v>
      </c>
    </row>
    <row r="431" spans="1:13" x14ac:dyDescent="0.2">
      <c r="A431" s="211" t="s">
        <v>55</v>
      </c>
      <c r="B431" s="211" t="s">
        <v>58</v>
      </c>
      <c r="C431" s="211" t="s">
        <v>19</v>
      </c>
      <c r="D431" s="211" t="s">
        <v>12</v>
      </c>
      <c r="E431" s="208">
        <v>43153</v>
      </c>
      <c r="F431" s="221">
        <v>5993.5159800000001</v>
      </c>
      <c r="G431" s="210" t="s">
        <v>16</v>
      </c>
      <c r="H431" s="211" t="s">
        <v>14</v>
      </c>
      <c r="I431" s="210">
        <v>1</v>
      </c>
      <c r="J431" s="210" t="s">
        <v>15</v>
      </c>
      <c r="K431" s="210" t="s">
        <v>54</v>
      </c>
      <c r="L431" s="211" t="s">
        <v>60</v>
      </c>
      <c r="M431" s="211" t="s">
        <v>56</v>
      </c>
    </row>
    <row r="432" spans="1:13" x14ac:dyDescent="0.2">
      <c r="A432" s="211" t="s">
        <v>55</v>
      </c>
      <c r="B432" s="211" t="s">
        <v>58</v>
      </c>
      <c r="C432" s="211" t="s">
        <v>19</v>
      </c>
      <c r="D432" s="211" t="s">
        <v>12</v>
      </c>
      <c r="E432" s="208">
        <v>43153</v>
      </c>
      <c r="F432" s="209">
        <v>7.01</v>
      </c>
      <c r="G432" s="210" t="s">
        <v>13</v>
      </c>
      <c r="H432" s="211" t="s">
        <v>18</v>
      </c>
      <c r="I432" s="210">
        <v>1</v>
      </c>
      <c r="J432" s="210" t="s">
        <v>15</v>
      </c>
      <c r="K432" s="210" t="s">
        <v>54</v>
      </c>
      <c r="L432" s="211" t="s">
        <v>60</v>
      </c>
      <c r="M432" s="211" t="s">
        <v>17</v>
      </c>
    </row>
    <row r="433" spans="1:13" x14ac:dyDescent="0.2">
      <c r="A433" s="211" t="s">
        <v>55</v>
      </c>
      <c r="B433" s="211" t="s">
        <v>58</v>
      </c>
      <c r="C433" s="211" t="s">
        <v>19</v>
      </c>
      <c r="D433" s="211" t="s">
        <v>12</v>
      </c>
      <c r="E433" s="208">
        <v>43153</v>
      </c>
      <c r="F433" s="221">
        <v>2625.00666</v>
      </c>
      <c r="G433" s="210" t="s">
        <v>16</v>
      </c>
      <c r="H433" s="211" t="s">
        <v>18</v>
      </c>
      <c r="I433" s="210">
        <v>1</v>
      </c>
      <c r="J433" s="210" t="s">
        <v>15</v>
      </c>
      <c r="K433" s="210" t="s">
        <v>54</v>
      </c>
      <c r="L433" s="211" t="s">
        <v>60</v>
      </c>
      <c r="M433" s="211" t="s">
        <v>17</v>
      </c>
    </row>
    <row r="434" spans="1:13" x14ac:dyDescent="0.2">
      <c r="A434" s="211" t="s">
        <v>55</v>
      </c>
      <c r="B434" s="211" t="s">
        <v>58</v>
      </c>
      <c r="C434" s="211" t="s">
        <v>19</v>
      </c>
      <c r="D434" s="211" t="s">
        <v>12</v>
      </c>
      <c r="E434" s="208">
        <v>43152</v>
      </c>
      <c r="F434" s="209">
        <v>15.4131377</v>
      </c>
      <c r="G434" s="210" t="s">
        <v>13</v>
      </c>
      <c r="H434" s="211" t="s">
        <v>14</v>
      </c>
      <c r="I434" s="210">
        <v>1</v>
      </c>
      <c r="J434" s="210" t="s">
        <v>15</v>
      </c>
      <c r="K434" s="210" t="s">
        <v>54</v>
      </c>
      <c r="L434" s="211" t="s">
        <v>60</v>
      </c>
      <c r="M434" s="211" t="s">
        <v>56</v>
      </c>
    </row>
    <row r="435" spans="1:13" x14ac:dyDescent="0.2">
      <c r="A435" s="211" t="s">
        <v>55</v>
      </c>
      <c r="B435" s="211" t="s">
        <v>58</v>
      </c>
      <c r="C435" s="211" t="s">
        <v>19</v>
      </c>
      <c r="D435" s="211" t="s">
        <v>12</v>
      </c>
      <c r="E435" s="208">
        <v>43152</v>
      </c>
      <c r="F435" s="221">
        <v>5870.6761200000001</v>
      </c>
      <c r="G435" s="210" t="s">
        <v>16</v>
      </c>
      <c r="H435" s="211" t="s">
        <v>14</v>
      </c>
      <c r="I435" s="210">
        <v>1</v>
      </c>
      <c r="J435" s="210" t="s">
        <v>15</v>
      </c>
      <c r="K435" s="210" t="s">
        <v>54</v>
      </c>
      <c r="L435" s="211" t="s">
        <v>60</v>
      </c>
      <c r="M435" s="211" t="s">
        <v>56</v>
      </c>
    </row>
    <row r="436" spans="1:13" x14ac:dyDescent="0.2">
      <c r="A436" s="211" t="s">
        <v>55</v>
      </c>
      <c r="B436" s="211" t="s">
        <v>58</v>
      </c>
      <c r="C436" s="211" t="s">
        <v>19</v>
      </c>
      <c r="D436" s="211" t="s">
        <v>12</v>
      </c>
      <c r="E436" s="208">
        <v>43152</v>
      </c>
      <c r="F436" s="209">
        <v>7.75</v>
      </c>
      <c r="G436" s="210" t="s">
        <v>13</v>
      </c>
      <c r="H436" s="211" t="s">
        <v>18</v>
      </c>
      <c r="I436" s="210">
        <v>1</v>
      </c>
      <c r="J436" s="210" t="s">
        <v>15</v>
      </c>
      <c r="K436" s="210" t="s">
        <v>54</v>
      </c>
      <c r="L436" s="211" t="s">
        <v>60</v>
      </c>
      <c r="M436" s="211" t="s">
        <v>17</v>
      </c>
    </row>
    <row r="437" spans="1:13" x14ac:dyDescent="0.2">
      <c r="A437" s="211" t="s">
        <v>55</v>
      </c>
      <c r="B437" s="211" t="s">
        <v>58</v>
      </c>
      <c r="C437" s="211" t="s">
        <v>19</v>
      </c>
      <c r="D437" s="211" t="s">
        <v>12</v>
      </c>
      <c r="E437" s="208">
        <v>43152</v>
      </c>
      <c r="F437" s="221">
        <v>2951.8804500000001</v>
      </c>
      <c r="G437" s="210" t="s">
        <v>16</v>
      </c>
      <c r="H437" s="211" t="s">
        <v>18</v>
      </c>
      <c r="I437" s="210">
        <v>1</v>
      </c>
      <c r="J437" s="210" t="s">
        <v>15</v>
      </c>
      <c r="K437" s="210" t="s">
        <v>54</v>
      </c>
      <c r="L437" s="211" t="s">
        <v>60</v>
      </c>
      <c r="M437" s="211" t="s">
        <v>17</v>
      </c>
    </row>
    <row r="438" spans="1:13" x14ac:dyDescent="0.2">
      <c r="A438" s="211" t="s">
        <v>55</v>
      </c>
      <c r="B438" s="211" t="s">
        <v>58</v>
      </c>
      <c r="C438" s="211" t="s">
        <v>19</v>
      </c>
      <c r="D438" s="211" t="s">
        <v>12</v>
      </c>
      <c r="E438" s="208">
        <v>43151</v>
      </c>
      <c r="F438" s="209">
        <v>15.0183743</v>
      </c>
      <c r="G438" s="210" t="s">
        <v>13</v>
      </c>
      <c r="H438" s="211" t="s">
        <v>14</v>
      </c>
      <c r="I438" s="210">
        <v>1</v>
      </c>
      <c r="J438" s="210" t="s">
        <v>15</v>
      </c>
      <c r="K438" s="210" t="s">
        <v>54</v>
      </c>
      <c r="L438" s="211" t="s">
        <v>60</v>
      </c>
      <c r="M438" s="211" t="s">
        <v>56</v>
      </c>
    </row>
    <row r="439" spans="1:13" x14ac:dyDescent="0.2">
      <c r="A439" s="211" t="s">
        <v>55</v>
      </c>
      <c r="B439" s="211" t="s">
        <v>58</v>
      </c>
      <c r="C439" s="211" t="s">
        <v>19</v>
      </c>
      <c r="D439" s="211" t="s">
        <v>12</v>
      </c>
      <c r="E439" s="208">
        <v>43151</v>
      </c>
      <c r="F439" s="221">
        <v>7982.3891400000002</v>
      </c>
      <c r="G439" s="210" t="s">
        <v>16</v>
      </c>
      <c r="H439" s="211" t="s">
        <v>14</v>
      </c>
      <c r="I439" s="210">
        <v>1</v>
      </c>
      <c r="J439" s="210" t="s">
        <v>15</v>
      </c>
      <c r="K439" s="210" t="s">
        <v>54</v>
      </c>
      <c r="L439" s="211" t="s">
        <v>60</v>
      </c>
      <c r="M439" s="211" t="s">
        <v>56</v>
      </c>
    </row>
    <row r="440" spans="1:13" x14ac:dyDescent="0.2">
      <c r="A440" s="211" t="s">
        <v>55</v>
      </c>
      <c r="B440" s="211" t="s">
        <v>58</v>
      </c>
      <c r="C440" s="211" t="s">
        <v>19</v>
      </c>
      <c r="D440" s="211" t="s">
        <v>12</v>
      </c>
      <c r="E440" s="208">
        <v>43151</v>
      </c>
      <c r="F440" s="209">
        <v>9.6</v>
      </c>
      <c r="G440" s="210" t="s">
        <v>13</v>
      </c>
      <c r="H440" s="211" t="s">
        <v>18</v>
      </c>
      <c r="I440" s="210">
        <v>1</v>
      </c>
      <c r="J440" s="210" t="s">
        <v>15</v>
      </c>
      <c r="K440" s="210" t="s">
        <v>54</v>
      </c>
      <c r="L440" s="211" t="s">
        <v>60</v>
      </c>
      <c r="M440" s="211" t="s">
        <v>17</v>
      </c>
    </row>
    <row r="441" spans="1:13" x14ac:dyDescent="0.2">
      <c r="A441" s="211" t="s">
        <v>55</v>
      </c>
      <c r="B441" s="211" t="s">
        <v>58</v>
      </c>
      <c r="C441" s="211" t="s">
        <v>19</v>
      </c>
      <c r="D441" s="211" t="s">
        <v>12</v>
      </c>
      <c r="E441" s="208">
        <v>43151</v>
      </c>
      <c r="F441" s="221">
        <v>5102.4787200000001</v>
      </c>
      <c r="G441" s="210" t="s">
        <v>16</v>
      </c>
      <c r="H441" s="211" t="s">
        <v>18</v>
      </c>
      <c r="I441" s="210">
        <v>1</v>
      </c>
      <c r="J441" s="210" t="s">
        <v>15</v>
      </c>
      <c r="K441" s="210" t="s">
        <v>54</v>
      </c>
      <c r="L441" s="211" t="s">
        <v>60</v>
      </c>
      <c r="M441" s="211" t="s">
        <v>17</v>
      </c>
    </row>
    <row r="442" spans="1:13" x14ac:dyDescent="0.2">
      <c r="A442" s="211" t="s">
        <v>55</v>
      </c>
      <c r="B442" s="211" t="s">
        <v>58</v>
      </c>
      <c r="C442" s="211" t="s">
        <v>19</v>
      </c>
      <c r="D442" s="211" t="s">
        <v>12</v>
      </c>
      <c r="E442" s="208">
        <v>43150</v>
      </c>
      <c r="F442" s="209">
        <v>17.616631699999999</v>
      </c>
      <c r="G442" s="210" t="s">
        <v>13</v>
      </c>
      <c r="H442" s="211" t="s">
        <v>14</v>
      </c>
      <c r="I442" s="210">
        <v>1</v>
      </c>
      <c r="J442" s="210" t="s">
        <v>15</v>
      </c>
      <c r="K442" s="210" t="s">
        <v>54</v>
      </c>
      <c r="L442" s="211" t="s">
        <v>60</v>
      </c>
      <c r="M442" s="211" t="s">
        <v>56</v>
      </c>
    </row>
    <row r="443" spans="1:13" x14ac:dyDescent="0.2">
      <c r="A443" s="211" t="s">
        <v>55</v>
      </c>
      <c r="B443" s="211" t="s">
        <v>58</v>
      </c>
      <c r="C443" s="211" t="s">
        <v>19</v>
      </c>
      <c r="D443" s="211" t="s">
        <v>12</v>
      </c>
      <c r="E443" s="208">
        <v>43150</v>
      </c>
      <c r="F443" s="221">
        <v>7720.7883599999996</v>
      </c>
      <c r="G443" s="210" t="s">
        <v>16</v>
      </c>
      <c r="H443" s="211" t="s">
        <v>14</v>
      </c>
      <c r="I443" s="210">
        <v>1</v>
      </c>
      <c r="J443" s="210" t="s">
        <v>15</v>
      </c>
      <c r="K443" s="210" t="s">
        <v>54</v>
      </c>
      <c r="L443" s="211" t="s">
        <v>60</v>
      </c>
      <c r="M443" s="211" t="s">
        <v>56</v>
      </c>
    </row>
    <row r="444" spans="1:13" x14ac:dyDescent="0.2">
      <c r="A444" s="211" t="s">
        <v>55</v>
      </c>
      <c r="B444" s="211" t="s">
        <v>58</v>
      </c>
      <c r="C444" s="211" t="s">
        <v>19</v>
      </c>
      <c r="D444" s="211" t="s">
        <v>12</v>
      </c>
      <c r="E444" s="208">
        <v>43150</v>
      </c>
      <c r="F444" s="209">
        <v>10.7</v>
      </c>
      <c r="G444" s="210" t="s">
        <v>13</v>
      </c>
      <c r="H444" s="211" t="s">
        <v>18</v>
      </c>
      <c r="I444" s="210">
        <v>1</v>
      </c>
      <c r="J444" s="210" t="s">
        <v>15</v>
      </c>
      <c r="K444" s="210" t="s">
        <v>54</v>
      </c>
      <c r="L444" s="211" t="s">
        <v>60</v>
      </c>
      <c r="M444" s="211" t="s">
        <v>17</v>
      </c>
    </row>
    <row r="445" spans="1:13" x14ac:dyDescent="0.2">
      <c r="A445" s="211" t="s">
        <v>55</v>
      </c>
      <c r="B445" s="211" t="s">
        <v>58</v>
      </c>
      <c r="C445" s="211" t="s">
        <v>19</v>
      </c>
      <c r="D445" s="211" t="s">
        <v>12</v>
      </c>
      <c r="E445" s="208">
        <v>43150</v>
      </c>
      <c r="F445" s="221">
        <v>4689.4569000000001</v>
      </c>
      <c r="G445" s="210" t="s">
        <v>16</v>
      </c>
      <c r="H445" s="211" t="s">
        <v>18</v>
      </c>
      <c r="I445" s="210">
        <v>1</v>
      </c>
      <c r="J445" s="210" t="s">
        <v>15</v>
      </c>
      <c r="K445" s="210" t="s">
        <v>54</v>
      </c>
      <c r="L445" s="211" t="s">
        <v>60</v>
      </c>
      <c r="M445" s="211" t="s">
        <v>17</v>
      </c>
    </row>
    <row r="446" spans="1:13" x14ac:dyDescent="0.2">
      <c r="A446" s="211" t="s">
        <v>55</v>
      </c>
      <c r="B446" s="211" t="s">
        <v>58</v>
      </c>
      <c r="C446" s="211" t="s">
        <v>19</v>
      </c>
      <c r="D446" s="211" t="s">
        <v>12</v>
      </c>
      <c r="E446" s="208">
        <v>43149</v>
      </c>
      <c r="F446" s="209">
        <v>18.647560599999998</v>
      </c>
      <c r="G446" s="210" t="s">
        <v>13</v>
      </c>
      <c r="H446" s="211" t="s">
        <v>14</v>
      </c>
      <c r="I446" s="210">
        <v>1</v>
      </c>
      <c r="J446" s="210" t="s">
        <v>15</v>
      </c>
      <c r="K446" s="210" t="s">
        <v>54</v>
      </c>
      <c r="L446" s="211" t="s">
        <v>60</v>
      </c>
      <c r="M446" s="211" t="s">
        <v>56</v>
      </c>
    </row>
    <row r="447" spans="1:13" x14ac:dyDescent="0.2">
      <c r="A447" s="211" t="s">
        <v>55</v>
      </c>
      <c r="B447" s="211" t="s">
        <v>58</v>
      </c>
      <c r="C447" s="211" t="s">
        <v>19</v>
      </c>
      <c r="D447" s="211" t="s">
        <v>12</v>
      </c>
      <c r="E447" s="208">
        <v>43149</v>
      </c>
      <c r="F447" s="221">
        <v>6343.6875600000003</v>
      </c>
      <c r="G447" s="210" t="s">
        <v>16</v>
      </c>
      <c r="H447" s="211" t="s">
        <v>14</v>
      </c>
      <c r="I447" s="210">
        <v>1</v>
      </c>
      <c r="J447" s="210" t="s">
        <v>15</v>
      </c>
      <c r="K447" s="210" t="s">
        <v>54</v>
      </c>
      <c r="L447" s="211" t="s">
        <v>60</v>
      </c>
      <c r="M447" s="211" t="s">
        <v>56</v>
      </c>
    </row>
    <row r="448" spans="1:13" x14ac:dyDescent="0.2">
      <c r="A448" s="211" t="s">
        <v>55</v>
      </c>
      <c r="B448" s="211" t="s">
        <v>58</v>
      </c>
      <c r="C448" s="211" t="s">
        <v>19</v>
      </c>
      <c r="D448" s="211" t="s">
        <v>12</v>
      </c>
      <c r="E448" s="208">
        <v>43149</v>
      </c>
      <c r="F448" s="209">
        <v>10.9</v>
      </c>
      <c r="G448" s="210" t="s">
        <v>13</v>
      </c>
      <c r="H448" s="211" t="s">
        <v>18</v>
      </c>
      <c r="I448" s="210">
        <v>1</v>
      </c>
      <c r="J448" s="210" t="s">
        <v>15</v>
      </c>
      <c r="K448" s="210" t="s">
        <v>54</v>
      </c>
      <c r="L448" s="211" t="s">
        <v>60</v>
      </c>
      <c r="M448" s="211" t="s">
        <v>17</v>
      </c>
    </row>
    <row r="449" spans="1:13" x14ac:dyDescent="0.2">
      <c r="A449" s="211" t="s">
        <v>55</v>
      </c>
      <c r="B449" s="211" t="s">
        <v>58</v>
      </c>
      <c r="C449" s="211" t="s">
        <v>19</v>
      </c>
      <c r="D449" s="211" t="s">
        <v>12</v>
      </c>
      <c r="E449" s="208">
        <v>43149</v>
      </c>
      <c r="F449" s="221">
        <v>3708.0557399999998</v>
      </c>
      <c r="G449" s="210" t="s">
        <v>16</v>
      </c>
      <c r="H449" s="211" t="s">
        <v>18</v>
      </c>
      <c r="I449" s="210">
        <v>1</v>
      </c>
      <c r="J449" s="210" t="s">
        <v>15</v>
      </c>
      <c r="K449" s="210" t="s">
        <v>54</v>
      </c>
      <c r="L449" s="211" t="s">
        <v>60</v>
      </c>
      <c r="M449" s="211" t="s">
        <v>17</v>
      </c>
    </row>
    <row r="450" spans="1:13" x14ac:dyDescent="0.2">
      <c r="A450" s="211" t="s">
        <v>55</v>
      </c>
      <c r="B450" s="211" t="s">
        <v>58</v>
      </c>
      <c r="C450" s="211" t="s">
        <v>19</v>
      </c>
      <c r="D450" s="211" t="s">
        <v>12</v>
      </c>
      <c r="E450" s="208">
        <v>43148</v>
      </c>
      <c r="F450" s="209">
        <v>15.018390500000001</v>
      </c>
      <c r="G450" s="210" t="s">
        <v>13</v>
      </c>
      <c r="H450" s="211" t="s">
        <v>14</v>
      </c>
      <c r="I450" s="210">
        <v>1</v>
      </c>
      <c r="J450" s="210" t="s">
        <v>15</v>
      </c>
      <c r="K450" s="210" t="s">
        <v>54</v>
      </c>
      <c r="L450" s="211" t="s">
        <v>60</v>
      </c>
      <c r="M450" s="211" t="s">
        <v>56</v>
      </c>
    </row>
    <row r="451" spans="1:13" x14ac:dyDescent="0.2">
      <c r="A451" s="211" t="s">
        <v>55</v>
      </c>
      <c r="B451" s="211" t="s">
        <v>58</v>
      </c>
      <c r="C451" s="211" t="s">
        <v>19</v>
      </c>
      <c r="D451" s="211" t="s">
        <v>12</v>
      </c>
      <c r="E451" s="208">
        <v>43148</v>
      </c>
      <c r="F451" s="221">
        <v>5074.0142999999998</v>
      </c>
      <c r="G451" s="210" t="s">
        <v>16</v>
      </c>
      <c r="H451" s="211" t="s">
        <v>14</v>
      </c>
      <c r="I451" s="210">
        <v>1</v>
      </c>
      <c r="J451" s="210" t="s">
        <v>15</v>
      </c>
      <c r="K451" s="210" t="s">
        <v>54</v>
      </c>
      <c r="L451" s="211" t="s">
        <v>60</v>
      </c>
      <c r="M451" s="211" t="s">
        <v>56</v>
      </c>
    </row>
    <row r="452" spans="1:13" x14ac:dyDescent="0.2">
      <c r="A452" s="211" t="s">
        <v>55</v>
      </c>
      <c r="B452" s="211" t="s">
        <v>58</v>
      </c>
      <c r="C452" s="211" t="s">
        <v>19</v>
      </c>
      <c r="D452" s="211" t="s">
        <v>12</v>
      </c>
      <c r="E452" s="208">
        <v>43148</v>
      </c>
      <c r="F452" s="209">
        <v>10.7</v>
      </c>
      <c r="G452" s="210" t="s">
        <v>13</v>
      </c>
      <c r="H452" s="211" t="s">
        <v>18</v>
      </c>
      <c r="I452" s="210">
        <v>1</v>
      </c>
      <c r="J452" s="210" t="s">
        <v>15</v>
      </c>
      <c r="K452" s="210" t="s">
        <v>54</v>
      </c>
      <c r="L452" s="211" t="s">
        <v>60</v>
      </c>
      <c r="M452" s="211" t="s">
        <v>17</v>
      </c>
    </row>
    <row r="453" spans="1:13" x14ac:dyDescent="0.2">
      <c r="A453" s="211" t="s">
        <v>55</v>
      </c>
      <c r="B453" s="211" t="s">
        <v>58</v>
      </c>
      <c r="C453" s="211" t="s">
        <v>19</v>
      </c>
      <c r="D453" s="211" t="s">
        <v>12</v>
      </c>
      <c r="E453" s="208">
        <v>43148</v>
      </c>
      <c r="F453" s="221">
        <v>3615.0313799999999</v>
      </c>
      <c r="G453" s="210" t="s">
        <v>16</v>
      </c>
      <c r="H453" s="211" t="s">
        <v>18</v>
      </c>
      <c r="I453" s="210">
        <v>1</v>
      </c>
      <c r="J453" s="210" t="s">
        <v>15</v>
      </c>
      <c r="K453" s="210" t="s">
        <v>54</v>
      </c>
      <c r="L453" s="211" t="s">
        <v>60</v>
      </c>
      <c r="M453" s="211" t="s">
        <v>17</v>
      </c>
    </row>
    <row r="454" spans="1:13" x14ac:dyDescent="0.2">
      <c r="A454" s="211" t="s">
        <v>55</v>
      </c>
      <c r="B454" s="211" t="s">
        <v>58</v>
      </c>
      <c r="C454" s="211" t="s">
        <v>19</v>
      </c>
      <c r="D454" s="211" t="s">
        <v>12</v>
      </c>
      <c r="E454" s="208">
        <v>43147</v>
      </c>
      <c r="F454" s="209">
        <v>15.2662908</v>
      </c>
      <c r="G454" s="210" t="s">
        <v>13</v>
      </c>
      <c r="H454" s="211" t="s">
        <v>14</v>
      </c>
      <c r="I454" s="210">
        <v>1</v>
      </c>
      <c r="J454" s="210" t="s">
        <v>15</v>
      </c>
      <c r="K454" s="210" t="s">
        <v>54</v>
      </c>
      <c r="L454" s="211" t="s">
        <v>60</v>
      </c>
      <c r="M454" s="211" t="s">
        <v>56</v>
      </c>
    </row>
    <row r="455" spans="1:13" x14ac:dyDescent="0.2">
      <c r="A455" s="211" t="s">
        <v>55</v>
      </c>
      <c r="B455" s="211" t="s">
        <v>58</v>
      </c>
      <c r="C455" s="211" t="s">
        <v>19</v>
      </c>
      <c r="D455" s="211" t="s">
        <v>12</v>
      </c>
      <c r="E455" s="208">
        <v>43147</v>
      </c>
      <c r="F455" s="221">
        <v>5296.5480180000004</v>
      </c>
      <c r="G455" s="210" t="s">
        <v>16</v>
      </c>
      <c r="H455" s="211" t="s">
        <v>14</v>
      </c>
      <c r="I455" s="210">
        <v>1</v>
      </c>
      <c r="J455" s="210" t="s">
        <v>15</v>
      </c>
      <c r="K455" s="210" t="s">
        <v>54</v>
      </c>
      <c r="L455" s="211" t="s">
        <v>60</v>
      </c>
      <c r="M455" s="211" t="s">
        <v>56</v>
      </c>
    </row>
    <row r="456" spans="1:13" x14ac:dyDescent="0.2">
      <c r="A456" s="211" t="s">
        <v>55</v>
      </c>
      <c r="B456" s="211" t="s">
        <v>58</v>
      </c>
      <c r="C456" s="211" t="s">
        <v>19</v>
      </c>
      <c r="D456" s="211" t="s">
        <v>12</v>
      </c>
      <c r="E456" s="208">
        <v>43147</v>
      </c>
      <c r="F456" s="209">
        <v>9.8800000000000008</v>
      </c>
      <c r="G456" s="210" t="s">
        <v>13</v>
      </c>
      <c r="H456" s="211" t="s">
        <v>18</v>
      </c>
      <c r="I456" s="210">
        <v>1</v>
      </c>
      <c r="J456" s="210" t="s">
        <v>15</v>
      </c>
      <c r="K456" s="210" t="s">
        <v>54</v>
      </c>
      <c r="L456" s="211" t="s">
        <v>60</v>
      </c>
      <c r="M456" s="211" t="s">
        <v>17</v>
      </c>
    </row>
    <row r="457" spans="1:13" x14ac:dyDescent="0.2">
      <c r="A457" s="211" t="s">
        <v>55</v>
      </c>
      <c r="B457" s="211" t="s">
        <v>58</v>
      </c>
      <c r="C457" s="211" t="s">
        <v>19</v>
      </c>
      <c r="D457" s="211" t="s">
        <v>12</v>
      </c>
      <c r="E457" s="208">
        <v>43147</v>
      </c>
      <c r="F457" s="221">
        <v>3427.80672</v>
      </c>
      <c r="G457" s="210" t="s">
        <v>16</v>
      </c>
      <c r="H457" s="211" t="s">
        <v>18</v>
      </c>
      <c r="I457" s="210">
        <v>1</v>
      </c>
      <c r="J457" s="210" t="s">
        <v>15</v>
      </c>
      <c r="K457" s="210" t="s">
        <v>54</v>
      </c>
      <c r="L457" s="211" t="s">
        <v>60</v>
      </c>
      <c r="M457" s="211" t="s">
        <v>17</v>
      </c>
    </row>
    <row r="458" spans="1:13" x14ac:dyDescent="0.2">
      <c r="A458" s="211" t="s">
        <v>55</v>
      </c>
      <c r="B458" s="211" t="s">
        <v>58</v>
      </c>
      <c r="C458" s="211" t="s">
        <v>19</v>
      </c>
      <c r="D458" s="211" t="s">
        <v>12</v>
      </c>
      <c r="E458" s="208">
        <v>43146</v>
      </c>
      <c r="F458" s="209">
        <v>12.6215756</v>
      </c>
      <c r="G458" s="210" t="s">
        <v>13</v>
      </c>
      <c r="H458" s="211" t="s">
        <v>14</v>
      </c>
      <c r="I458" s="210">
        <v>1</v>
      </c>
      <c r="J458" s="210" t="s">
        <v>15</v>
      </c>
      <c r="K458" s="210" t="s">
        <v>54</v>
      </c>
      <c r="L458" s="211" t="s">
        <v>60</v>
      </c>
      <c r="M458" s="211" t="s">
        <v>56</v>
      </c>
    </row>
    <row r="459" spans="1:13" x14ac:dyDescent="0.2">
      <c r="A459" s="211" t="s">
        <v>55</v>
      </c>
      <c r="B459" s="211" t="s">
        <v>58</v>
      </c>
      <c r="C459" s="211" t="s">
        <v>19</v>
      </c>
      <c r="D459" s="211" t="s">
        <v>12</v>
      </c>
      <c r="E459" s="208">
        <v>43146</v>
      </c>
      <c r="F459" s="221">
        <v>4703.1928799999996</v>
      </c>
      <c r="G459" s="210" t="s">
        <v>16</v>
      </c>
      <c r="H459" s="211" t="s">
        <v>14</v>
      </c>
      <c r="I459" s="210">
        <v>1</v>
      </c>
      <c r="J459" s="210" t="s">
        <v>15</v>
      </c>
      <c r="K459" s="210" t="s">
        <v>54</v>
      </c>
      <c r="L459" s="211" t="s">
        <v>60</v>
      </c>
      <c r="M459" s="211" t="s">
        <v>56</v>
      </c>
    </row>
    <row r="460" spans="1:13" x14ac:dyDescent="0.2">
      <c r="A460" s="211" t="s">
        <v>55</v>
      </c>
      <c r="B460" s="211" t="s">
        <v>58</v>
      </c>
      <c r="C460" s="211" t="s">
        <v>19</v>
      </c>
      <c r="D460" s="211" t="s">
        <v>12</v>
      </c>
      <c r="E460" s="208">
        <v>43146</v>
      </c>
      <c r="F460" s="209">
        <v>8.57</v>
      </c>
      <c r="G460" s="210" t="s">
        <v>13</v>
      </c>
      <c r="H460" s="211" t="s">
        <v>18</v>
      </c>
      <c r="I460" s="210">
        <v>1</v>
      </c>
      <c r="J460" s="210" t="s">
        <v>15</v>
      </c>
      <c r="K460" s="210" t="s">
        <v>54</v>
      </c>
      <c r="L460" s="211" t="s">
        <v>60</v>
      </c>
      <c r="M460" s="211" t="s">
        <v>17</v>
      </c>
    </row>
    <row r="461" spans="1:13" x14ac:dyDescent="0.2">
      <c r="A461" s="211" t="s">
        <v>55</v>
      </c>
      <c r="B461" s="211" t="s">
        <v>58</v>
      </c>
      <c r="C461" s="211" t="s">
        <v>19</v>
      </c>
      <c r="D461" s="211" t="s">
        <v>12</v>
      </c>
      <c r="E461" s="208">
        <v>43146</v>
      </c>
      <c r="F461" s="221">
        <v>3193.449384</v>
      </c>
      <c r="G461" s="210" t="s">
        <v>16</v>
      </c>
      <c r="H461" s="211" t="s">
        <v>18</v>
      </c>
      <c r="I461" s="210">
        <v>1</v>
      </c>
      <c r="J461" s="210" t="s">
        <v>15</v>
      </c>
      <c r="K461" s="210" t="s">
        <v>54</v>
      </c>
      <c r="L461" s="211" t="s">
        <v>60</v>
      </c>
      <c r="M461" s="211" t="s">
        <v>17</v>
      </c>
    </row>
    <row r="462" spans="1:13" x14ac:dyDescent="0.2">
      <c r="A462" s="211" t="s">
        <v>55</v>
      </c>
      <c r="B462" s="211" t="s">
        <v>58</v>
      </c>
      <c r="C462" s="211" t="s">
        <v>19</v>
      </c>
      <c r="D462" s="211" t="s">
        <v>12</v>
      </c>
      <c r="E462" s="208">
        <v>43145</v>
      </c>
      <c r="F462" s="209">
        <v>9.7494758000000008</v>
      </c>
      <c r="G462" s="210" t="s">
        <v>13</v>
      </c>
      <c r="H462" s="211" t="s">
        <v>14</v>
      </c>
      <c r="I462" s="210">
        <v>1</v>
      </c>
      <c r="J462" s="210" t="s">
        <v>15</v>
      </c>
      <c r="K462" s="210" t="s">
        <v>54</v>
      </c>
      <c r="L462" s="211" t="s">
        <v>60</v>
      </c>
      <c r="M462" s="211" t="s">
        <v>56</v>
      </c>
    </row>
    <row r="463" spans="1:13" x14ac:dyDescent="0.2">
      <c r="A463" s="211" t="s">
        <v>55</v>
      </c>
      <c r="B463" s="211" t="s">
        <v>58</v>
      </c>
      <c r="C463" s="211" t="s">
        <v>19</v>
      </c>
      <c r="D463" s="211" t="s">
        <v>12</v>
      </c>
      <c r="E463" s="208">
        <v>43145</v>
      </c>
      <c r="F463" s="221">
        <v>3490.6653000000001</v>
      </c>
      <c r="G463" s="210" t="s">
        <v>16</v>
      </c>
      <c r="H463" s="211" t="s">
        <v>14</v>
      </c>
      <c r="I463" s="210">
        <v>1</v>
      </c>
      <c r="J463" s="210" t="s">
        <v>15</v>
      </c>
      <c r="K463" s="210" t="s">
        <v>54</v>
      </c>
      <c r="L463" s="211" t="s">
        <v>60</v>
      </c>
      <c r="M463" s="211" t="s">
        <v>56</v>
      </c>
    </row>
    <row r="464" spans="1:13" x14ac:dyDescent="0.2">
      <c r="A464" s="211" t="s">
        <v>55</v>
      </c>
      <c r="B464" s="211" t="s">
        <v>58</v>
      </c>
      <c r="C464" s="211" t="s">
        <v>19</v>
      </c>
      <c r="D464" s="211" t="s">
        <v>12</v>
      </c>
      <c r="E464" s="208">
        <v>43145</v>
      </c>
      <c r="F464" s="209">
        <v>9.5500000000000007</v>
      </c>
      <c r="G464" s="210" t="s">
        <v>13</v>
      </c>
      <c r="H464" s="211" t="s">
        <v>18</v>
      </c>
      <c r="I464" s="210">
        <v>1</v>
      </c>
      <c r="J464" s="210" t="s">
        <v>15</v>
      </c>
      <c r="K464" s="210" t="s">
        <v>54</v>
      </c>
      <c r="L464" s="211" t="s">
        <v>60</v>
      </c>
      <c r="M464" s="211" t="s">
        <v>17</v>
      </c>
    </row>
    <row r="465" spans="1:13" x14ac:dyDescent="0.2">
      <c r="A465" s="211" t="s">
        <v>55</v>
      </c>
      <c r="B465" s="211" t="s">
        <v>58</v>
      </c>
      <c r="C465" s="211" t="s">
        <v>19</v>
      </c>
      <c r="D465" s="211" t="s">
        <v>12</v>
      </c>
      <c r="E465" s="208">
        <v>43145</v>
      </c>
      <c r="F465" s="221">
        <v>3419.2457100000001</v>
      </c>
      <c r="G465" s="210" t="s">
        <v>16</v>
      </c>
      <c r="H465" s="211" t="s">
        <v>18</v>
      </c>
      <c r="I465" s="210">
        <v>1</v>
      </c>
      <c r="J465" s="210" t="s">
        <v>15</v>
      </c>
      <c r="K465" s="210" t="s">
        <v>54</v>
      </c>
      <c r="L465" s="211" t="s">
        <v>60</v>
      </c>
      <c r="M465" s="211" t="s">
        <v>17</v>
      </c>
    </row>
    <row r="466" spans="1:13" x14ac:dyDescent="0.2">
      <c r="A466" s="211" t="s">
        <v>55</v>
      </c>
      <c r="B466" s="211" t="s">
        <v>58</v>
      </c>
      <c r="C466" s="211" t="s">
        <v>19</v>
      </c>
      <c r="D466" s="211" t="s">
        <v>12</v>
      </c>
      <c r="E466" s="208">
        <v>43144</v>
      </c>
      <c r="F466" s="209">
        <v>12.785955</v>
      </c>
      <c r="G466" s="210" t="s">
        <v>13</v>
      </c>
      <c r="H466" s="211" t="s">
        <v>14</v>
      </c>
      <c r="I466" s="210">
        <v>1</v>
      </c>
      <c r="J466" s="210" t="s">
        <v>15</v>
      </c>
      <c r="K466" s="210" t="s">
        <v>54</v>
      </c>
      <c r="L466" s="211" t="s">
        <v>60</v>
      </c>
      <c r="M466" s="211" t="s">
        <v>56</v>
      </c>
    </row>
    <row r="467" spans="1:13" x14ac:dyDescent="0.2">
      <c r="A467" s="211" t="s">
        <v>55</v>
      </c>
      <c r="B467" s="211" t="s">
        <v>58</v>
      </c>
      <c r="C467" s="211" t="s">
        <v>19</v>
      </c>
      <c r="D467" s="211" t="s">
        <v>12</v>
      </c>
      <c r="E467" s="208">
        <v>43144</v>
      </c>
      <c r="F467" s="221">
        <v>4155.5606799999996</v>
      </c>
      <c r="G467" s="210" t="s">
        <v>16</v>
      </c>
      <c r="H467" s="211" t="s">
        <v>14</v>
      </c>
      <c r="I467" s="210">
        <v>1</v>
      </c>
      <c r="J467" s="210" t="s">
        <v>15</v>
      </c>
      <c r="K467" s="210" t="s">
        <v>54</v>
      </c>
      <c r="L467" s="211" t="s">
        <v>60</v>
      </c>
      <c r="M467" s="211" t="s">
        <v>56</v>
      </c>
    </row>
    <row r="468" spans="1:13" x14ac:dyDescent="0.2">
      <c r="A468" s="211" t="s">
        <v>55</v>
      </c>
      <c r="B468" s="211" t="s">
        <v>58</v>
      </c>
      <c r="C468" s="211" t="s">
        <v>19</v>
      </c>
      <c r="D468" s="211" t="s">
        <v>12</v>
      </c>
      <c r="E468" s="208">
        <v>43144</v>
      </c>
      <c r="F468" s="209">
        <v>10.1</v>
      </c>
      <c r="G468" s="210" t="s">
        <v>13</v>
      </c>
      <c r="H468" s="211" t="s">
        <v>18</v>
      </c>
      <c r="I468" s="210">
        <v>1</v>
      </c>
      <c r="J468" s="210" t="s">
        <v>15</v>
      </c>
      <c r="K468" s="210" t="s">
        <v>54</v>
      </c>
      <c r="L468" s="211" t="s">
        <v>60</v>
      </c>
      <c r="M468" s="211" t="s">
        <v>17</v>
      </c>
    </row>
    <row r="469" spans="1:13" x14ac:dyDescent="0.2">
      <c r="A469" s="211" t="s">
        <v>55</v>
      </c>
      <c r="B469" s="211" t="s">
        <v>58</v>
      </c>
      <c r="C469" s="211" t="s">
        <v>19</v>
      </c>
      <c r="D469" s="211" t="s">
        <v>12</v>
      </c>
      <c r="E469" s="208">
        <v>43144</v>
      </c>
      <c r="F469" s="221">
        <v>3282.5989800000002</v>
      </c>
      <c r="G469" s="210" t="s">
        <v>16</v>
      </c>
      <c r="H469" s="211" t="s">
        <v>18</v>
      </c>
      <c r="I469" s="210">
        <v>1</v>
      </c>
      <c r="J469" s="210" t="s">
        <v>15</v>
      </c>
      <c r="K469" s="210" t="s">
        <v>54</v>
      </c>
      <c r="L469" s="211" t="s">
        <v>60</v>
      </c>
      <c r="M469" s="211" t="s">
        <v>17</v>
      </c>
    </row>
    <row r="470" spans="1:13" x14ac:dyDescent="0.2">
      <c r="A470" s="211" t="s">
        <v>55</v>
      </c>
      <c r="B470" s="211" t="s">
        <v>58</v>
      </c>
      <c r="C470" s="211" t="s">
        <v>19</v>
      </c>
      <c r="D470" s="211" t="s">
        <v>12</v>
      </c>
      <c r="E470" s="208">
        <v>43143</v>
      </c>
      <c r="F470" s="209">
        <v>20.748418900000001</v>
      </c>
      <c r="G470" s="210" t="s">
        <v>13</v>
      </c>
      <c r="H470" s="211" t="s">
        <v>14</v>
      </c>
      <c r="I470" s="210">
        <v>1</v>
      </c>
      <c r="J470" s="210" t="s">
        <v>15</v>
      </c>
      <c r="K470" s="210" t="s">
        <v>54</v>
      </c>
      <c r="L470" s="211" t="s">
        <v>60</v>
      </c>
      <c r="M470" s="211" t="s">
        <v>56</v>
      </c>
    </row>
    <row r="471" spans="1:13" x14ac:dyDescent="0.2">
      <c r="A471" s="211" t="s">
        <v>55</v>
      </c>
      <c r="B471" s="211" t="s">
        <v>58</v>
      </c>
      <c r="C471" s="211" t="s">
        <v>19</v>
      </c>
      <c r="D471" s="211" t="s">
        <v>12</v>
      </c>
      <c r="E471" s="208">
        <v>43143</v>
      </c>
      <c r="F471" s="221">
        <v>7004.7326400000002</v>
      </c>
      <c r="G471" s="210" t="s">
        <v>16</v>
      </c>
      <c r="H471" s="211" t="s">
        <v>14</v>
      </c>
      <c r="I471" s="210">
        <v>1</v>
      </c>
      <c r="J471" s="210" t="s">
        <v>15</v>
      </c>
      <c r="K471" s="210" t="s">
        <v>54</v>
      </c>
      <c r="L471" s="211" t="s">
        <v>60</v>
      </c>
      <c r="M471" s="211" t="s">
        <v>56</v>
      </c>
    </row>
    <row r="472" spans="1:13" x14ac:dyDescent="0.2">
      <c r="A472" s="211" t="s">
        <v>55</v>
      </c>
      <c r="B472" s="211" t="s">
        <v>58</v>
      </c>
      <c r="C472" s="211" t="s">
        <v>19</v>
      </c>
      <c r="D472" s="211" t="s">
        <v>12</v>
      </c>
      <c r="E472" s="208">
        <v>43143</v>
      </c>
      <c r="F472" s="209">
        <v>10.199999999999999</v>
      </c>
      <c r="G472" s="210" t="s">
        <v>13</v>
      </c>
      <c r="H472" s="211" t="s">
        <v>18</v>
      </c>
      <c r="I472" s="210">
        <v>1</v>
      </c>
      <c r="J472" s="210" t="s">
        <v>15</v>
      </c>
      <c r="K472" s="210" t="s">
        <v>54</v>
      </c>
      <c r="L472" s="211" t="s">
        <v>60</v>
      </c>
      <c r="M472" s="211" t="s">
        <v>17</v>
      </c>
    </row>
    <row r="473" spans="1:13" x14ac:dyDescent="0.2">
      <c r="A473" s="211" t="s">
        <v>55</v>
      </c>
      <c r="B473" s="211" t="s">
        <v>58</v>
      </c>
      <c r="C473" s="211" t="s">
        <v>19</v>
      </c>
      <c r="D473" s="211" t="s">
        <v>12</v>
      </c>
      <c r="E473" s="208">
        <v>43143</v>
      </c>
      <c r="F473" s="221">
        <v>3443.5526399999999</v>
      </c>
      <c r="G473" s="210" t="s">
        <v>16</v>
      </c>
      <c r="H473" s="211" t="s">
        <v>18</v>
      </c>
      <c r="I473" s="210">
        <v>1</v>
      </c>
      <c r="J473" s="210" t="s">
        <v>15</v>
      </c>
      <c r="K473" s="210" t="s">
        <v>54</v>
      </c>
      <c r="L473" s="211" t="s">
        <v>60</v>
      </c>
      <c r="M473" s="211" t="s">
        <v>17</v>
      </c>
    </row>
    <row r="474" spans="1:13" x14ac:dyDescent="0.2">
      <c r="A474" s="211" t="s">
        <v>55</v>
      </c>
      <c r="B474" s="211" t="s">
        <v>58</v>
      </c>
      <c r="C474" s="211" t="s">
        <v>19</v>
      </c>
      <c r="D474" s="211" t="s">
        <v>12</v>
      </c>
      <c r="E474" s="208">
        <v>43142</v>
      </c>
      <c r="F474" s="209">
        <v>16.154319099999999</v>
      </c>
      <c r="G474" s="210" t="s">
        <v>13</v>
      </c>
      <c r="H474" s="211" t="s">
        <v>14</v>
      </c>
      <c r="I474" s="210">
        <v>1</v>
      </c>
      <c r="J474" s="210" t="s">
        <v>15</v>
      </c>
      <c r="K474" s="210" t="s">
        <v>54</v>
      </c>
      <c r="L474" s="211" t="s">
        <v>60</v>
      </c>
      <c r="M474" s="211" t="s">
        <v>56</v>
      </c>
    </row>
    <row r="475" spans="1:13" x14ac:dyDescent="0.2">
      <c r="A475" s="211" t="s">
        <v>55</v>
      </c>
      <c r="B475" s="211" t="s">
        <v>58</v>
      </c>
      <c r="C475" s="211" t="s">
        <v>19</v>
      </c>
      <c r="D475" s="211" t="s">
        <v>12</v>
      </c>
      <c r="E475" s="208">
        <v>43142</v>
      </c>
      <c r="F475" s="221">
        <v>5521.1133600000003</v>
      </c>
      <c r="G475" s="210" t="s">
        <v>16</v>
      </c>
      <c r="H475" s="211" t="s">
        <v>14</v>
      </c>
      <c r="I475" s="210">
        <v>1</v>
      </c>
      <c r="J475" s="210" t="s">
        <v>15</v>
      </c>
      <c r="K475" s="210" t="s">
        <v>54</v>
      </c>
      <c r="L475" s="211" t="s">
        <v>60</v>
      </c>
      <c r="M475" s="211" t="s">
        <v>56</v>
      </c>
    </row>
    <row r="476" spans="1:13" x14ac:dyDescent="0.2">
      <c r="A476" s="211" t="s">
        <v>55</v>
      </c>
      <c r="B476" s="211" t="s">
        <v>58</v>
      </c>
      <c r="C476" s="211" t="s">
        <v>19</v>
      </c>
      <c r="D476" s="211" t="s">
        <v>12</v>
      </c>
      <c r="E476" s="208">
        <v>43142</v>
      </c>
      <c r="F476" s="209">
        <v>10.6</v>
      </c>
      <c r="G476" s="210" t="s">
        <v>13</v>
      </c>
      <c r="H476" s="211" t="s">
        <v>18</v>
      </c>
      <c r="I476" s="210">
        <v>1</v>
      </c>
      <c r="J476" s="210" t="s">
        <v>15</v>
      </c>
      <c r="K476" s="210" t="s">
        <v>54</v>
      </c>
      <c r="L476" s="211" t="s">
        <v>60</v>
      </c>
      <c r="M476" s="211" t="s">
        <v>17</v>
      </c>
    </row>
    <row r="477" spans="1:13" x14ac:dyDescent="0.2">
      <c r="A477" s="211" t="s">
        <v>55</v>
      </c>
      <c r="B477" s="211" t="s">
        <v>58</v>
      </c>
      <c r="C477" s="211" t="s">
        <v>19</v>
      </c>
      <c r="D477" s="211" t="s">
        <v>12</v>
      </c>
      <c r="E477" s="208">
        <v>43142</v>
      </c>
      <c r="F477" s="221">
        <v>3622.79592</v>
      </c>
      <c r="G477" s="210" t="s">
        <v>16</v>
      </c>
      <c r="H477" s="211" t="s">
        <v>18</v>
      </c>
      <c r="I477" s="210">
        <v>1</v>
      </c>
      <c r="J477" s="210" t="s">
        <v>15</v>
      </c>
      <c r="K477" s="210" t="s">
        <v>54</v>
      </c>
      <c r="L477" s="211" t="s">
        <v>60</v>
      </c>
      <c r="M477" s="211" t="s">
        <v>17</v>
      </c>
    </row>
    <row r="478" spans="1:13" x14ac:dyDescent="0.2">
      <c r="A478" s="211" t="s">
        <v>55</v>
      </c>
      <c r="B478" s="211" t="s">
        <v>58</v>
      </c>
      <c r="C478" s="211" t="s">
        <v>19</v>
      </c>
      <c r="D478" s="211" t="s">
        <v>12</v>
      </c>
      <c r="E478" s="208">
        <v>43141</v>
      </c>
      <c r="F478" s="209">
        <v>17.385963499999999</v>
      </c>
      <c r="G478" s="210" t="s">
        <v>13</v>
      </c>
      <c r="H478" s="211" t="s">
        <v>14</v>
      </c>
      <c r="I478" s="210">
        <v>1</v>
      </c>
      <c r="J478" s="210" t="s">
        <v>15</v>
      </c>
      <c r="K478" s="210" t="s">
        <v>54</v>
      </c>
      <c r="L478" s="211" t="s">
        <v>60</v>
      </c>
      <c r="M478" s="211" t="s">
        <v>56</v>
      </c>
    </row>
    <row r="479" spans="1:13" x14ac:dyDescent="0.2">
      <c r="A479" s="211" t="s">
        <v>55</v>
      </c>
      <c r="B479" s="211" t="s">
        <v>58</v>
      </c>
      <c r="C479" s="211" t="s">
        <v>19</v>
      </c>
      <c r="D479" s="211" t="s">
        <v>12</v>
      </c>
      <c r="E479" s="208">
        <v>43141</v>
      </c>
      <c r="F479" s="221">
        <v>5733.2579400000004</v>
      </c>
      <c r="G479" s="210" t="s">
        <v>16</v>
      </c>
      <c r="H479" s="211" t="s">
        <v>14</v>
      </c>
      <c r="I479" s="210">
        <v>1</v>
      </c>
      <c r="J479" s="210" t="s">
        <v>15</v>
      </c>
      <c r="K479" s="210" t="s">
        <v>54</v>
      </c>
      <c r="L479" s="211" t="s">
        <v>60</v>
      </c>
      <c r="M479" s="211" t="s">
        <v>56</v>
      </c>
    </row>
    <row r="480" spans="1:13" x14ac:dyDescent="0.2">
      <c r="A480" s="211" t="s">
        <v>55</v>
      </c>
      <c r="B480" s="211" t="s">
        <v>58</v>
      </c>
      <c r="C480" s="211" t="s">
        <v>19</v>
      </c>
      <c r="D480" s="211" t="s">
        <v>12</v>
      </c>
      <c r="E480" s="208">
        <v>43141</v>
      </c>
      <c r="F480" s="209">
        <v>10.7</v>
      </c>
      <c r="G480" s="210" t="s">
        <v>13</v>
      </c>
      <c r="H480" s="211" t="s">
        <v>18</v>
      </c>
      <c r="I480" s="210">
        <v>1</v>
      </c>
      <c r="J480" s="210" t="s">
        <v>15</v>
      </c>
      <c r="K480" s="210" t="s">
        <v>54</v>
      </c>
      <c r="L480" s="211" t="s">
        <v>60</v>
      </c>
      <c r="M480" s="211" t="s">
        <v>17</v>
      </c>
    </row>
    <row r="481" spans="1:13" x14ac:dyDescent="0.2">
      <c r="A481" s="211" t="s">
        <v>55</v>
      </c>
      <c r="B481" s="211" t="s">
        <v>58</v>
      </c>
      <c r="C481" s="211" t="s">
        <v>19</v>
      </c>
      <c r="D481" s="211" t="s">
        <v>12</v>
      </c>
      <c r="E481" s="208">
        <v>43141</v>
      </c>
      <c r="F481" s="221">
        <v>3528.4705199999999</v>
      </c>
      <c r="G481" s="210" t="s">
        <v>16</v>
      </c>
      <c r="H481" s="211" t="s">
        <v>18</v>
      </c>
      <c r="I481" s="210">
        <v>1</v>
      </c>
      <c r="J481" s="210" t="s">
        <v>15</v>
      </c>
      <c r="K481" s="210" t="s">
        <v>54</v>
      </c>
      <c r="L481" s="211" t="s">
        <v>60</v>
      </c>
      <c r="M481" s="211" t="s">
        <v>17</v>
      </c>
    </row>
    <row r="482" spans="1:13" x14ac:dyDescent="0.2">
      <c r="A482" s="211" t="s">
        <v>55</v>
      </c>
      <c r="B482" s="211" t="s">
        <v>58</v>
      </c>
      <c r="C482" s="211" t="s">
        <v>19</v>
      </c>
      <c r="D482" s="211" t="s">
        <v>12</v>
      </c>
      <c r="E482" s="208">
        <v>43140</v>
      </c>
      <c r="F482" s="209">
        <v>15.4309253</v>
      </c>
      <c r="G482" s="210" t="s">
        <v>13</v>
      </c>
      <c r="H482" s="211" t="s">
        <v>14</v>
      </c>
      <c r="I482" s="210">
        <v>1</v>
      </c>
      <c r="J482" s="210" t="s">
        <v>15</v>
      </c>
      <c r="K482" s="210" t="s">
        <v>54</v>
      </c>
      <c r="L482" s="211" t="s">
        <v>60</v>
      </c>
      <c r="M482" s="211" t="s">
        <v>56</v>
      </c>
    </row>
    <row r="483" spans="1:13" x14ac:dyDescent="0.2">
      <c r="A483" s="211" t="s">
        <v>55</v>
      </c>
      <c r="B483" s="211" t="s">
        <v>58</v>
      </c>
      <c r="C483" s="211" t="s">
        <v>19</v>
      </c>
      <c r="D483" s="211" t="s">
        <v>12</v>
      </c>
      <c r="E483" s="208">
        <v>43140</v>
      </c>
      <c r="F483" s="221">
        <v>5326.6412399999999</v>
      </c>
      <c r="G483" s="210" t="s">
        <v>16</v>
      </c>
      <c r="H483" s="211" t="s">
        <v>14</v>
      </c>
      <c r="I483" s="210">
        <v>1</v>
      </c>
      <c r="J483" s="210" t="s">
        <v>15</v>
      </c>
      <c r="K483" s="210" t="s">
        <v>54</v>
      </c>
      <c r="L483" s="211" t="s">
        <v>60</v>
      </c>
      <c r="M483" s="211" t="s">
        <v>56</v>
      </c>
    </row>
    <row r="484" spans="1:13" x14ac:dyDescent="0.2">
      <c r="A484" s="211" t="s">
        <v>55</v>
      </c>
      <c r="B484" s="211" t="s">
        <v>58</v>
      </c>
      <c r="C484" s="211" t="s">
        <v>19</v>
      </c>
      <c r="D484" s="211" t="s">
        <v>12</v>
      </c>
      <c r="E484" s="208">
        <v>43140</v>
      </c>
      <c r="F484" s="209">
        <v>9.25</v>
      </c>
      <c r="G484" s="210" t="s">
        <v>13</v>
      </c>
      <c r="H484" s="211" t="s">
        <v>18</v>
      </c>
      <c r="I484" s="210">
        <v>1</v>
      </c>
      <c r="J484" s="210" t="s">
        <v>15</v>
      </c>
      <c r="K484" s="210" t="s">
        <v>54</v>
      </c>
      <c r="L484" s="211" t="s">
        <v>60</v>
      </c>
      <c r="M484" s="211" t="s">
        <v>17</v>
      </c>
    </row>
    <row r="485" spans="1:13" x14ac:dyDescent="0.2">
      <c r="A485" s="211" t="s">
        <v>55</v>
      </c>
      <c r="B485" s="211" t="s">
        <v>58</v>
      </c>
      <c r="C485" s="211" t="s">
        <v>19</v>
      </c>
      <c r="D485" s="211" t="s">
        <v>12</v>
      </c>
      <c r="E485" s="208">
        <v>43140</v>
      </c>
      <c r="F485" s="221">
        <v>3193.0315500000002</v>
      </c>
      <c r="G485" s="210" t="s">
        <v>16</v>
      </c>
      <c r="H485" s="211" t="s">
        <v>18</v>
      </c>
      <c r="I485" s="210">
        <v>1</v>
      </c>
      <c r="J485" s="210" t="s">
        <v>15</v>
      </c>
      <c r="K485" s="210" t="s">
        <v>54</v>
      </c>
      <c r="L485" s="211" t="s">
        <v>60</v>
      </c>
      <c r="M485" s="211" t="s">
        <v>17</v>
      </c>
    </row>
    <row r="486" spans="1:13" x14ac:dyDescent="0.2">
      <c r="A486" s="211" t="s">
        <v>55</v>
      </c>
      <c r="B486" s="211" t="s">
        <v>58</v>
      </c>
      <c r="C486" s="211" t="s">
        <v>19</v>
      </c>
      <c r="D486" s="211" t="s">
        <v>12</v>
      </c>
      <c r="E486" s="208">
        <v>43139</v>
      </c>
      <c r="F486" s="209">
        <v>11.586151900000001</v>
      </c>
      <c r="G486" s="210" t="s">
        <v>13</v>
      </c>
      <c r="H486" s="211" t="s">
        <v>14</v>
      </c>
      <c r="I486" s="210">
        <v>1</v>
      </c>
      <c r="J486" s="210" t="s">
        <v>15</v>
      </c>
      <c r="K486" s="210" t="s">
        <v>54</v>
      </c>
      <c r="L486" s="211" t="s">
        <v>60</v>
      </c>
      <c r="M486" s="211" t="s">
        <v>56</v>
      </c>
    </row>
    <row r="487" spans="1:13" x14ac:dyDescent="0.2">
      <c r="A487" s="211" t="s">
        <v>55</v>
      </c>
      <c r="B487" s="211" t="s">
        <v>58</v>
      </c>
      <c r="C487" s="211" t="s">
        <v>19</v>
      </c>
      <c r="D487" s="211" t="s">
        <v>12</v>
      </c>
      <c r="E487" s="208">
        <v>43139</v>
      </c>
      <c r="F487" s="221">
        <v>3942.4431</v>
      </c>
      <c r="G487" s="210" t="s">
        <v>16</v>
      </c>
      <c r="H487" s="211" t="s">
        <v>14</v>
      </c>
      <c r="I487" s="210">
        <v>1</v>
      </c>
      <c r="J487" s="210" t="s">
        <v>15</v>
      </c>
      <c r="K487" s="210" t="s">
        <v>54</v>
      </c>
      <c r="L487" s="211" t="s">
        <v>60</v>
      </c>
      <c r="M487" s="211" t="s">
        <v>56</v>
      </c>
    </row>
    <row r="488" spans="1:13" x14ac:dyDescent="0.2">
      <c r="A488" s="211" t="s">
        <v>55</v>
      </c>
      <c r="B488" s="211" t="s">
        <v>58</v>
      </c>
      <c r="C488" s="211" t="s">
        <v>19</v>
      </c>
      <c r="D488" s="211" t="s">
        <v>12</v>
      </c>
      <c r="E488" s="208">
        <v>43139</v>
      </c>
      <c r="F488" s="209">
        <v>7.29</v>
      </c>
      <c r="G488" s="210" t="s">
        <v>13</v>
      </c>
      <c r="H488" s="211" t="s">
        <v>18</v>
      </c>
      <c r="I488" s="210">
        <v>1</v>
      </c>
      <c r="J488" s="210" t="s">
        <v>15</v>
      </c>
      <c r="K488" s="210" t="s">
        <v>54</v>
      </c>
      <c r="L488" s="211" t="s">
        <v>60</v>
      </c>
      <c r="M488" s="211" t="s">
        <v>17</v>
      </c>
    </row>
    <row r="489" spans="1:13" x14ac:dyDescent="0.2">
      <c r="A489" s="211" t="s">
        <v>55</v>
      </c>
      <c r="B489" s="211" t="s">
        <v>58</v>
      </c>
      <c r="C489" s="211" t="s">
        <v>19</v>
      </c>
      <c r="D489" s="211" t="s">
        <v>12</v>
      </c>
      <c r="E489" s="208">
        <v>43139</v>
      </c>
      <c r="F489" s="221">
        <v>2480.5828799999999</v>
      </c>
      <c r="G489" s="210" t="s">
        <v>16</v>
      </c>
      <c r="H489" s="211" t="s">
        <v>18</v>
      </c>
      <c r="I489" s="210">
        <v>1</v>
      </c>
      <c r="J489" s="210" t="s">
        <v>15</v>
      </c>
      <c r="K489" s="210" t="s">
        <v>54</v>
      </c>
      <c r="L489" s="211" t="s">
        <v>60</v>
      </c>
      <c r="M489" s="211" t="s">
        <v>17</v>
      </c>
    </row>
    <row r="490" spans="1:13" x14ac:dyDescent="0.2">
      <c r="A490" s="211" t="s">
        <v>55</v>
      </c>
      <c r="B490" s="211" t="s">
        <v>58</v>
      </c>
      <c r="C490" s="211" t="s">
        <v>19</v>
      </c>
      <c r="D490" s="211" t="s">
        <v>12</v>
      </c>
      <c r="E490" s="208">
        <v>43138</v>
      </c>
      <c r="F490" s="209">
        <v>9.5260362999999995</v>
      </c>
      <c r="G490" s="210" t="s">
        <v>13</v>
      </c>
      <c r="H490" s="211" t="s">
        <v>14</v>
      </c>
      <c r="I490" s="210">
        <v>1</v>
      </c>
      <c r="J490" s="210" t="s">
        <v>15</v>
      </c>
      <c r="K490" s="210" t="s">
        <v>54</v>
      </c>
      <c r="L490" s="211" t="s">
        <v>60</v>
      </c>
      <c r="M490" s="211" t="s">
        <v>56</v>
      </c>
    </row>
    <row r="491" spans="1:13" x14ac:dyDescent="0.2">
      <c r="A491" s="211" t="s">
        <v>55</v>
      </c>
      <c r="B491" s="211" t="s">
        <v>58</v>
      </c>
      <c r="C491" s="211" t="s">
        <v>19</v>
      </c>
      <c r="D491" s="211" t="s">
        <v>12</v>
      </c>
      <c r="E491" s="208">
        <v>43138</v>
      </c>
      <c r="F491" s="221">
        <v>3150.8736840000001</v>
      </c>
      <c r="G491" s="210" t="s">
        <v>16</v>
      </c>
      <c r="H491" s="211" t="s">
        <v>14</v>
      </c>
      <c r="I491" s="210">
        <v>1</v>
      </c>
      <c r="J491" s="210" t="s">
        <v>15</v>
      </c>
      <c r="K491" s="210" t="s">
        <v>54</v>
      </c>
      <c r="L491" s="211" t="s">
        <v>60</v>
      </c>
      <c r="M491" s="211" t="s">
        <v>56</v>
      </c>
    </row>
    <row r="492" spans="1:13" x14ac:dyDescent="0.2">
      <c r="A492" s="211" t="s">
        <v>55</v>
      </c>
      <c r="B492" s="211" t="s">
        <v>58</v>
      </c>
      <c r="C492" s="211" t="s">
        <v>19</v>
      </c>
      <c r="D492" s="211" t="s">
        <v>12</v>
      </c>
      <c r="E492" s="208">
        <v>43138</v>
      </c>
      <c r="F492" s="209">
        <v>5.63</v>
      </c>
      <c r="G492" s="210" t="s">
        <v>13</v>
      </c>
      <c r="H492" s="211" t="s">
        <v>18</v>
      </c>
      <c r="I492" s="210">
        <v>1</v>
      </c>
      <c r="J492" s="210" t="s">
        <v>15</v>
      </c>
      <c r="K492" s="210" t="s">
        <v>54</v>
      </c>
      <c r="L492" s="211" t="s">
        <v>60</v>
      </c>
      <c r="M492" s="211" t="s">
        <v>17</v>
      </c>
    </row>
    <row r="493" spans="1:13" x14ac:dyDescent="0.2">
      <c r="A493" s="211" t="s">
        <v>55</v>
      </c>
      <c r="B493" s="211" t="s">
        <v>58</v>
      </c>
      <c r="C493" s="211" t="s">
        <v>19</v>
      </c>
      <c r="D493" s="211" t="s">
        <v>12</v>
      </c>
      <c r="E493" s="208">
        <v>43138</v>
      </c>
      <c r="F493" s="221">
        <v>1862.2035719999999</v>
      </c>
      <c r="G493" s="210" t="s">
        <v>16</v>
      </c>
      <c r="H493" s="211" t="s">
        <v>18</v>
      </c>
      <c r="I493" s="210">
        <v>1</v>
      </c>
      <c r="J493" s="210" t="s">
        <v>15</v>
      </c>
      <c r="K493" s="210" t="s">
        <v>54</v>
      </c>
      <c r="L493" s="211" t="s">
        <v>60</v>
      </c>
      <c r="M493" s="211" t="s">
        <v>17</v>
      </c>
    </row>
    <row r="494" spans="1:13" x14ac:dyDescent="0.2">
      <c r="A494" s="211" t="s">
        <v>55</v>
      </c>
      <c r="B494" s="211" t="s">
        <v>58</v>
      </c>
      <c r="C494" s="211" t="s">
        <v>19</v>
      </c>
      <c r="D494" s="211" t="s">
        <v>12</v>
      </c>
      <c r="E494" s="208">
        <v>43137</v>
      </c>
      <c r="F494" s="209">
        <v>12.953582000000001</v>
      </c>
      <c r="G494" s="210" t="s">
        <v>13</v>
      </c>
      <c r="H494" s="211" t="s">
        <v>14</v>
      </c>
      <c r="I494" s="210">
        <v>1</v>
      </c>
      <c r="J494" s="210" t="s">
        <v>15</v>
      </c>
      <c r="K494" s="210" t="s">
        <v>54</v>
      </c>
      <c r="L494" s="211" t="s">
        <v>60</v>
      </c>
      <c r="M494" s="211" t="s">
        <v>56</v>
      </c>
    </row>
    <row r="495" spans="1:13" x14ac:dyDescent="0.2">
      <c r="A495" s="211" t="s">
        <v>55</v>
      </c>
      <c r="B495" s="211" t="s">
        <v>58</v>
      </c>
      <c r="C495" s="211" t="s">
        <v>19</v>
      </c>
      <c r="D495" s="211" t="s">
        <v>12</v>
      </c>
      <c r="E495" s="208">
        <v>43137</v>
      </c>
      <c r="F495" s="221">
        <v>4373.1707399999996</v>
      </c>
      <c r="G495" s="210" t="s">
        <v>16</v>
      </c>
      <c r="H495" s="211" t="s">
        <v>14</v>
      </c>
      <c r="I495" s="210">
        <v>1</v>
      </c>
      <c r="J495" s="210" t="s">
        <v>15</v>
      </c>
      <c r="K495" s="210" t="s">
        <v>54</v>
      </c>
      <c r="L495" s="211" t="s">
        <v>60</v>
      </c>
      <c r="M495" s="211" t="s">
        <v>56</v>
      </c>
    </row>
    <row r="496" spans="1:13" x14ac:dyDescent="0.2">
      <c r="A496" s="211" t="s">
        <v>55</v>
      </c>
      <c r="B496" s="211" t="s">
        <v>58</v>
      </c>
      <c r="C496" s="211" t="s">
        <v>19</v>
      </c>
      <c r="D496" s="211" t="s">
        <v>12</v>
      </c>
      <c r="E496" s="208">
        <v>43137</v>
      </c>
      <c r="F496" s="209">
        <v>6.47</v>
      </c>
      <c r="G496" s="210" t="s">
        <v>13</v>
      </c>
      <c r="H496" s="211" t="s">
        <v>18</v>
      </c>
      <c r="I496" s="210">
        <v>1</v>
      </c>
      <c r="J496" s="210" t="s">
        <v>15</v>
      </c>
      <c r="K496" s="210" t="s">
        <v>54</v>
      </c>
      <c r="L496" s="211" t="s">
        <v>60</v>
      </c>
      <c r="M496" s="211" t="s">
        <v>17</v>
      </c>
    </row>
    <row r="497" spans="1:13" x14ac:dyDescent="0.2">
      <c r="A497" s="211" t="s">
        <v>55</v>
      </c>
      <c r="B497" s="211" t="s">
        <v>58</v>
      </c>
      <c r="C497" s="211" t="s">
        <v>19</v>
      </c>
      <c r="D497" s="211" t="s">
        <v>12</v>
      </c>
      <c r="E497" s="208">
        <v>43137</v>
      </c>
      <c r="F497" s="221">
        <v>2184.292704</v>
      </c>
      <c r="G497" s="210" t="s">
        <v>16</v>
      </c>
      <c r="H497" s="211" t="s">
        <v>18</v>
      </c>
      <c r="I497" s="210">
        <v>1</v>
      </c>
      <c r="J497" s="210" t="s">
        <v>15</v>
      </c>
      <c r="K497" s="210" t="s">
        <v>54</v>
      </c>
      <c r="L497" s="211" t="s">
        <v>60</v>
      </c>
      <c r="M497" s="211" t="s">
        <v>17</v>
      </c>
    </row>
    <row r="498" spans="1:13" x14ac:dyDescent="0.2">
      <c r="A498" s="211" t="s">
        <v>55</v>
      </c>
      <c r="B498" s="211" t="s">
        <v>58</v>
      </c>
      <c r="C498" s="211" t="s">
        <v>19</v>
      </c>
      <c r="D498" s="211" t="s">
        <v>12</v>
      </c>
      <c r="E498" s="208">
        <v>43136</v>
      </c>
      <c r="F498" s="209">
        <v>15.3246197</v>
      </c>
      <c r="G498" s="210" t="s">
        <v>13</v>
      </c>
      <c r="H498" s="211" t="s">
        <v>14</v>
      </c>
      <c r="I498" s="210">
        <v>1</v>
      </c>
      <c r="J498" s="210" t="s">
        <v>15</v>
      </c>
      <c r="K498" s="210" t="s">
        <v>54</v>
      </c>
      <c r="L498" s="211" t="s">
        <v>60</v>
      </c>
      <c r="M498" s="211" t="s">
        <v>56</v>
      </c>
    </row>
    <row r="499" spans="1:13" x14ac:dyDescent="0.2">
      <c r="A499" s="211" t="s">
        <v>55</v>
      </c>
      <c r="B499" s="211" t="s">
        <v>58</v>
      </c>
      <c r="C499" s="211" t="s">
        <v>19</v>
      </c>
      <c r="D499" s="211" t="s">
        <v>12</v>
      </c>
      <c r="E499" s="208">
        <v>43136</v>
      </c>
      <c r="F499" s="221">
        <v>5378.1324000000004</v>
      </c>
      <c r="G499" s="210" t="s">
        <v>16</v>
      </c>
      <c r="H499" s="211" t="s">
        <v>14</v>
      </c>
      <c r="I499" s="210">
        <v>1</v>
      </c>
      <c r="J499" s="210" t="s">
        <v>15</v>
      </c>
      <c r="K499" s="210" t="s">
        <v>54</v>
      </c>
      <c r="L499" s="211" t="s">
        <v>60</v>
      </c>
      <c r="M499" s="211" t="s">
        <v>56</v>
      </c>
    </row>
    <row r="500" spans="1:13" x14ac:dyDescent="0.2">
      <c r="A500" s="211" t="s">
        <v>55</v>
      </c>
      <c r="B500" s="211" t="s">
        <v>58</v>
      </c>
      <c r="C500" s="211" t="s">
        <v>19</v>
      </c>
      <c r="D500" s="211" t="s">
        <v>12</v>
      </c>
      <c r="E500" s="208">
        <v>43136</v>
      </c>
      <c r="F500" s="209">
        <v>8.7899999999999991</v>
      </c>
      <c r="G500" s="210" t="s">
        <v>13</v>
      </c>
      <c r="H500" s="211" t="s">
        <v>18</v>
      </c>
      <c r="I500" s="210">
        <v>1</v>
      </c>
      <c r="J500" s="210" t="s">
        <v>15</v>
      </c>
      <c r="K500" s="210" t="s">
        <v>54</v>
      </c>
      <c r="L500" s="211" t="s">
        <v>60</v>
      </c>
      <c r="M500" s="211" t="s">
        <v>17</v>
      </c>
    </row>
    <row r="501" spans="1:13" x14ac:dyDescent="0.2">
      <c r="A501" s="211" t="s">
        <v>55</v>
      </c>
      <c r="B501" s="211" t="s">
        <v>58</v>
      </c>
      <c r="C501" s="211" t="s">
        <v>19</v>
      </c>
      <c r="D501" s="211" t="s">
        <v>12</v>
      </c>
      <c r="E501" s="208">
        <v>43136</v>
      </c>
      <c r="F501" s="221">
        <v>3084.8258879999998</v>
      </c>
      <c r="G501" s="210" t="s">
        <v>16</v>
      </c>
      <c r="H501" s="211" t="s">
        <v>18</v>
      </c>
      <c r="I501" s="210">
        <v>1</v>
      </c>
      <c r="J501" s="210" t="s">
        <v>15</v>
      </c>
      <c r="K501" s="210" t="s">
        <v>54</v>
      </c>
      <c r="L501" s="211" t="s">
        <v>60</v>
      </c>
      <c r="M501" s="211" t="s">
        <v>17</v>
      </c>
    </row>
    <row r="502" spans="1:13" x14ac:dyDescent="0.2">
      <c r="A502" s="211" t="s">
        <v>55</v>
      </c>
      <c r="B502" s="211" t="s">
        <v>58</v>
      </c>
      <c r="C502" s="211" t="s">
        <v>19</v>
      </c>
      <c r="D502" s="211" t="s">
        <v>12</v>
      </c>
      <c r="E502" s="208">
        <v>43135</v>
      </c>
      <c r="F502" s="209">
        <v>15.320859199999999</v>
      </c>
      <c r="G502" s="210" t="s">
        <v>13</v>
      </c>
      <c r="H502" s="211" t="s">
        <v>14</v>
      </c>
      <c r="I502" s="210">
        <v>1</v>
      </c>
      <c r="J502" s="210" t="s">
        <v>15</v>
      </c>
      <c r="K502" s="210" t="s">
        <v>54</v>
      </c>
      <c r="L502" s="211" t="s">
        <v>60</v>
      </c>
      <c r="M502" s="211" t="s">
        <v>56</v>
      </c>
    </row>
    <row r="503" spans="1:13" x14ac:dyDescent="0.2">
      <c r="A503" s="211" t="s">
        <v>55</v>
      </c>
      <c r="B503" s="211" t="s">
        <v>58</v>
      </c>
      <c r="C503" s="211" t="s">
        <v>19</v>
      </c>
      <c r="D503" s="211" t="s">
        <v>12</v>
      </c>
      <c r="E503" s="208">
        <v>43135</v>
      </c>
      <c r="F503" s="221">
        <v>5145.5381399999997</v>
      </c>
      <c r="G503" s="210" t="s">
        <v>16</v>
      </c>
      <c r="H503" s="211" t="s">
        <v>14</v>
      </c>
      <c r="I503" s="210">
        <v>1</v>
      </c>
      <c r="J503" s="210" t="s">
        <v>15</v>
      </c>
      <c r="K503" s="210" t="s">
        <v>54</v>
      </c>
      <c r="L503" s="211" t="s">
        <v>60</v>
      </c>
      <c r="M503" s="211" t="s">
        <v>56</v>
      </c>
    </row>
    <row r="504" spans="1:13" x14ac:dyDescent="0.2">
      <c r="A504" s="211" t="s">
        <v>55</v>
      </c>
      <c r="B504" s="211" t="s">
        <v>58</v>
      </c>
      <c r="C504" s="211" t="s">
        <v>19</v>
      </c>
      <c r="D504" s="211" t="s">
        <v>12</v>
      </c>
      <c r="E504" s="208">
        <v>43135</v>
      </c>
      <c r="F504" s="209">
        <v>8.15</v>
      </c>
      <c r="G504" s="210" t="s">
        <v>13</v>
      </c>
      <c r="H504" s="211" t="s">
        <v>18</v>
      </c>
      <c r="I504" s="210">
        <v>1</v>
      </c>
      <c r="J504" s="210" t="s">
        <v>15</v>
      </c>
      <c r="K504" s="210" t="s">
        <v>54</v>
      </c>
      <c r="L504" s="211" t="s">
        <v>60</v>
      </c>
      <c r="M504" s="211" t="s">
        <v>17</v>
      </c>
    </row>
    <row r="505" spans="1:13" x14ac:dyDescent="0.2">
      <c r="A505" s="211" t="s">
        <v>55</v>
      </c>
      <c r="B505" s="211" t="s">
        <v>58</v>
      </c>
      <c r="C505" s="211" t="s">
        <v>19</v>
      </c>
      <c r="D505" s="211" t="s">
        <v>12</v>
      </c>
      <c r="E505" s="208">
        <v>43135</v>
      </c>
      <c r="F505" s="221">
        <v>2737.1921699999998</v>
      </c>
      <c r="G505" s="210" t="s">
        <v>16</v>
      </c>
      <c r="H505" s="211" t="s">
        <v>18</v>
      </c>
      <c r="I505" s="210">
        <v>1</v>
      </c>
      <c r="J505" s="210" t="s">
        <v>15</v>
      </c>
      <c r="K505" s="210" t="s">
        <v>54</v>
      </c>
      <c r="L505" s="211" t="s">
        <v>60</v>
      </c>
      <c r="M505" s="211" t="s">
        <v>17</v>
      </c>
    </row>
    <row r="506" spans="1:13" x14ac:dyDescent="0.2">
      <c r="A506" s="211" t="s">
        <v>55</v>
      </c>
      <c r="B506" s="211" t="s">
        <v>58</v>
      </c>
      <c r="C506" s="211" t="s">
        <v>19</v>
      </c>
      <c r="D506" s="211" t="s">
        <v>12</v>
      </c>
      <c r="E506" s="208">
        <v>43134</v>
      </c>
      <c r="F506" s="209">
        <v>13.7788644</v>
      </c>
      <c r="G506" s="210" t="s">
        <v>13</v>
      </c>
      <c r="H506" s="211" t="s">
        <v>14</v>
      </c>
      <c r="I506" s="210">
        <v>1</v>
      </c>
      <c r="J506" s="210" t="s">
        <v>15</v>
      </c>
      <c r="K506" s="210" t="s">
        <v>54</v>
      </c>
      <c r="L506" s="211" t="s">
        <v>60</v>
      </c>
      <c r="M506" s="211" t="s">
        <v>56</v>
      </c>
    </row>
    <row r="507" spans="1:13" x14ac:dyDescent="0.2">
      <c r="A507" s="211" t="s">
        <v>55</v>
      </c>
      <c r="B507" s="211" t="s">
        <v>58</v>
      </c>
      <c r="C507" s="211" t="s">
        <v>19</v>
      </c>
      <c r="D507" s="211" t="s">
        <v>12</v>
      </c>
      <c r="E507" s="208">
        <v>43134</v>
      </c>
      <c r="F507" s="221">
        <v>4695.4566960000002</v>
      </c>
      <c r="G507" s="210" t="s">
        <v>16</v>
      </c>
      <c r="H507" s="211" t="s">
        <v>14</v>
      </c>
      <c r="I507" s="210">
        <v>1</v>
      </c>
      <c r="J507" s="210" t="s">
        <v>15</v>
      </c>
      <c r="K507" s="210" t="s">
        <v>54</v>
      </c>
      <c r="L507" s="211" t="s">
        <v>60</v>
      </c>
      <c r="M507" s="211" t="s">
        <v>56</v>
      </c>
    </row>
    <row r="508" spans="1:13" x14ac:dyDescent="0.2">
      <c r="A508" s="211" t="s">
        <v>55</v>
      </c>
      <c r="B508" s="211" t="s">
        <v>58</v>
      </c>
      <c r="C508" s="211" t="s">
        <v>19</v>
      </c>
      <c r="D508" s="211" t="s">
        <v>12</v>
      </c>
      <c r="E508" s="208">
        <v>43134</v>
      </c>
      <c r="F508" s="209">
        <v>7.62</v>
      </c>
      <c r="G508" s="210" t="s">
        <v>13</v>
      </c>
      <c r="H508" s="211" t="s">
        <v>18</v>
      </c>
      <c r="I508" s="210">
        <v>1</v>
      </c>
      <c r="J508" s="210" t="s">
        <v>15</v>
      </c>
      <c r="K508" s="210" t="s">
        <v>54</v>
      </c>
      <c r="L508" s="211" t="s">
        <v>60</v>
      </c>
      <c r="M508" s="211" t="s">
        <v>17</v>
      </c>
    </row>
    <row r="509" spans="1:13" x14ac:dyDescent="0.2">
      <c r="A509" s="211" t="s">
        <v>55</v>
      </c>
      <c r="B509" s="211" t="s">
        <v>58</v>
      </c>
      <c r="C509" s="211" t="s">
        <v>19</v>
      </c>
      <c r="D509" s="211" t="s">
        <v>12</v>
      </c>
      <c r="E509" s="208">
        <v>43134</v>
      </c>
      <c r="F509" s="221">
        <v>2596.685688</v>
      </c>
      <c r="G509" s="210" t="s">
        <v>16</v>
      </c>
      <c r="H509" s="211" t="s">
        <v>18</v>
      </c>
      <c r="I509" s="210">
        <v>1</v>
      </c>
      <c r="J509" s="210" t="s">
        <v>15</v>
      </c>
      <c r="K509" s="210" t="s">
        <v>54</v>
      </c>
      <c r="L509" s="211" t="s">
        <v>60</v>
      </c>
      <c r="M509" s="211" t="s">
        <v>17</v>
      </c>
    </row>
    <row r="510" spans="1:13" x14ac:dyDescent="0.2">
      <c r="A510" s="211" t="s">
        <v>55</v>
      </c>
      <c r="B510" s="211" t="s">
        <v>58</v>
      </c>
      <c r="C510" s="211" t="s">
        <v>19</v>
      </c>
      <c r="D510" s="211" t="s">
        <v>12</v>
      </c>
      <c r="E510" s="208">
        <v>43133</v>
      </c>
      <c r="F510" s="209">
        <v>14.3350907</v>
      </c>
      <c r="G510" s="210" t="s">
        <v>13</v>
      </c>
      <c r="H510" s="211" t="s">
        <v>14</v>
      </c>
      <c r="I510" s="210">
        <v>1</v>
      </c>
      <c r="J510" s="210" t="s">
        <v>15</v>
      </c>
      <c r="K510" s="210" t="s">
        <v>54</v>
      </c>
      <c r="L510" s="211" t="s">
        <v>60</v>
      </c>
      <c r="M510" s="211" t="s">
        <v>56</v>
      </c>
    </row>
    <row r="511" spans="1:13" x14ac:dyDescent="0.2">
      <c r="A511" s="211" t="s">
        <v>55</v>
      </c>
      <c r="B511" s="211" t="s">
        <v>58</v>
      </c>
      <c r="C511" s="211" t="s">
        <v>19</v>
      </c>
      <c r="D511" s="211" t="s">
        <v>12</v>
      </c>
      <c r="E511" s="208">
        <v>43133</v>
      </c>
      <c r="F511" s="221">
        <v>4807.2927600000003</v>
      </c>
      <c r="G511" s="210" t="s">
        <v>16</v>
      </c>
      <c r="H511" s="211" t="s">
        <v>14</v>
      </c>
      <c r="I511" s="210">
        <v>1</v>
      </c>
      <c r="J511" s="210" t="s">
        <v>15</v>
      </c>
      <c r="K511" s="210" t="s">
        <v>54</v>
      </c>
      <c r="L511" s="211" t="s">
        <v>60</v>
      </c>
      <c r="M511" s="211" t="s">
        <v>56</v>
      </c>
    </row>
    <row r="512" spans="1:13" x14ac:dyDescent="0.2">
      <c r="A512" s="211" t="s">
        <v>55</v>
      </c>
      <c r="B512" s="211" t="s">
        <v>58</v>
      </c>
      <c r="C512" s="211" t="s">
        <v>19</v>
      </c>
      <c r="D512" s="211" t="s">
        <v>12</v>
      </c>
      <c r="E512" s="208">
        <v>43133</v>
      </c>
      <c r="F512" s="209">
        <v>7.68</v>
      </c>
      <c r="G512" s="210" t="s">
        <v>13</v>
      </c>
      <c r="H512" s="211" t="s">
        <v>18</v>
      </c>
      <c r="I512" s="210">
        <v>1</v>
      </c>
      <c r="J512" s="210" t="s">
        <v>15</v>
      </c>
      <c r="K512" s="210" t="s">
        <v>54</v>
      </c>
      <c r="L512" s="211" t="s">
        <v>60</v>
      </c>
      <c r="M512" s="211" t="s">
        <v>17</v>
      </c>
    </row>
    <row r="513" spans="1:13" x14ac:dyDescent="0.2">
      <c r="A513" s="211" t="s">
        <v>55</v>
      </c>
      <c r="B513" s="211" t="s">
        <v>58</v>
      </c>
      <c r="C513" s="211" t="s">
        <v>19</v>
      </c>
      <c r="D513" s="211" t="s">
        <v>12</v>
      </c>
      <c r="E513" s="208">
        <v>43133</v>
      </c>
      <c r="F513" s="221">
        <v>2575.498752</v>
      </c>
      <c r="G513" s="210" t="s">
        <v>16</v>
      </c>
      <c r="H513" s="211" t="s">
        <v>18</v>
      </c>
      <c r="I513" s="210">
        <v>1</v>
      </c>
      <c r="J513" s="210" t="s">
        <v>15</v>
      </c>
      <c r="K513" s="210" t="s">
        <v>54</v>
      </c>
      <c r="L513" s="211" t="s">
        <v>60</v>
      </c>
      <c r="M513" s="211" t="s">
        <v>17</v>
      </c>
    </row>
    <row r="514" spans="1:13" x14ac:dyDescent="0.2">
      <c r="A514" s="211" t="s">
        <v>55</v>
      </c>
      <c r="B514" s="211" t="s">
        <v>58</v>
      </c>
      <c r="C514" s="211" t="s">
        <v>19</v>
      </c>
      <c r="D514" s="211" t="s">
        <v>12</v>
      </c>
      <c r="E514" s="208">
        <v>43132</v>
      </c>
      <c r="F514" s="209">
        <v>12.1852924</v>
      </c>
      <c r="G514" s="210" t="s">
        <v>13</v>
      </c>
      <c r="H514" s="211" t="s">
        <v>14</v>
      </c>
      <c r="I514" s="210">
        <v>1</v>
      </c>
      <c r="J514" s="210" t="s">
        <v>15</v>
      </c>
      <c r="K514" s="210" t="s">
        <v>54</v>
      </c>
      <c r="L514" s="211" t="s">
        <v>60</v>
      </c>
      <c r="M514" s="211" t="s">
        <v>56</v>
      </c>
    </row>
    <row r="515" spans="1:13" x14ac:dyDescent="0.2">
      <c r="A515" s="211" t="s">
        <v>55</v>
      </c>
      <c r="B515" s="211" t="s">
        <v>58</v>
      </c>
      <c r="C515" s="211" t="s">
        <v>19</v>
      </c>
      <c r="D515" s="211" t="s">
        <v>12</v>
      </c>
      <c r="E515" s="208">
        <v>43132</v>
      </c>
      <c r="F515" s="221">
        <v>4047.7372679999999</v>
      </c>
      <c r="G515" s="210" t="s">
        <v>16</v>
      </c>
      <c r="H515" s="211" t="s">
        <v>14</v>
      </c>
      <c r="I515" s="210">
        <v>1</v>
      </c>
      <c r="J515" s="210" t="s">
        <v>15</v>
      </c>
      <c r="K515" s="210" t="s">
        <v>54</v>
      </c>
      <c r="L515" s="211" t="s">
        <v>60</v>
      </c>
      <c r="M515" s="211" t="s">
        <v>56</v>
      </c>
    </row>
    <row r="516" spans="1:13" x14ac:dyDescent="0.2">
      <c r="A516" s="211" t="s">
        <v>55</v>
      </c>
      <c r="B516" s="211" t="s">
        <v>58</v>
      </c>
      <c r="C516" s="211" t="s">
        <v>19</v>
      </c>
      <c r="D516" s="211" t="s">
        <v>12</v>
      </c>
      <c r="E516" s="208">
        <v>43132</v>
      </c>
      <c r="F516" s="209">
        <v>8.82</v>
      </c>
      <c r="G516" s="210" t="s">
        <v>13</v>
      </c>
      <c r="H516" s="211" t="s">
        <v>18</v>
      </c>
      <c r="I516" s="210">
        <v>1</v>
      </c>
      <c r="J516" s="210" t="s">
        <v>15</v>
      </c>
      <c r="K516" s="210" t="s">
        <v>54</v>
      </c>
      <c r="L516" s="211" t="s">
        <v>60</v>
      </c>
      <c r="M516" s="211" t="s">
        <v>17</v>
      </c>
    </row>
    <row r="517" spans="1:13" x14ac:dyDescent="0.2">
      <c r="A517" s="211" t="s">
        <v>55</v>
      </c>
      <c r="B517" s="211" t="s">
        <v>58</v>
      </c>
      <c r="C517" s="211" t="s">
        <v>19</v>
      </c>
      <c r="D517" s="211" t="s">
        <v>12</v>
      </c>
      <c r="E517" s="208">
        <v>43132</v>
      </c>
      <c r="F517" s="221">
        <v>2929.8470040000002</v>
      </c>
      <c r="G517" s="210" t="s">
        <v>16</v>
      </c>
      <c r="H517" s="211" t="s">
        <v>18</v>
      </c>
      <c r="I517" s="210">
        <v>1</v>
      </c>
      <c r="J517" s="210" t="s">
        <v>15</v>
      </c>
      <c r="K517" s="210" t="s">
        <v>54</v>
      </c>
      <c r="L517" s="211" t="s">
        <v>60</v>
      </c>
      <c r="M517" s="211" t="s">
        <v>17</v>
      </c>
    </row>
    <row r="518" spans="1:13" x14ac:dyDescent="0.2">
      <c r="A518" s="211" t="s">
        <v>55</v>
      </c>
      <c r="B518" s="211" t="s">
        <v>58</v>
      </c>
      <c r="C518" s="211" t="s">
        <v>19</v>
      </c>
      <c r="D518" s="211" t="s">
        <v>12</v>
      </c>
      <c r="E518" s="208">
        <v>43128</v>
      </c>
      <c r="F518" s="209">
        <v>11.925323199999999</v>
      </c>
      <c r="G518" s="210" t="s">
        <v>13</v>
      </c>
      <c r="H518" s="211" t="s">
        <v>14</v>
      </c>
      <c r="I518" s="210">
        <v>1</v>
      </c>
      <c r="J518" s="210" t="s">
        <v>15</v>
      </c>
      <c r="K518" s="210" t="s">
        <v>54</v>
      </c>
      <c r="L518" s="211" t="s">
        <v>60</v>
      </c>
      <c r="M518" s="211" t="s">
        <v>56</v>
      </c>
    </row>
    <row r="519" spans="1:13" x14ac:dyDescent="0.2">
      <c r="A519" s="211" t="s">
        <v>55</v>
      </c>
      <c r="B519" s="211" t="s">
        <v>58</v>
      </c>
      <c r="C519" s="211" t="s">
        <v>19</v>
      </c>
      <c r="D519" s="211" t="s">
        <v>12</v>
      </c>
      <c r="E519" s="208">
        <v>43128</v>
      </c>
      <c r="F519" s="221">
        <v>4076.7504600000002</v>
      </c>
      <c r="G519" s="210" t="s">
        <v>16</v>
      </c>
      <c r="H519" s="211" t="s">
        <v>14</v>
      </c>
      <c r="I519" s="210">
        <v>1</v>
      </c>
      <c r="J519" s="210" t="s">
        <v>15</v>
      </c>
      <c r="K519" s="210" t="s">
        <v>54</v>
      </c>
      <c r="L519" s="211" t="s">
        <v>60</v>
      </c>
      <c r="M519" s="211" t="s">
        <v>56</v>
      </c>
    </row>
    <row r="520" spans="1:13" x14ac:dyDescent="0.2">
      <c r="A520" s="211" t="s">
        <v>55</v>
      </c>
      <c r="B520" s="211" t="s">
        <v>58</v>
      </c>
      <c r="C520" s="211" t="s">
        <v>19</v>
      </c>
      <c r="D520" s="211" t="s">
        <v>12</v>
      </c>
      <c r="E520" s="208">
        <v>43128</v>
      </c>
      <c r="F520" s="209">
        <v>6.09</v>
      </c>
      <c r="G520" s="210" t="s">
        <v>13</v>
      </c>
      <c r="H520" s="211" t="s">
        <v>18</v>
      </c>
      <c r="I520" s="210">
        <v>1</v>
      </c>
      <c r="J520" s="210" t="s">
        <v>15</v>
      </c>
      <c r="K520" s="210" t="s">
        <v>54</v>
      </c>
      <c r="L520" s="211" t="s">
        <v>60</v>
      </c>
      <c r="M520" s="211" t="s">
        <v>17</v>
      </c>
    </row>
    <row r="521" spans="1:13" x14ac:dyDescent="0.2">
      <c r="A521" s="211" t="s">
        <v>55</v>
      </c>
      <c r="B521" s="211" t="s">
        <v>58</v>
      </c>
      <c r="C521" s="211" t="s">
        <v>19</v>
      </c>
      <c r="D521" s="211" t="s">
        <v>12</v>
      </c>
      <c r="E521" s="208">
        <v>43128</v>
      </c>
      <c r="F521" s="221">
        <v>2081.9066939999998</v>
      </c>
      <c r="G521" s="210" t="s">
        <v>16</v>
      </c>
      <c r="H521" s="211" t="s">
        <v>18</v>
      </c>
      <c r="I521" s="210">
        <v>1</v>
      </c>
      <c r="J521" s="210" t="s">
        <v>15</v>
      </c>
      <c r="K521" s="210" t="s">
        <v>54</v>
      </c>
      <c r="L521" s="211" t="s">
        <v>60</v>
      </c>
      <c r="M521" s="211" t="s">
        <v>17</v>
      </c>
    </row>
    <row r="522" spans="1:13" x14ac:dyDescent="0.2">
      <c r="A522" s="211" t="s">
        <v>55</v>
      </c>
      <c r="B522" s="211" t="s">
        <v>58</v>
      </c>
      <c r="C522" s="211" t="s">
        <v>19</v>
      </c>
      <c r="D522" s="211" t="s">
        <v>12</v>
      </c>
      <c r="E522" s="208">
        <v>43127</v>
      </c>
      <c r="F522" s="209">
        <v>10.3562592</v>
      </c>
      <c r="G522" s="210" t="s">
        <v>13</v>
      </c>
      <c r="H522" s="211" t="s">
        <v>14</v>
      </c>
      <c r="I522" s="210">
        <v>1</v>
      </c>
      <c r="J522" s="210" t="s">
        <v>15</v>
      </c>
      <c r="K522" s="210" t="s">
        <v>54</v>
      </c>
      <c r="L522" s="211" t="s">
        <v>60</v>
      </c>
      <c r="M522" s="211" t="s">
        <v>56</v>
      </c>
    </row>
    <row r="523" spans="1:13" x14ac:dyDescent="0.2">
      <c r="A523" s="211" t="s">
        <v>55</v>
      </c>
      <c r="B523" s="211" t="s">
        <v>58</v>
      </c>
      <c r="C523" s="211" t="s">
        <v>19</v>
      </c>
      <c r="D523" s="211" t="s">
        <v>12</v>
      </c>
      <c r="E523" s="208">
        <v>43127</v>
      </c>
      <c r="F523" s="221">
        <v>3518.7627600000001</v>
      </c>
      <c r="G523" s="210" t="s">
        <v>16</v>
      </c>
      <c r="H523" s="211" t="s">
        <v>14</v>
      </c>
      <c r="I523" s="210">
        <v>1</v>
      </c>
      <c r="J523" s="210" t="s">
        <v>15</v>
      </c>
      <c r="K523" s="210" t="s">
        <v>54</v>
      </c>
      <c r="L523" s="211" t="s">
        <v>60</v>
      </c>
      <c r="M523" s="211" t="s">
        <v>56</v>
      </c>
    </row>
    <row r="524" spans="1:13" x14ac:dyDescent="0.2">
      <c r="A524" s="211" t="s">
        <v>55</v>
      </c>
      <c r="B524" s="211" t="s">
        <v>58</v>
      </c>
      <c r="C524" s="211" t="s">
        <v>19</v>
      </c>
      <c r="D524" s="211" t="s">
        <v>12</v>
      </c>
      <c r="E524" s="208">
        <v>43127</v>
      </c>
      <c r="F524" s="209">
        <v>5.84</v>
      </c>
      <c r="G524" s="210" t="s">
        <v>13</v>
      </c>
      <c r="H524" s="211" t="s">
        <v>18</v>
      </c>
      <c r="I524" s="210">
        <v>1</v>
      </c>
      <c r="J524" s="210" t="s">
        <v>15</v>
      </c>
      <c r="K524" s="210" t="s">
        <v>54</v>
      </c>
      <c r="L524" s="211" t="s">
        <v>60</v>
      </c>
      <c r="M524" s="211" t="s">
        <v>17</v>
      </c>
    </row>
    <row r="525" spans="1:13" x14ac:dyDescent="0.2">
      <c r="A525" s="211" t="s">
        <v>55</v>
      </c>
      <c r="B525" s="211" t="s">
        <v>58</v>
      </c>
      <c r="C525" s="211" t="s">
        <v>19</v>
      </c>
      <c r="D525" s="211" t="s">
        <v>12</v>
      </c>
      <c r="E525" s="208">
        <v>43127</v>
      </c>
      <c r="F525" s="221">
        <v>1984.2661439999999</v>
      </c>
      <c r="G525" s="210" t="s">
        <v>16</v>
      </c>
      <c r="H525" s="211" t="s">
        <v>18</v>
      </c>
      <c r="I525" s="210">
        <v>1</v>
      </c>
      <c r="J525" s="210" t="s">
        <v>15</v>
      </c>
      <c r="K525" s="210" t="s">
        <v>54</v>
      </c>
      <c r="L525" s="211" t="s">
        <v>60</v>
      </c>
      <c r="M525" s="211" t="s">
        <v>17</v>
      </c>
    </row>
    <row r="526" spans="1:13" x14ac:dyDescent="0.2">
      <c r="A526" s="211" t="s">
        <v>55</v>
      </c>
      <c r="B526" s="211" t="s">
        <v>58</v>
      </c>
      <c r="C526" s="211" t="s">
        <v>19</v>
      </c>
      <c r="D526" s="211" t="s">
        <v>12</v>
      </c>
      <c r="E526" s="208">
        <v>43126</v>
      </c>
      <c r="F526" s="209">
        <v>12.025892799999999</v>
      </c>
      <c r="G526" s="210" t="s">
        <v>13</v>
      </c>
      <c r="H526" s="211" t="s">
        <v>14</v>
      </c>
      <c r="I526" s="210">
        <v>1</v>
      </c>
      <c r="J526" s="210" t="s">
        <v>15</v>
      </c>
      <c r="K526" s="210" t="s">
        <v>54</v>
      </c>
      <c r="L526" s="211" t="s">
        <v>60</v>
      </c>
      <c r="M526" s="211" t="s">
        <v>56</v>
      </c>
    </row>
    <row r="527" spans="1:13" x14ac:dyDescent="0.2">
      <c r="A527" s="211" t="s">
        <v>55</v>
      </c>
      <c r="B527" s="211" t="s">
        <v>58</v>
      </c>
      <c r="C527" s="211" t="s">
        <v>19</v>
      </c>
      <c r="D527" s="211" t="s">
        <v>12</v>
      </c>
      <c r="E527" s="208">
        <v>43126</v>
      </c>
      <c r="F527" s="221">
        <v>4043.9325600000002</v>
      </c>
      <c r="G527" s="210" t="s">
        <v>16</v>
      </c>
      <c r="H527" s="211" t="s">
        <v>14</v>
      </c>
      <c r="I527" s="210">
        <v>1</v>
      </c>
      <c r="J527" s="210" t="s">
        <v>15</v>
      </c>
      <c r="K527" s="210" t="s">
        <v>54</v>
      </c>
      <c r="L527" s="211" t="s">
        <v>60</v>
      </c>
      <c r="M527" s="211" t="s">
        <v>56</v>
      </c>
    </row>
    <row r="528" spans="1:13" x14ac:dyDescent="0.2">
      <c r="A528" s="211" t="s">
        <v>55</v>
      </c>
      <c r="B528" s="211" t="s">
        <v>58</v>
      </c>
      <c r="C528" s="211" t="s">
        <v>19</v>
      </c>
      <c r="D528" s="211" t="s">
        <v>12</v>
      </c>
      <c r="E528" s="208">
        <v>43126</v>
      </c>
      <c r="F528" s="209">
        <v>5.78</v>
      </c>
      <c r="G528" s="210" t="s">
        <v>13</v>
      </c>
      <c r="H528" s="211" t="s">
        <v>18</v>
      </c>
      <c r="I528" s="210">
        <v>1</v>
      </c>
      <c r="J528" s="210" t="s">
        <v>15</v>
      </c>
      <c r="K528" s="210" t="s">
        <v>54</v>
      </c>
      <c r="L528" s="211" t="s">
        <v>60</v>
      </c>
      <c r="M528" s="211" t="s">
        <v>17</v>
      </c>
    </row>
    <row r="529" spans="1:13" x14ac:dyDescent="0.2">
      <c r="A529" s="211" t="s">
        <v>55</v>
      </c>
      <c r="B529" s="211" t="s">
        <v>58</v>
      </c>
      <c r="C529" s="211" t="s">
        <v>19</v>
      </c>
      <c r="D529" s="211" t="s">
        <v>12</v>
      </c>
      <c r="E529" s="208">
        <v>43126</v>
      </c>
      <c r="F529" s="221">
        <v>1943.633664</v>
      </c>
      <c r="G529" s="210" t="s">
        <v>16</v>
      </c>
      <c r="H529" s="211" t="s">
        <v>18</v>
      </c>
      <c r="I529" s="210">
        <v>1</v>
      </c>
      <c r="J529" s="210" t="s">
        <v>15</v>
      </c>
      <c r="K529" s="210" t="s">
        <v>54</v>
      </c>
      <c r="L529" s="211" t="s">
        <v>60</v>
      </c>
      <c r="M529" s="211" t="s">
        <v>17</v>
      </c>
    </row>
    <row r="530" spans="1:13" x14ac:dyDescent="0.2">
      <c r="A530" s="211" t="s">
        <v>55</v>
      </c>
      <c r="B530" s="211" t="s">
        <v>58</v>
      </c>
      <c r="C530" s="211" t="s">
        <v>19</v>
      </c>
      <c r="D530" s="211" t="s">
        <v>12</v>
      </c>
      <c r="E530" s="208">
        <v>43125</v>
      </c>
      <c r="F530" s="209">
        <v>11.1427871</v>
      </c>
      <c r="G530" s="210" t="s">
        <v>13</v>
      </c>
      <c r="H530" s="211" t="s">
        <v>14</v>
      </c>
      <c r="I530" s="210">
        <v>1</v>
      </c>
      <c r="J530" s="210" t="s">
        <v>15</v>
      </c>
      <c r="K530" s="210" t="s">
        <v>54</v>
      </c>
      <c r="L530" s="211" t="s">
        <v>60</v>
      </c>
      <c r="M530" s="211" t="s">
        <v>56</v>
      </c>
    </row>
    <row r="531" spans="1:13" x14ac:dyDescent="0.2">
      <c r="A531" s="211" t="s">
        <v>55</v>
      </c>
      <c r="B531" s="211" t="s">
        <v>58</v>
      </c>
      <c r="C531" s="211" t="s">
        <v>19</v>
      </c>
      <c r="D531" s="211" t="s">
        <v>12</v>
      </c>
      <c r="E531" s="208">
        <v>43125</v>
      </c>
      <c r="F531" s="221">
        <v>3794.3663999999999</v>
      </c>
      <c r="G531" s="210" t="s">
        <v>16</v>
      </c>
      <c r="H531" s="211" t="s">
        <v>14</v>
      </c>
      <c r="I531" s="210">
        <v>1</v>
      </c>
      <c r="J531" s="210" t="s">
        <v>15</v>
      </c>
      <c r="K531" s="210" t="s">
        <v>54</v>
      </c>
      <c r="L531" s="211" t="s">
        <v>60</v>
      </c>
      <c r="M531" s="211" t="s">
        <v>56</v>
      </c>
    </row>
    <row r="532" spans="1:13" x14ac:dyDescent="0.2">
      <c r="A532" s="211" t="s">
        <v>55</v>
      </c>
      <c r="B532" s="211" t="s">
        <v>58</v>
      </c>
      <c r="C532" s="211" t="s">
        <v>19</v>
      </c>
      <c r="D532" s="211" t="s">
        <v>12</v>
      </c>
      <c r="E532" s="208">
        <v>43125</v>
      </c>
      <c r="F532" s="209">
        <v>5.89</v>
      </c>
      <c r="G532" s="210" t="s">
        <v>13</v>
      </c>
      <c r="H532" s="211" t="s">
        <v>18</v>
      </c>
      <c r="I532" s="210">
        <v>1</v>
      </c>
      <c r="J532" s="210" t="s">
        <v>15</v>
      </c>
      <c r="K532" s="210" t="s">
        <v>54</v>
      </c>
      <c r="L532" s="211" t="s">
        <v>60</v>
      </c>
      <c r="M532" s="211" t="s">
        <v>17</v>
      </c>
    </row>
    <row r="533" spans="1:13" x14ac:dyDescent="0.2">
      <c r="A533" s="211" t="s">
        <v>55</v>
      </c>
      <c r="B533" s="211" t="s">
        <v>58</v>
      </c>
      <c r="C533" s="211" t="s">
        <v>19</v>
      </c>
      <c r="D533" s="211" t="s">
        <v>12</v>
      </c>
      <c r="E533" s="208">
        <v>43125</v>
      </c>
      <c r="F533" s="221">
        <v>2005.6757580000001</v>
      </c>
      <c r="G533" s="210" t="s">
        <v>16</v>
      </c>
      <c r="H533" s="211" t="s">
        <v>18</v>
      </c>
      <c r="I533" s="210">
        <v>1</v>
      </c>
      <c r="J533" s="210" t="s">
        <v>15</v>
      </c>
      <c r="K533" s="210" t="s">
        <v>54</v>
      </c>
      <c r="L533" s="211" t="s">
        <v>60</v>
      </c>
      <c r="M533" s="211" t="s">
        <v>17</v>
      </c>
    </row>
    <row r="534" spans="1:13" x14ac:dyDescent="0.2">
      <c r="A534" s="211" t="s">
        <v>55</v>
      </c>
      <c r="B534" s="211" t="s">
        <v>58</v>
      </c>
      <c r="C534" s="211" t="s">
        <v>19</v>
      </c>
      <c r="D534" s="211" t="s">
        <v>12</v>
      </c>
      <c r="E534" s="208">
        <v>43124</v>
      </c>
      <c r="F534" s="209">
        <v>11.4645853</v>
      </c>
      <c r="G534" s="210" t="s">
        <v>13</v>
      </c>
      <c r="H534" s="211" t="s">
        <v>14</v>
      </c>
      <c r="I534" s="210">
        <v>1</v>
      </c>
      <c r="J534" s="210" t="s">
        <v>15</v>
      </c>
      <c r="K534" s="210" t="s">
        <v>54</v>
      </c>
      <c r="L534" s="211" t="s">
        <v>60</v>
      </c>
      <c r="M534" s="211" t="s">
        <v>56</v>
      </c>
    </row>
    <row r="535" spans="1:13" x14ac:dyDescent="0.2">
      <c r="A535" s="211" t="s">
        <v>55</v>
      </c>
      <c r="B535" s="211" t="s">
        <v>58</v>
      </c>
      <c r="C535" s="211" t="s">
        <v>19</v>
      </c>
      <c r="D535" s="211" t="s">
        <v>12</v>
      </c>
      <c r="E535" s="208">
        <v>43124</v>
      </c>
      <c r="F535" s="221">
        <v>3874.3053</v>
      </c>
      <c r="G535" s="210" t="s">
        <v>16</v>
      </c>
      <c r="H535" s="211" t="s">
        <v>14</v>
      </c>
      <c r="I535" s="210">
        <v>1</v>
      </c>
      <c r="J535" s="210" t="s">
        <v>15</v>
      </c>
      <c r="K535" s="210" t="s">
        <v>54</v>
      </c>
      <c r="L535" s="211" t="s">
        <v>60</v>
      </c>
      <c r="M535" s="211" t="s">
        <v>56</v>
      </c>
    </row>
    <row r="536" spans="1:13" x14ac:dyDescent="0.2">
      <c r="A536" s="211" t="s">
        <v>55</v>
      </c>
      <c r="B536" s="211" t="s">
        <v>58</v>
      </c>
      <c r="C536" s="211" t="s">
        <v>19</v>
      </c>
      <c r="D536" s="211" t="s">
        <v>12</v>
      </c>
      <c r="E536" s="208">
        <v>43124</v>
      </c>
      <c r="F536" s="209">
        <v>6.85</v>
      </c>
      <c r="G536" s="210" t="s">
        <v>13</v>
      </c>
      <c r="H536" s="211" t="s">
        <v>18</v>
      </c>
      <c r="I536" s="210">
        <v>1</v>
      </c>
      <c r="J536" s="210" t="s">
        <v>15</v>
      </c>
      <c r="K536" s="210" t="s">
        <v>54</v>
      </c>
      <c r="L536" s="211" t="s">
        <v>60</v>
      </c>
      <c r="M536" s="211" t="s">
        <v>17</v>
      </c>
    </row>
    <row r="537" spans="1:13" x14ac:dyDescent="0.2">
      <c r="A537" s="211" t="s">
        <v>55</v>
      </c>
      <c r="B537" s="211" t="s">
        <v>58</v>
      </c>
      <c r="C537" s="211" t="s">
        <v>19</v>
      </c>
      <c r="D537" s="211" t="s">
        <v>12</v>
      </c>
      <c r="E537" s="208">
        <v>43124</v>
      </c>
      <c r="F537" s="221">
        <v>2314.86708</v>
      </c>
      <c r="G537" s="210" t="s">
        <v>16</v>
      </c>
      <c r="H537" s="211" t="s">
        <v>18</v>
      </c>
      <c r="I537" s="210">
        <v>1</v>
      </c>
      <c r="J537" s="210" t="s">
        <v>15</v>
      </c>
      <c r="K537" s="210" t="s">
        <v>54</v>
      </c>
      <c r="L537" s="211" t="s">
        <v>60</v>
      </c>
      <c r="M537" s="211" t="s">
        <v>17</v>
      </c>
    </row>
    <row r="538" spans="1:13" x14ac:dyDescent="0.2">
      <c r="A538" s="211" t="s">
        <v>55</v>
      </c>
      <c r="B538" s="211" t="s">
        <v>58</v>
      </c>
      <c r="C538" s="211" t="s">
        <v>19</v>
      </c>
      <c r="D538" s="211" t="s">
        <v>12</v>
      </c>
      <c r="E538" s="208">
        <v>43123</v>
      </c>
      <c r="F538" s="209">
        <v>11.697369</v>
      </c>
      <c r="G538" s="210" t="s">
        <v>13</v>
      </c>
      <c r="H538" s="211" t="s">
        <v>14</v>
      </c>
      <c r="I538" s="210">
        <v>1</v>
      </c>
      <c r="J538" s="210" t="s">
        <v>15</v>
      </c>
      <c r="K538" s="210" t="s">
        <v>54</v>
      </c>
      <c r="L538" s="211" t="s">
        <v>60</v>
      </c>
      <c r="M538" s="211" t="s">
        <v>56</v>
      </c>
    </row>
    <row r="539" spans="1:13" x14ac:dyDescent="0.2">
      <c r="A539" s="211" t="s">
        <v>55</v>
      </c>
      <c r="B539" s="211" t="s">
        <v>58</v>
      </c>
      <c r="C539" s="211" t="s">
        <v>19</v>
      </c>
      <c r="D539" s="211" t="s">
        <v>12</v>
      </c>
      <c r="E539" s="208">
        <v>43123</v>
      </c>
      <c r="F539" s="221">
        <v>4004.6761799999999</v>
      </c>
      <c r="G539" s="210" t="s">
        <v>16</v>
      </c>
      <c r="H539" s="211" t="s">
        <v>14</v>
      </c>
      <c r="I539" s="210">
        <v>1</v>
      </c>
      <c r="J539" s="210" t="s">
        <v>15</v>
      </c>
      <c r="K539" s="210" t="s">
        <v>54</v>
      </c>
      <c r="L539" s="211" t="s">
        <v>60</v>
      </c>
      <c r="M539" s="211" t="s">
        <v>56</v>
      </c>
    </row>
    <row r="540" spans="1:13" x14ac:dyDescent="0.2">
      <c r="A540" s="211" t="s">
        <v>55</v>
      </c>
      <c r="B540" s="211" t="s">
        <v>58</v>
      </c>
      <c r="C540" s="211" t="s">
        <v>19</v>
      </c>
      <c r="D540" s="211" t="s">
        <v>12</v>
      </c>
      <c r="E540" s="208">
        <v>43123</v>
      </c>
      <c r="F540" s="209">
        <v>4.55</v>
      </c>
      <c r="G540" s="210" t="s">
        <v>13</v>
      </c>
      <c r="H540" s="211" t="s">
        <v>18</v>
      </c>
      <c r="I540" s="210">
        <v>1</v>
      </c>
      <c r="J540" s="210" t="s">
        <v>15</v>
      </c>
      <c r="K540" s="210" t="s">
        <v>54</v>
      </c>
      <c r="L540" s="211" t="s">
        <v>60</v>
      </c>
      <c r="M540" s="211" t="s">
        <v>17</v>
      </c>
    </row>
    <row r="541" spans="1:13" x14ac:dyDescent="0.2">
      <c r="A541" s="211" t="s">
        <v>55</v>
      </c>
      <c r="B541" s="211" t="s">
        <v>58</v>
      </c>
      <c r="C541" s="211" t="s">
        <v>19</v>
      </c>
      <c r="D541" s="211" t="s">
        <v>12</v>
      </c>
      <c r="E541" s="208">
        <v>43123</v>
      </c>
      <c r="F541" s="221">
        <v>1557.72435</v>
      </c>
      <c r="G541" s="210" t="s">
        <v>16</v>
      </c>
      <c r="H541" s="211" t="s">
        <v>18</v>
      </c>
      <c r="I541" s="210">
        <v>1</v>
      </c>
      <c r="J541" s="210" t="s">
        <v>15</v>
      </c>
      <c r="K541" s="210" t="s">
        <v>54</v>
      </c>
      <c r="L541" s="211" t="s">
        <v>60</v>
      </c>
      <c r="M541" s="211" t="s">
        <v>17</v>
      </c>
    </row>
    <row r="542" spans="1:13" x14ac:dyDescent="0.2">
      <c r="A542" s="211" t="s">
        <v>55</v>
      </c>
      <c r="B542" s="211" t="s">
        <v>58</v>
      </c>
      <c r="C542" s="211" t="s">
        <v>19</v>
      </c>
      <c r="D542" s="211" t="s">
        <v>12</v>
      </c>
      <c r="E542" s="208">
        <v>43122</v>
      </c>
      <c r="F542" s="209">
        <v>11.808188299999999</v>
      </c>
      <c r="G542" s="210" t="s">
        <v>13</v>
      </c>
      <c r="H542" s="211" t="s">
        <v>14</v>
      </c>
      <c r="I542" s="210">
        <v>1</v>
      </c>
      <c r="J542" s="210" t="s">
        <v>15</v>
      </c>
      <c r="K542" s="210" t="s">
        <v>54</v>
      </c>
      <c r="L542" s="211" t="s">
        <v>60</v>
      </c>
      <c r="M542" s="211" t="s">
        <v>56</v>
      </c>
    </row>
    <row r="543" spans="1:13" x14ac:dyDescent="0.2">
      <c r="A543" s="211" t="s">
        <v>55</v>
      </c>
      <c r="B543" s="211" t="s">
        <v>58</v>
      </c>
      <c r="C543" s="211" t="s">
        <v>19</v>
      </c>
      <c r="D543" s="211" t="s">
        <v>12</v>
      </c>
      <c r="E543" s="208">
        <v>43122</v>
      </c>
      <c r="F543" s="221">
        <v>4413.8866200000002</v>
      </c>
      <c r="G543" s="210" t="s">
        <v>16</v>
      </c>
      <c r="H543" s="211" t="s">
        <v>14</v>
      </c>
      <c r="I543" s="210">
        <v>1</v>
      </c>
      <c r="J543" s="210" t="s">
        <v>15</v>
      </c>
      <c r="K543" s="210" t="s">
        <v>54</v>
      </c>
      <c r="L543" s="211" t="s">
        <v>60</v>
      </c>
      <c r="M543" s="211" t="s">
        <v>56</v>
      </c>
    </row>
    <row r="544" spans="1:13" x14ac:dyDescent="0.2">
      <c r="A544" s="211" t="s">
        <v>55</v>
      </c>
      <c r="B544" s="211" t="s">
        <v>58</v>
      </c>
      <c r="C544" s="211" t="s">
        <v>19</v>
      </c>
      <c r="D544" s="211" t="s">
        <v>12</v>
      </c>
      <c r="E544" s="208">
        <v>43122</v>
      </c>
      <c r="F544" s="209">
        <v>7.12</v>
      </c>
      <c r="G544" s="210" t="s">
        <v>13</v>
      </c>
      <c r="H544" s="211" t="s">
        <v>18</v>
      </c>
      <c r="I544" s="210">
        <v>1</v>
      </c>
      <c r="J544" s="210" t="s">
        <v>15</v>
      </c>
      <c r="K544" s="210" t="s">
        <v>54</v>
      </c>
      <c r="L544" s="211" t="s">
        <v>60</v>
      </c>
      <c r="M544" s="211" t="s">
        <v>17</v>
      </c>
    </row>
    <row r="545" spans="1:13" x14ac:dyDescent="0.2">
      <c r="A545" s="211" t="s">
        <v>55</v>
      </c>
      <c r="B545" s="211" t="s">
        <v>58</v>
      </c>
      <c r="C545" s="211" t="s">
        <v>19</v>
      </c>
      <c r="D545" s="211" t="s">
        <v>12</v>
      </c>
      <c r="E545" s="208">
        <v>43122</v>
      </c>
      <c r="F545" s="221">
        <v>2661.4474559999999</v>
      </c>
      <c r="G545" s="210" t="s">
        <v>16</v>
      </c>
      <c r="H545" s="211" t="s">
        <v>18</v>
      </c>
      <c r="I545" s="210">
        <v>1</v>
      </c>
      <c r="J545" s="210" t="s">
        <v>15</v>
      </c>
      <c r="K545" s="210" t="s">
        <v>54</v>
      </c>
      <c r="L545" s="211" t="s">
        <v>60</v>
      </c>
      <c r="M545" s="211" t="s">
        <v>17</v>
      </c>
    </row>
    <row r="546" spans="1:13" x14ac:dyDescent="0.2">
      <c r="A546" s="211" t="s">
        <v>55</v>
      </c>
      <c r="B546" s="211" t="s">
        <v>58</v>
      </c>
      <c r="C546" s="211" t="s">
        <v>19</v>
      </c>
      <c r="D546" s="211" t="s">
        <v>12</v>
      </c>
      <c r="E546" s="208">
        <v>43121</v>
      </c>
      <c r="F546" s="209">
        <v>14.286732499999999</v>
      </c>
      <c r="G546" s="210" t="s">
        <v>13</v>
      </c>
      <c r="H546" s="211" t="s">
        <v>14</v>
      </c>
      <c r="I546" s="210">
        <v>1</v>
      </c>
      <c r="J546" s="210" t="s">
        <v>15</v>
      </c>
      <c r="K546" s="210" t="s">
        <v>54</v>
      </c>
      <c r="L546" s="211" t="s">
        <v>60</v>
      </c>
      <c r="M546" s="211" t="s">
        <v>56</v>
      </c>
    </row>
    <row r="547" spans="1:13" x14ac:dyDescent="0.2">
      <c r="A547" s="211" t="s">
        <v>55</v>
      </c>
      <c r="B547" s="211" t="s">
        <v>58</v>
      </c>
      <c r="C547" s="211" t="s">
        <v>19</v>
      </c>
      <c r="D547" s="211" t="s">
        <v>12</v>
      </c>
      <c r="E547" s="208">
        <v>43121</v>
      </c>
      <c r="F547" s="221">
        <v>5065.1238599999997</v>
      </c>
      <c r="G547" s="210" t="s">
        <v>16</v>
      </c>
      <c r="H547" s="211" t="s">
        <v>14</v>
      </c>
      <c r="I547" s="210">
        <v>1</v>
      </c>
      <c r="J547" s="210" t="s">
        <v>15</v>
      </c>
      <c r="K547" s="210" t="s">
        <v>54</v>
      </c>
      <c r="L547" s="211" t="s">
        <v>60</v>
      </c>
      <c r="M547" s="211" t="s">
        <v>56</v>
      </c>
    </row>
    <row r="548" spans="1:13" x14ac:dyDescent="0.2">
      <c r="A548" s="211" t="s">
        <v>55</v>
      </c>
      <c r="B548" s="211" t="s">
        <v>58</v>
      </c>
      <c r="C548" s="211" t="s">
        <v>19</v>
      </c>
      <c r="D548" s="211" t="s">
        <v>12</v>
      </c>
      <c r="E548" s="208">
        <v>43121</v>
      </c>
      <c r="F548" s="209">
        <v>9.07</v>
      </c>
      <c r="G548" s="210" t="s">
        <v>13</v>
      </c>
      <c r="H548" s="211" t="s">
        <v>18</v>
      </c>
      <c r="I548" s="210">
        <v>1</v>
      </c>
      <c r="J548" s="210" t="s">
        <v>15</v>
      </c>
      <c r="K548" s="210" t="s">
        <v>54</v>
      </c>
      <c r="L548" s="211" t="s">
        <v>60</v>
      </c>
      <c r="M548" s="211" t="s">
        <v>17</v>
      </c>
    </row>
    <row r="549" spans="1:13" x14ac:dyDescent="0.2">
      <c r="A549" s="211" t="s">
        <v>55</v>
      </c>
      <c r="B549" s="211" t="s">
        <v>58</v>
      </c>
      <c r="C549" s="211" t="s">
        <v>19</v>
      </c>
      <c r="D549" s="211" t="s">
        <v>12</v>
      </c>
      <c r="E549" s="208">
        <v>43121</v>
      </c>
      <c r="F549" s="221">
        <v>3215.6179379999999</v>
      </c>
      <c r="G549" s="210" t="s">
        <v>16</v>
      </c>
      <c r="H549" s="211" t="s">
        <v>18</v>
      </c>
      <c r="I549" s="210">
        <v>1</v>
      </c>
      <c r="J549" s="210" t="s">
        <v>15</v>
      </c>
      <c r="K549" s="210" t="s">
        <v>54</v>
      </c>
      <c r="L549" s="211" t="s">
        <v>60</v>
      </c>
      <c r="M549" s="211" t="s">
        <v>17</v>
      </c>
    </row>
    <row r="550" spans="1:13" x14ac:dyDescent="0.2">
      <c r="A550" s="211" t="s">
        <v>55</v>
      </c>
      <c r="B550" s="211" t="s">
        <v>58</v>
      </c>
      <c r="C550" s="211" t="s">
        <v>19</v>
      </c>
      <c r="D550" s="211" t="s">
        <v>12</v>
      </c>
      <c r="E550" s="208">
        <v>43120</v>
      </c>
      <c r="F550" s="209">
        <v>15.0352769</v>
      </c>
      <c r="G550" s="210" t="s">
        <v>13</v>
      </c>
      <c r="H550" s="211" t="s">
        <v>14</v>
      </c>
      <c r="I550" s="210">
        <v>1</v>
      </c>
      <c r="J550" s="210" t="s">
        <v>15</v>
      </c>
      <c r="K550" s="210" t="s">
        <v>54</v>
      </c>
      <c r="L550" s="211" t="s">
        <v>60</v>
      </c>
      <c r="M550" s="211" t="s">
        <v>56</v>
      </c>
    </row>
    <row r="551" spans="1:13" x14ac:dyDescent="0.2">
      <c r="A551" s="211" t="s">
        <v>55</v>
      </c>
      <c r="B551" s="211" t="s">
        <v>58</v>
      </c>
      <c r="C551" s="211" t="s">
        <v>19</v>
      </c>
      <c r="D551" s="211" t="s">
        <v>12</v>
      </c>
      <c r="E551" s="208">
        <v>43120</v>
      </c>
      <c r="F551" s="221">
        <v>5161.2256799999996</v>
      </c>
      <c r="G551" s="210" t="s">
        <v>16</v>
      </c>
      <c r="H551" s="211" t="s">
        <v>14</v>
      </c>
      <c r="I551" s="210">
        <v>1</v>
      </c>
      <c r="J551" s="210" t="s">
        <v>15</v>
      </c>
      <c r="K551" s="210" t="s">
        <v>54</v>
      </c>
      <c r="L551" s="211" t="s">
        <v>60</v>
      </c>
      <c r="M551" s="211" t="s">
        <v>56</v>
      </c>
    </row>
    <row r="552" spans="1:13" x14ac:dyDescent="0.2">
      <c r="A552" s="211" t="s">
        <v>55</v>
      </c>
      <c r="B552" s="211" t="s">
        <v>58</v>
      </c>
      <c r="C552" s="211" t="s">
        <v>19</v>
      </c>
      <c r="D552" s="211" t="s">
        <v>12</v>
      </c>
      <c r="E552" s="208">
        <v>43120</v>
      </c>
      <c r="F552" s="209">
        <v>7.92</v>
      </c>
      <c r="G552" s="210" t="s">
        <v>13</v>
      </c>
      <c r="H552" s="211" t="s">
        <v>18</v>
      </c>
      <c r="I552" s="210">
        <v>1</v>
      </c>
      <c r="J552" s="210" t="s">
        <v>15</v>
      </c>
      <c r="K552" s="210" t="s">
        <v>54</v>
      </c>
      <c r="L552" s="211" t="s">
        <v>60</v>
      </c>
      <c r="M552" s="211" t="s">
        <v>17</v>
      </c>
    </row>
    <row r="553" spans="1:13" x14ac:dyDescent="0.2">
      <c r="A553" s="211" t="s">
        <v>55</v>
      </c>
      <c r="B553" s="211" t="s">
        <v>58</v>
      </c>
      <c r="C553" s="211" t="s">
        <v>19</v>
      </c>
      <c r="D553" s="211" t="s">
        <v>12</v>
      </c>
      <c r="E553" s="208">
        <v>43120</v>
      </c>
      <c r="F553" s="221">
        <v>2718.733248</v>
      </c>
      <c r="G553" s="210" t="s">
        <v>16</v>
      </c>
      <c r="H553" s="211" t="s">
        <v>18</v>
      </c>
      <c r="I553" s="210">
        <v>1</v>
      </c>
      <c r="J553" s="210" t="s">
        <v>15</v>
      </c>
      <c r="K553" s="210" t="s">
        <v>54</v>
      </c>
      <c r="L553" s="211" t="s">
        <v>60</v>
      </c>
      <c r="M553" s="211" t="s">
        <v>17</v>
      </c>
    </row>
    <row r="554" spans="1:13" x14ac:dyDescent="0.2">
      <c r="A554" s="211" t="s">
        <v>55</v>
      </c>
      <c r="B554" s="211" t="s">
        <v>58</v>
      </c>
      <c r="C554" s="211" t="s">
        <v>19</v>
      </c>
      <c r="D554" s="211" t="s">
        <v>12</v>
      </c>
      <c r="E554" s="208">
        <v>43119</v>
      </c>
      <c r="F554" s="209">
        <v>14.157229299999999</v>
      </c>
      <c r="G554" s="210" t="s">
        <v>13</v>
      </c>
      <c r="H554" s="211" t="s">
        <v>14</v>
      </c>
      <c r="I554" s="210">
        <v>1</v>
      </c>
      <c r="J554" s="210" t="s">
        <v>15</v>
      </c>
      <c r="K554" s="210" t="s">
        <v>54</v>
      </c>
      <c r="L554" s="211" t="s">
        <v>60</v>
      </c>
      <c r="M554" s="211" t="s">
        <v>56</v>
      </c>
    </row>
    <row r="555" spans="1:13" x14ac:dyDescent="0.2">
      <c r="A555" s="211" t="s">
        <v>55</v>
      </c>
      <c r="B555" s="211" t="s">
        <v>58</v>
      </c>
      <c r="C555" s="211" t="s">
        <v>19</v>
      </c>
      <c r="D555" s="211" t="s">
        <v>12</v>
      </c>
      <c r="E555" s="208">
        <v>43119</v>
      </c>
      <c r="F555" s="221">
        <v>4875.1636799999997</v>
      </c>
      <c r="G555" s="210" t="s">
        <v>16</v>
      </c>
      <c r="H555" s="211" t="s">
        <v>14</v>
      </c>
      <c r="I555" s="210">
        <v>1</v>
      </c>
      <c r="J555" s="210" t="s">
        <v>15</v>
      </c>
      <c r="K555" s="210" t="s">
        <v>54</v>
      </c>
      <c r="L555" s="211" t="s">
        <v>60</v>
      </c>
      <c r="M555" s="211" t="s">
        <v>56</v>
      </c>
    </row>
    <row r="556" spans="1:13" x14ac:dyDescent="0.2">
      <c r="A556" s="211" t="s">
        <v>55</v>
      </c>
      <c r="B556" s="211" t="s">
        <v>58</v>
      </c>
      <c r="C556" s="211" t="s">
        <v>19</v>
      </c>
      <c r="D556" s="211" t="s">
        <v>12</v>
      </c>
      <c r="E556" s="208">
        <v>43119</v>
      </c>
      <c r="F556" s="209">
        <v>6.69</v>
      </c>
      <c r="G556" s="210" t="s">
        <v>13</v>
      </c>
      <c r="H556" s="211" t="s">
        <v>18</v>
      </c>
      <c r="I556" s="210">
        <v>1</v>
      </c>
      <c r="J556" s="210" t="s">
        <v>15</v>
      </c>
      <c r="K556" s="210" t="s">
        <v>54</v>
      </c>
      <c r="L556" s="211" t="s">
        <v>60</v>
      </c>
      <c r="M556" s="211" t="s">
        <v>17</v>
      </c>
    </row>
    <row r="557" spans="1:13" x14ac:dyDescent="0.2">
      <c r="A557" s="211" t="s">
        <v>55</v>
      </c>
      <c r="B557" s="211" t="s">
        <v>58</v>
      </c>
      <c r="C557" s="211" t="s">
        <v>19</v>
      </c>
      <c r="D557" s="211" t="s">
        <v>12</v>
      </c>
      <c r="E557" s="208">
        <v>43119</v>
      </c>
      <c r="F557" s="221">
        <v>2303.7590340000002</v>
      </c>
      <c r="G557" s="210" t="s">
        <v>16</v>
      </c>
      <c r="H557" s="211" t="s">
        <v>18</v>
      </c>
      <c r="I557" s="210">
        <v>1</v>
      </c>
      <c r="J557" s="210" t="s">
        <v>15</v>
      </c>
      <c r="K557" s="210" t="s">
        <v>54</v>
      </c>
      <c r="L557" s="211" t="s">
        <v>60</v>
      </c>
      <c r="M557" s="211" t="s">
        <v>17</v>
      </c>
    </row>
    <row r="558" spans="1:13" x14ac:dyDescent="0.2">
      <c r="A558" s="211" t="s">
        <v>55</v>
      </c>
      <c r="B558" s="211" t="s">
        <v>58</v>
      </c>
      <c r="C558" s="211" t="s">
        <v>19</v>
      </c>
      <c r="D558" s="211" t="s">
        <v>12</v>
      </c>
      <c r="E558" s="208">
        <v>43118</v>
      </c>
      <c r="F558" s="209">
        <v>12.425157199999999</v>
      </c>
      <c r="G558" s="210" t="s">
        <v>13</v>
      </c>
      <c r="H558" s="211" t="s">
        <v>14</v>
      </c>
      <c r="I558" s="210">
        <v>1</v>
      </c>
      <c r="J558" s="210" t="s">
        <v>15</v>
      </c>
      <c r="K558" s="210" t="s">
        <v>54</v>
      </c>
      <c r="L558" s="211" t="s">
        <v>60</v>
      </c>
      <c r="M558" s="211" t="s">
        <v>56</v>
      </c>
    </row>
    <row r="559" spans="1:13" x14ac:dyDescent="0.2">
      <c r="A559" s="211" t="s">
        <v>55</v>
      </c>
      <c r="B559" s="211" t="s">
        <v>58</v>
      </c>
      <c r="C559" s="211" t="s">
        <v>19</v>
      </c>
      <c r="D559" s="211" t="s">
        <v>12</v>
      </c>
      <c r="E559" s="208">
        <v>43118</v>
      </c>
      <c r="F559" s="221">
        <v>4283.8910400000004</v>
      </c>
      <c r="G559" s="210" t="s">
        <v>16</v>
      </c>
      <c r="H559" s="211" t="s">
        <v>14</v>
      </c>
      <c r="I559" s="210">
        <v>1</v>
      </c>
      <c r="J559" s="210" t="s">
        <v>15</v>
      </c>
      <c r="K559" s="210" t="s">
        <v>54</v>
      </c>
      <c r="L559" s="211" t="s">
        <v>60</v>
      </c>
      <c r="M559" s="211" t="s">
        <v>56</v>
      </c>
    </row>
    <row r="560" spans="1:13" x14ac:dyDescent="0.2">
      <c r="A560" s="211" t="s">
        <v>55</v>
      </c>
      <c r="B560" s="211" t="s">
        <v>58</v>
      </c>
      <c r="C560" s="211" t="s">
        <v>19</v>
      </c>
      <c r="D560" s="211" t="s">
        <v>12</v>
      </c>
      <c r="E560" s="208">
        <v>43118</v>
      </c>
      <c r="F560" s="209">
        <v>7.17</v>
      </c>
      <c r="G560" s="210" t="s">
        <v>13</v>
      </c>
      <c r="H560" s="211" t="s">
        <v>18</v>
      </c>
      <c r="I560" s="210">
        <v>1</v>
      </c>
      <c r="J560" s="210" t="s">
        <v>15</v>
      </c>
      <c r="K560" s="210" t="s">
        <v>54</v>
      </c>
      <c r="L560" s="211" t="s">
        <v>60</v>
      </c>
      <c r="M560" s="211" t="s">
        <v>17</v>
      </c>
    </row>
    <row r="561" spans="1:13" x14ac:dyDescent="0.2">
      <c r="A561" s="211" t="s">
        <v>55</v>
      </c>
      <c r="B561" s="211" t="s">
        <v>58</v>
      </c>
      <c r="C561" s="211" t="s">
        <v>19</v>
      </c>
      <c r="D561" s="211" t="s">
        <v>12</v>
      </c>
      <c r="E561" s="208">
        <v>43118</v>
      </c>
      <c r="F561" s="221">
        <v>2472.041052</v>
      </c>
      <c r="G561" s="210" t="s">
        <v>16</v>
      </c>
      <c r="H561" s="211" t="s">
        <v>18</v>
      </c>
      <c r="I561" s="210">
        <v>1</v>
      </c>
      <c r="J561" s="210" t="s">
        <v>15</v>
      </c>
      <c r="K561" s="210" t="s">
        <v>54</v>
      </c>
      <c r="L561" s="211" t="s">
        <v>60</v>
      </c>
      <c r="M561" s="211" t="s">
        <v>17</v>
      </c>
    </row>
    <row r="562" spans="1:13" x14ac:dyDescent="0.2">
      <c r="A562" s="211" t="s">
        <v>55</v>
      </c>
      <c r="B562" s="211" t="s">
        <v>58</v>
      </c>
      <c r="C562" s="211" t="s">
        <v>19</v>
      </c>
      <c r="D562" s="211" t="s">
        <v>12</v>
      </c>
      <c r="E562" s="208">
        <v>43117</v>
      </c>
      <c r="F562" s="209">
        <v>12.0204755</v>
      </c>
      <c r="G562" s="210" t="s">
        <v>13</v>
      </c>
      <c r="H562" s="211" t="s">
        <v>14</v>
      </c>
      <c r="I562" s="210">
        <v>1</v>
      </c>
      <c r="J562" s="210" t="s">
        <v>15</v>
      </c>
      <c r="K562" s="210" t="s">
        <v>54</v>
      </c>
      <c r="L562" s="211" t="s">
        <v>60</v>
      </c>
      <c r="M562" s="211" t="s">
        <v>56</v>
      </c>
    </row>
    <row r="563" spans="1:13" x14ac:dyDescent="0.2">
      <c r="A563" s="211" t="s">
        <v>55</v>
      </c>
      <c r="B563" s="211" t="s">
        <v>58</v>
      </c>
      <c r="C563" s="211" t="s">
        <v>19</v>
      </c>
      <c r="D563" s="211" t="s">
        <v>12</v>
      </c>
      <c r="E563" s="208">
        <v>43117</v>
      </c>
      <c r="F563" s="221">
        <v>3794.4915000000001</v>
      </c>
      <c r="G563" s="210" t="s">
        <v>16</v>
      </c>
      <c r="H563" s="211" t="s">
        <v>14</v>
      </c>
      <c r="I563" s="210">
        <v>1</v>
      </c>
      <c r="J563" s="210" t="s">
        <v>15</v>
      </c>
      <c r="K563" s="210" t="s">
        <v>54</v>
      </c>
      <c r="L563" s="211" t="s">
        <v>60</v>
      </c>
      <c r="M563" s="211" t="s">
        <v>56</v>
      </c>
    </row>
    <row r="564" spans="1:13" x14ac:dyDescent="0.2">
      <c r="A564" s="211" t="s">
        <v>55</v>
      </c>
      <c r="B564" s="211" t="s">
        <v>58</v>
      </c>
      <c r="C564" s="211" t="s">
        <v>19</v>
      </c>
      <c r="D564" s="211" t="s">
        <v>12</v>
      </c>
      <c r="E564" s="208">
        <v>43117</v>
      </c>
      <c r="F564" s="209">
        <v>8.2200000000000006</v>
      </c>
      <c r="G564" s="210" t="s">
        <v>13</v>
      </c>
      <c r="H564" s="211" t="s">
        <v>18</v>
      </c>
      <c r="I564" s="210">
        <v>1</v>
      </c>
      <c r="J564" s="210" t="s">
        <v>15</v>
      </c>
      <c r="K564" s="210" t="s">
        <v>54</v>
      </c>
      <c r="L564" s="211" t="s">
        <v>60</v>
      </c>
      <c r="M564" s="211" t="s">
        <v>17</v>
      </c>
    </row>
    <row r="565" spans="1:13" x14ac:dyDescent="0.2">
      <c r="A565" s="211" t="s">
        <v>55</v>
      </c>
      <c r="B565" s="211" t="s">
        <v>58</v>
      </c>
      <c r="C565" s="211" t="s">
        <v>19</v>
      </c>
      <c r="D565" s="211" t="s">
        <v>12</v>
      </c>
      <c r="E565" s="208">
        <v>43117</v>
      </c>
      <c r="F565" s="221">
        <v>2594.79918</v>
      </c>
      <c r="G565" s="210" t="s">
        <v>16</v>
      </c>
      <c r="H565" s="211" t="s">
        <v>18</v>
      </c>
      <c r="I565" s="210">
        <v>1</v>
      </c>
      <c r="J565" s="210" t="s">
        <v>15</v>
      </c>
      <c r="K565" s="210" t="s">
        <v>54</v>
      </c>
      <c r="L565" s="211" t="s">
        <v>60</v>
      </c>
      <c r="M565" s="211" t="s">
        <v>17</v>
      </c>
    </row>
    <row r="566" spans="1:13" x14ac:dyDescent="0.2">
      <c r="A566" s="211" t="s">
        <v>55</v>
      </c>
      <c r="B566" s="211" t="s">
        <v>58</v>
      </c>
      <c r="C566" s="211" t="s">
        <v>19</v>
      </c>
      <c r="D566" s="211" t="s">
        <v>12</v>
      </c>
      <c r="E566" s="208">
        <v>43116</v>
      </c>
      <c r="F566" s="209">
        <v>15.5148969</v>
      </c>
      <c r="G566" s="210" t="s">
        <v>13</v>
      </c>
      <c r="H566" s="211" t="s">
        <v>14</v>
      </c>
      <c r="I566" s="210">
        <v>1</v>
      </c>
      <c r="J566" s="210" t="s">
        <v>15</v>
      </c>
      <c r="K566" s="210" t="s">
        <v>54</v>
      </c>
      <c r="L566" s="211" t="s">
        <v>60</v>
      </c>
      <c r="M566" s="211" t="s">
        <v>56</v>
      </c>
    </row>
    <row r="567" spans="1:13" x14ac:dyDescent="0.2">
      <c r="A567" s="211" t="s">
        <v>55</v>
      </c>
      <c r="B567" s="211" t="s">
        <v>58</v>
      </c>
      <c r="C567" s="211" t="s">
        <v>19</v>
      </c>
      <c r="D567" s="211" t="s">
        <v>12</v>
      </c>
      <c r="E567" s="208">
        <v>43116</v>
      </c>
      <c r="F567" s="221">
        <v>4959.6812399999999</v>
      </c>
      <c r="G567" s="210" t="s">
        <v>16</v>
      </c>
      <c r="H567" s="211" t="s">
        <v>14</v>
      </c>
      <c r="I567" s="210">
        <v>1</v>
      </c>
      <c r="J567" s="210" t="s">
        <v>15</v>
      </c>
      <c r="K567" s="210" t="s">
        <v>54</v>
      </c>
      <c r="L567" s="211" t="s">
        <v>60</v>
      </c>
      <c r="M567" s="211" t="s">
        <v>56</v>
      </c>
    </row>
    <row r="568" spans="1:13" x14ac:dyDescent="0.2">
      <c r="A568" s="211" t="s">
        <v>55</v>
      </c>
      <c r="B568" s="211" t="s">
        <v>58</v>
      </c>
      <c r="C568" s="211" t="s">
        <v>19</v>
      </c>
      <c r="D568" s="211" t="s">
        <v>12</v>
      </c>
      <c r="E568" s="208">
        <v>43116</v>
      </c>
      <c r="F568" s="209">
        <v>6.61</v>
      </c>
      <c r="G568" s="210" t="s">
        <v>13</v>
      </c>
      <c r="H568" s="211" t="s">
        <v>18</v>
      </c>
      <c r="I568" s="210">
        <v>1</v>
      </c>
      <c r="J568" s="210" t="s">
        <v>15</v>
      </c>
      <c r="K568" s="210" t="s">
        <v>54</v>
      </c>
      <c r="L568" s="211" t="s">
        <v>60</v>
      </c>
      <c r="M568" s="211" t="s">
        <v>17</v>
      </c>
    </row>
    <row r="569" spans="1:13" x14ac:dyDescent="0.2">
      <c r="A569" s="211" t="s">
        <v>55</v>
      </c>
      <c r="B569" s="211" t="s">
        <v>58</v>
      </c>
      <c r="C569" s="211" t="s">
        <v>19</v>
      </c>
      <c r="D569" s="211" t="s">
        <v>12</v>
      </c>
      <c r="E569" s="208">
        <v>43116</v>
      </c>
      <c r="F569" s="221">
        <v>2113.033242</v>
      </c>
      <c r="G569" s="210" t="s">
        <v>16</v>
      </c>
      <c r="H569" s="211" t="s">
        <v>18</v>
      </c>
      <c r="I569" s="210">
        <v>1</v>
      </c>
      <c r="J569" s="210" t="s">
        <v>15</v>
      </c>
      <c r="K569" s="210" t="s">
        <v>54</v>
      </c>
      <c r="L569" s="211" t="s">
        <v>60</v>
      </c>
      <c r="M569" s="211" t="s">
        <v>17</v>
      </c>
    </row>
    <row r="570" spans="1:13" x14ac:dyDescent="0.2">
      <c r="A570" s="211" t="s">
        <v>55</v>
      </c>
      <c r="B570" s="211" t="s">
        <v>58</v>
      </c>
      <c r="C570" s="211" t="s">
        <v>19</v>
      </c>
      <c r="D570" s="211" t="s">
        <v>12</v>
      </c>
      <c r="E570" s="208">
        <v>43115</v>
      </c>
      <c r="F570" s="209">
        <v>18.3304489</v>
      </c>
      <c r="G570" s="210" t="s">
        <v>13</v>
      </c>
      <c r="H570" s="211" t="s">
        <v>14</v>
      </c>
      <c r="I570" s="210">
        <v>1</v>
      </c>
      <c r="J570" s="210" t="s">
        <v>15</v>
      </c>
      <c r="K570" s="210" t="s">
        <v>54</v>
      </c>
      <c r="L570" s="211" t="s">
        <v>60</v>
      </c>
      <c r="M570" s="211" t="s">
        <v>56</v>
      </c>
    </row>
    <row r="571" spans="1:13" x14ac:dyDescent="0.2">
      <c r="A571" s="211" t="s">
        <v>55</v>
      </c>
      <c r="B571" s="211" t="s">
        <v>58</v>
      </c>
      <c r="C571" s="211" t="s">
        <v>19</v>
      </c>
      <c r="D571" s="211" t="s">
        <v>12</v>
      </c>
      <c r="E571" s="208">
        <v>43115</v>
      </c>
      <c r="F571" s="221">
        <v>6095.1638999999996</v>
      </c>
      <c r="G571" s="210" t="s">
        <v>16</v>
      </c>
      <c r="H571" s="211" t="s">
        <v>14</v>
      </c>
      <c r="I571" s="210">
        <v>1</v>
      </c>
      <c r="J571" s="210" t="s">
        <v>15</v>
      </c>
      <c r="K571" s="210" t="s">
        <v>54</v>
      </c>
      <c r="L571" s="211" t="s">
        <v>60</v>
      </c>
      <c r="M571" s="211" t="s">
        <v>56</v>
      </c>
    </row>
    <row r="572" spans="1:13" x14ac:dyDescent="0.2">
      <c r="A572" s="211" t="s">
        <v>55</v>
      </c>
      <c r="B572" s="211" t="s">
        <v>58</v>
      </c>
      <c r="C572" s="211" t="s">
        <v>19</v>
      </c>
      <c r="D572" s="211" t="s">
        <v>12</v>
      </c>
      <c r="E572" s="208">
        <v>43115</v>
      </c>
      <c r="F572" s="209">
        <v>8.3699999999999992</v>
      </c>
      <c r="G572" s="210" t="s">
        <v>13</v>
      </c>
      <c r="H572" s="211" t="s">
        <v>18</v>
      </c>
      <c r="I572" s="210">
        <v>1</v>
      </c>
      <c r="J572" s="210" t="s">
        <v>15</v>
      </c>
      <c r="K572" s="210" t="s">
        <v>54</v>
      </c>
      <c r="L572" s="211" t="s">
        <v>60</v>
      </c>
      <c r="M572" s="211" t="s">
        <v>17</v>
      </c>
    </row>
    <row r="573" spans="1:13" x14ac:dyDescent="0.2">
      <c r="A573" s="211" t="s">
        <v>55</v>
      </c>
      <c r="B573" s="211" t="s">
        <v>58</v>
      </c>
      <c r="C573" s="211" t="s">
        <v>19</v>
      </c>
      <c r="D573" s="211" t="s">
        <v>12</v>
      </c>
      <c r="E573" s="208">
        <v>43115</v>
      </c>
      <c r="F573" s="221">
        <v>2783.1572460000002</v>
      </c>
      <c r="G573" s="210" t="s">
        <v>16</v>
      </c>
      <c r="H573" s="211" t="s">
        <v>18</v>
      </c>
      <c r="I573" s="210">
        <v>1</v>
      </c>
      <c r="J573" s="210" t="s">
        <v>15</v>
      </c>
      <c r="K573" s="210" t="s">
        <v>54</v>
      </c>
      <c r="L573" s="211" t="s">
        <v>60</v>
      </c>
      <c r="M573" s="211" t="s">
        <v>17</v>
      </c>
    </row>
    <row r="574" spans="1:13" x14ac:dyDescent="0.2">
      <c r="A574" s="211" t="s">
        <v>55</v>
      </c>
      <c r="B574" s="211" t="s">
        <v>58</v>
      </c>
      <c r="C574" s="211" t="s">
        <v>19</v>
      </c>
      <c r="D574" s="211" t="s">
        <v>12</v>
      </c>
      <c r="E574" s="208">
        <v>43114</v>
      </c>
      <c r="F574" s="209">
        <v>16.7621371</v>
      </c>
      <c r="G574" s="210" t="s">
        <v>13</v>
      </c>
      <c r="H574" s="211" t="s">
        <v>14</v>
      </c>
      <c r="I574" s="210">
        <v>1</v>
      </c>
      <c r="J574" s="210" t="s">
        <v>15</v>
      </c>
      <c r="K574" s="210" t="s">
        <v>54</v>
      </c>
      <c r="L574" s="211" t="s">
        <v>60</v>
      </c>
      <c r="M574" s="211" t="s">
        <v>56</v>
      </c>
    </row>
    <row r="575" spans="1:13" x14ac:dyDescent="0.2">
      <c r="A575" s="211" t="s">
        <v>55</v>
      </c>
      <c r="B575" s="211" t="s">
        <v>58</v>
      </c>
      <c r="C575" s="211" t="s">
        <v>19</v>
      </c>
      <c r="D575" s="211" t="s">
        <v>12</v>
      </c>
      <c r="E575" s="208">
        <v>43114</v>
      </c>
      <c r="F575" s="221">
        <v>5442.2669999999998</v>
      </c>
      <c r="G575" s="210" t="s">
        <v>16</v>
      </c>
      <c r="H575" s="211" t="s">
        <v>14</v>
      </c>
      <c r="I575" s="210">
        <v>1</v>
      </c>
      <c r="J575" s="210" t="s">
        <v>15</v>
      </c>
      <c r="K575" s="210" t="s">
        <v>54</v>
      </c>
      <c r="L575" s="211" t="s">
        <v>60</v>
      </c>
      <c r="M575" s="211" t="s">
        <v>56</v>
      </c>
    </row>
    <row r="576" spans="1:13" x14ac:dyDescent="0.2">
      <c r="A576" s="211" t="s">
        <v>55</v>
      </c>
      <c r="B576" s="211" t="s">
        <v>58</v>
      </c>
      <c r="C576" s="211" t="s">
        <v>19</v>
      </c>
      <c r="D576" s="211" t="s">
        <v>12</v>
      </c>
      <c r="E576" s="208">
        <v>43114</v>
      </c>
      <c r="F576" s="209">
        <v>7.71</v>
      </c>
      <c r="G576" s="210" t="s">
        <v>13</v>
      </c>
      <c r="H576" s="211" t="s">
        <v>18</v>
      </c>
      <c r="I576" s="210">
        <v>1</v>
      </c>
      <c r="J576" s="210" t="s">
        <v>15</v>
      </c>
      <c r="K576" s="210" t="s">
        <v>54</v>
      </c>
      <c r="L576" s="211" t="s">
        <v>60</v>
      </c>
      <c r="M576" s="211" t="s">
        <v>17</v>
      </c>
    </row>
    <row r="577" spans="1:13" x14ac:dyDescent="0.2">
      <c r="A577" s="211" t="s">
        <v>55</v>
      </c>
      <c r="B577" s="211" t="s">
        <v>58</v>
      </c>
      <c r="C577" s="211" t="s">
        <v>19</v>
      </c>
      <c r="D577" s="211" t="s">
        <v>12</v>
      </c>
      <c r="E577" s="208">
        <v>43114</v>
      </c>
      <c r="F577" s="221">
        <v>2503.253502</v>
      </c>
      <c r="G577" s="210" t="s">
        <v>16</v>
      </c>
      <c r="H577" s="211" t="s">
        <v>18</v>
      </c>
      <c r="I577" s="210">
        <v>1</v>
      </c>
      <c r="J577" s="210" t="s">
        <v>15</v>
      </c>
      <c r="K577" s="210" t="s">
        <v>54</v>
      </c>
      <c r="L577" s="211" t="s">
        <v>60</v>
      </c>
      <c r="M577" s="211" t="s">
        <v>17</v>
      </c>
    </row>
    <row r="578" spans="1:13" x14ac:dyDescent="0.2">
      <c r="A578" s="211" t="s">
        <v>55</v>
      </c>
      <c r="B578" s="211" t="s">
        <v>58</v>
      </c>
      <c r="C578" s="211" t="s">
        <v>19</v>
      </c>
      <c r="D578" s="211" t="s">
        <v>12</v>
      </c>
      <c r="E578" s="208">
        <v>43113</v>
      </c>
      <c r="F578" s="209">
        <v>19.1026548</v>
      </c>
      <c r="G578" s="210" t="s">
        <v>13</v>
      </c>
      <c r="H578" s="211" t="s">
        <v>14</v>
      </c>
      <c r="I578" s="210">
        <v>1</v>
      </c>
      <c r="J578" s="210" t="s">
        <v>15</v>
      </c>
      <c r="K578" s="210" t="s">
        <v>54</v>
      </c>
      <c r="L578" s="211" t="s">
        <v>60</v>
      </c>
      <c r="M578" s="211" t="s">
        <v>56</v>
      </c>
    </row>
    <row r="579" spans="1:13" x14ac:dyDescent="0.2">
      <c r="A579" s="211" t="s">
        <v>55</v>
      </c>
      <c r="B579" s="211" t="s">
        <v>58</v>
      </c>
      <c r="C579" s="211" t="s">
        <v>19</v>
      </c>
      <c r="D579" s="211" t="s">
        <v>12</v>
      </c>
      <c r="E579" s="208">
        <v>43113</v>
      </c>
      <c r="F579" s="221">
        <v>6300.9534000000003</v>
      </c>
      <c r="G579" s="210" t="s">
        <v>16</v>
      </c>
      <c r="H579" s="211" t="s">
        <v>14</v>
      </c>
      <c r="I579" s="210">
        <v>1</v>
      </c>
      <c r="J579" s="210" t="s">
        <v>15</v>
      </c>
      <c r="K579" s="210" t="s">
        <v>54</v>
      </c>
      <c r="L579" s="211" t="s">
        <v>60</v>
      </c>
      <c r="M579" s="211" t="s">
        <v>56</v>
      </c>
    </row>
    <row r="580" spans="1:13" x14ac:dyDescent="0.2">
      <c r="A580" s="211" t="s">
        <v>55</v>
      </c>
      <c r="B580" s="211" t="s">
        <v>58</v>
      </c>
      <c r="C580" s="211" t="s">
        <v>19</v>
      </c>
      <c r="D580" s="211" t="s">
        <v>12</v>
      </c>
      <c r="E580" s="208">
        <v>43113</v>
      </c>
      <c r="F580" s="209">
        <v>7.5</v>
      </c>
      <c r="G580" s="210" t="s">
        <v>13</v>
      </c>
      <c r="H580" s="211" t="s">
        <v>18</v>
      </c>
      <c r="I580" s="210">
        <v>1</v>
      </c>
      <c r="J580" s="210" t="s">
        <v>15</v>
      </c>
      <c r="K580" s="210" t="s">
        <v>54</v>
      </c>
      <c r="L580" s="211" t="s">
        <v>60</v>
      </c>
      <c r="M580" s="211" t="s">
        <v>17</v>
      </c>
    </row>
    <row r="581" spans="1:13" x14ac:dyDescent="0.2">
      <c r="A581" s="211" t="s">
        <v>55</v>
      </c>
      <c r="B581" s="211" t="s">
        <v>58</v>
      </c>
      <c r="C581" s="211" t="s">
        <v>19</v>
      </c>
      <c r="D581" s="211" t="s">
        <v>12</v>
      </c>
      <c r="E581" s="208">
        <v>43113</v>
      </c>
      <c r="F581" s="221">
        <v>2473.8525</v>
      </c>
      <c r="G581" s="210" t="s">
        <v>16</v>
      </c>
      <c r="H581" s="211" t="s">
        <v>18</v>
      </c>
      <c r="I581" s="210">
        <v>1</v>
      </c>
      <c r="J581" s="210" t="s">
        <v>15</v>
      </c>
      <c r="K581" s="210" t="s">
        <v>54</v>
      </c>
      <c r="L581" s="211" t="s">
        <v>60</v>
      </c>
      <c r="M581" s="211" t="s">
        <v>17</v>
      </c>
    </row>
    <row r="582" spans="1:13" x14ac:dyDescent="0.2">
      <c r="A582" s="211" t="s">
        <v>55</v>
      </c>
      <c r="B582" s="211" t="s">
        <v>58</v>
      </c>
      <c r="C582" s="211" t="s">
        <v>19</v>
      </c>
      <c r="D582" s="211" t="s">
        <v>12</v>
      </c>
      <c r="E582" s="208">
        <v>43112</v>
      </c>
      <c r="F582" s="209">
        <v>19.216516500000001</v>
      </c>
      <c r="G582" s="210" t="s">
        <v>13</v>
      </c>
      <c r="H582" s="211" t="s">
        <v>14</v>
      </c>
      <c r="I582" s="210">
        <v>1</v>
      </c>
      <c r="J582" s="210" t="s">
        <v>15</v>
      </c>
      <c r="K582" s="210" t="s">
        <v>54</v>
      </c>
      <c r="L582" s="211" t="s">
        <v>60</v>
      </c>
      <c r="M582" s="211" t="s">
        <v>56</v>
      </c>
    </row>
    <row r="583" spans="1:13" x14ac:dyDescent="0.2">
      <c r="A583" s="211" t="s">
        <v>55</v>
      </c>
      <c r="B583" s="211" t="s">
        <v>58</v>
      </c>
      <c r="C583" s="211" t="s">
        <v>19</v>
      </c>
      <c r="D583" s="211" t="s">
        <v>12</v>
      </c>
      <c r="E583" s="208">
        <v>43112</v>
      </c>
      <c r="F583" s="221">
        <v>6229.5296399999997</v>
      </c>
      <c r="G583" s="210" t="s">
        <v>16</v>
      </c>
      <c r="H583" s="211" t="s">
        <v>14</v>
      </c>
      <c r="I583" s="210">
        <v>1</v>
      </c>
      <c r="J583" s="210" t="s">
        <v>15</v>
      </c>
      <c r="K583" s="210" t="s">
        <v>54</v>
      </c>
      <c r="L583" s="211" t="s">
        <v>60</v>
      </c>
      <c r="M583" s="211" t="s">
        <v>56</v>
      </c>
    </row>
    <row r="584" spans="1:13" x14ac:dyDescent="0.2">
      <c r="A584" s="211" t="s">
        <v>55</v>
      </c>
      <c r="B584" s="211" t="s">
        <v>58</v>
      </c>
      <c r="C584" s="211" t="s">
        <v>19</v>
      </c>
      <c r="D584" s="211" t="s">
        <v>12</v>
      </c>
      <c r="E584" s="208">
        <v>43112</v>
      </c>
      <c r="F584" s="209">
        <v>7.55</v>
      </c>
      <c r="G584" s="210" t="s">
        <v>13</v>
      </c>
      <c r="H584" s="211" t="s">
        <v>18</v>
      </c>
      <c r="I584" s="210">
        <v>1</v>
      </c>
      <c r="J584" s="210" t="s">
        <v>15</v>
      </c>
      <c r="K584" s="210" t="s">
        <v>54</v>
      </c>
      <c r="L584" s="211" t="s">
        <v>60</v>
      </c>
      <c r="M584" s="211" t="s">
        <v>17</v>
      </c>
    </row>
    <row r="585" spans="1:13" x14ac:dyDescent="0.2">
      <c r="A585" s="211" t="s">
        <v>55</v>
      </c>
      <c r="B585" s="211" t="s">
        <v>58</v>
      </c>
      <c r="C585" s="211" t="s">
        <v>19</v>
      </c>
      <c r="D585" s="211" t="s">
        <v>12</v>
      </c>
      <c r="E585" s="208">
        <v>43112</v>
      </c>
      <c r="F585" s="221">
        <v>2447.52729</v>
      </c>
      <c r="G585" s="210" t="s">
        <v>16</v>
      </c>
      <c r="H585" s="211" t="s">
        <v>18</v>
      </c>
      <c r="I585" s="210">
        <v>1</v>
      </c>
      <c r="J585" s="210" t="s">
        <v>15</v>
      </c>
      <c r="K585" s="210" t="s">
        <v>54</v>
      </c>
      <c r="L585" s="211" t="s">
        <v>60</v>
      </c>
      <c r="M585" s="211" t="s">
        <v>17</v>
      </c>
    </row>
    <row r="586" spans="1:13" x14ac:dyDescent="0.2">
      <c r="A586" s="211" t="s">
        <v>55</v>
      </c>
      <c r="B586" s="211" t="s">
        <v>58</v>
      </c>
      <c r="C586" s="211" t="s">
        <v>19</v>
      </c>
      <c r="D586" s="211" t="s">
        <v>12</v>
      </c>
      <c r="E586" s="208">
        <v>43111</v>
      </c>
      <c r="F586" s="209">
        <v>17.625534600000002</v>
      </c>
      <c r="G586" s="210" t="s">
        <v>13</v>
      </c>
      <c r="H586" s="211" t="s">
        <v>14</v>
      </c>
      <c r="I586" s="210">
        <v>1</v>
      </c>
      <c r="J586" s="210" t="s">
        <v>15</v>
      </c>
      <c r="K586" s="210" t="s">
        <v>54</v>
      </c>
      <c r="L586" s="211" t="s">
        <v>60</v>
      </c>
      <c r="M586" s="211" t="s">
        <v>56</v>
      </c>
    </row>
    <row r="587" spans="1:13" x14ac:dyDescent="0.2">
      <c r="A587" s="211" t="s">
        <v>55</v>
      </c>
      <c r="B587" s="211" t="s">
        <v>58</v>
      </c>
      <c r="C587" s="211" t="s">
        <v>19</v>
      </c>
      <c r="D587" s="211" t="s">
        <v>12</v>
      </c>
      <c r="E587" s="208">
        <v>43111</v>
      </c>
      <c r="F587" s="221">
        <v>5704.9519799999998</v>
      </c>
      <c r="G587" s="210" t="s">
        <v>16</v>
      </c>
      <c r="H587" s="211" t="s">
        <v>14</v>
      </c>
      <c r="I587" s="210">
        <v>1</v>
      </c>
      <c r="J587" s="210" t="s">
        <v>15</v>
      </c>
      <c r="K587" s="210" t="s">
        <v>54</v>
      </c>
      <c r="L587" s="211" t="s">
        <v>60</v>
      </c>
      <c r="M587" s="211" t="s">
        <v>56</v>
      </c>
    </row>
    <row r="588" spans="1:13" x14ac:dyDescent="0.2">
      <c r="A588" s="211" t="s">
        <v>55</v>
      </c>
      <c r="B588" s="211" t="s">
        <v>58</v>
      </c>
      <c r="C588" s="211" t="s">
        <v>19</v>
      </c>
      <c r="D588" s="211" t="s">
        <v>12</v>
      </c>
      <c r="E588" s="208">
        <v>43111</v>
      </c>
      <c r="F588" s="209">
        <v>9.01</v>
      </c>
      <c r="G588" s="210" t="s">
        <v>13</v>
      </c>
      <c r="H588" s="211" t="s">
        <v>18</v>
      </c>
      <c r="I588" s="210">
        <v>1</v>
      </c>
      <c r="J588" s="210" t="s">
        <v>15</v>
      </c>
      <c r="K588" s="210" t="s">
        <v>54</v>
      </c>
      <c r="L588" s="211" t="s">
        <v>60</v>
      </c>
      <c r="M588" s="211" t="s">
        <v>17</v>
      </c>
    </row>
    <row r="589" spans="1:13" x14ac:dyDescent="0.2">
      <c r="A589" s="211" t="s">
        <v>55</v>
      </c>
      <c r="B589" s="211" t="s">
        <v>58</v>
      </c>
      <c r="C589" s="211" t="s">
        <v>19</v>
      </c>
      <c r="D589" s="211" t="s">
        <v>12</v>
      </c>
      <c r="E589" s="208">
        <v>43111</v>
      </c>
      <c r="F589" s="221">
        <v>2916.3153539999998</v>
      </c>
      <c r="G589" s="210" t="s">
        <v>16</v>
      </c>
      <c r="H589" s="211" t="s">
        <v>18</v>
      </c>
      <c r="I589" s="210">
        <v>1</v>
      </c>
      <c r="J589" s="210" t="s">
        <v>15</v>
      </c>
      <c r="K589" s="210" t="s">
        <v>54</v>
      </c>
      <c r="L589" s="211" t="s">
        <v>60</v>
      </c>
      <c r="M589" s="211" t="s">
        <v>17</v>
      </c>
    </row>
    <row r="590" spans="1:13" x14ac:dyDescent="0.2">
      <c r="A590" s="211" t="s">
        <v>55</v>
      </c>
      <c r="B590" s="211" t="s">
        <v>58</v>
      </c>
      <c r="C590" s="211" t="s">
        <v>19</v>
      </c>
      <c r="D590" s="211" t="s">
        <v>12</v>
      </c>
      <c r="E590" s="208">
        <v>43110</v>
      </c>
      <c r="F590" s="209">
        <v>19.329411700000001</v>
      </c>
      <c r="G590" s="210" t="s">
        <v>13</v>
      </c>
      <c r="H590" s="211" t="s">
        <v>14</v>
      </c>
      <c r="I590" s="210">
        <v>1</v>
      </c>
      <c r="J590" s="210" t="s">
        <v>15</v>
      </c>
      <c r="K590" s="210" t="s">
        <v>54</v>
      </c>
      <c r="L590" s="211" t="s">
        <v>60</v>
      </c>
      <c r="M590" s="211" t="s">
        <v>56</v>
      </c>
    </row>
    <row r="591" spans="1:13" x14ac:dyDescent="0.2">
      <c r="A591" s="211" t="s">
        <v>55</v>
      </c>
      <c r="B591" s="211" t="s">
        <v>58</v>
      </c>
      <c r="C591" s="211" t="s">
        <v>19</v>
      </c>
      <c r="D591" s="211" t="s">
        <v>12</v>
      </c>
      <c r="E591" s="208">
        <v>43110</v>
      </c>
      <c r="F591" s="221">
        <v>6577.2575999999999</v>
      </c>
      <c r="G591" s="210" t="s">
        <v>16</v>
      </c>
      <c r="H591" s="211" t="s">
        <v>14</v>
      </c>
      <c r="I591" s="210">
        <v>1</v>
      </c>
      <c r="J591" s="210" t="s">
        <v>15</v>
      </c>
      <c r="K591" s="210" t="s">
        <v>54</v>
      </c>
      <c r="L591" s="211" t="s">
        <v>60</v>
      </c>
      <c r="M591" s="211" t="s">
        <v>56</v>
      </c>
    </row>
    <row r="592" spans="1:13" x14ac:dyDescent="0.2">
      <c r="A592" s="211" t="s">
        <v>55</v>
      </c>
      <c r="B592" s="211" t="s">
        <v>58</v>
      </c>
      <c r="C592" s="211" t="s">
        <v>19</v>
      </c>
      <c r="D592" s="211" t="s">
        <v>12</v>
      </c>
      <c r="E592" s="208">
        <v>43110</v>
      </c>
      <c r="F592" s="209">
        <v>8.9600000000000009</v>
      </c>
      <c r="G592" s="210" t="s">
        <v>13</v>
      </c>
      <c r="H592" s="211" t="s">
        <v>18</v>
      </c>
      <c r="I592" s="210">
        <v>1</v>
      </c>
      <c r="J592" s="210" t="s">
        <v>15</v>
      </c>
      <c r="K592" s="210" t="s">
        <v>54</v>
      </c>
      <c r="L592" s="211" t="s">
        <v>60</v>
      </c>
      <c r="M592" s="211" t="s">
        <v>17</v>
      </c>
    </row>
    <row r="593" spans="1:13" x14ac:dyDescent="0.2">
      <c r="A593" s="211" t="s">
        <v>55</v>
      </c>
      <c r="B593" s="211" t="s">
        <v>58</v>
      </c>
      <c r="C593" s="211" t="s">
        <v>19</v>
      </c>
      <c r="D593" s="211" t="s">
        <v>12</v>
      </c>
      <c r="E593" s="208">
        <v>43110</v>
      </c>
      <c r="F593" s="221">
        <v>3048.8371200000001</v>
      </c>
      <c r="G593" s="210" t="s">
        <v>16</v>
      </c>
      <c r="H593" s="211" t="s">
        <v>18</v>
      </c>
      <c r="I593" s="210">
        <v>1</v>
      </c>
      <c r="J593" s="210" t="s">
        <v>15</v>
      </c>
      <c r="K593" s="210" t="s">
        <v>54</v>
      </c>
      <c r="L593" s="211" t="s">
        <v>60</v>
      </c>
      <c r="M593" s="211" t="s">
        <v>17</v>
      </c>
    </row>
    <row r="594" spans="1:13" x14ac:dyDescent="0.2">
      <c r="A594" s="211" t="s">
        <v>55</v>
      </c>
      <c r="B594" s="211" t="s">
        <v>58</v>
      </c>
      <c r="C594" s="211" t="s">
        <v>19</v>
      </c>
      <c r="D594" s="211" t="s">
        <v>12</v>
      </c>
      <c r="E594" s="208">
        <v>43109</v>
      </c>
      <c r="F594" s="209">
        <v>17.2375416</v>
      </c>
      <c r="G594" s="210" t="s">
        <v>13</v>
      </c>
      <c r="H594" s="211" t="s">
        <v>14</v>
      </c>
      <c r="I594" s="210">
        <v>1</v>
      </c>
      <c r="J594" s="210" t="s">
        <v>15</v>
      </c>
      <c r="K594" s="210" t="s">
        <v>54</v>
      </c>
      <c r="L594" s="211" t="s">
        <v>60</v>
      </c>
      <c r="M594" s="211" t="s">
        <v>56</v>
      </c>
    </row>
    <row r="595" spans="1:13" x14ac:dyDescent="0.2">
      <c r="A595" s="211" t="s">
        <v>55</v>
      </c>
      <c r="B595" s="211" t="s">
        <v>58</v>
      </c>
      <c r="C595" s="211" t="s">
        <v>19</v>
      </c>
      <c r="D595" s="211" t="s">
        <v>12</v>
      </c>
      <c r="E595" s="208">
        <v>43109</v>
      </c>
      <c r="F595" s="221">
        <v>6035.0908799999997</v>
      </c>
      <c r="G595" s="210" t="s">
        <v>16</v>
      </c>
      <c r="H595" s="211" t="s">
        <v>14</v>
      </c>
      <c r="I595" s="210">
        <v>1</v>
      </c>
      <c r="J595" s="210" t="s">
        <v>15</v>
      </c>
      <c r="K595" s="210" t="s">
        <v>54</v>
      </c>
      <c r="L595" s="211" t="s">
        <v>60</v>
      </c>
      <c r="M595" s="211" t="s">
        <v>56</v>
      </c>
    </row>
    <row r="596" spans="1:13" x14ac:dyDescent="0.2">
      <c r="A596" s="211" t="s">
        <v>55</v>
      </c>
      <c r="B596" s="211" t="s">
        <v>58</v>
      </c>
      <c r="C596" s="211" t="s">
        <v>19</v>
      </c>
      <c r="D596" s="211" t="s">
        <v>12</v>
      </c>
      <c r="E596" s="208">
        <v>43109</v>
      </c>
      <c r="F596" s="209">
        <v>8.5500000000000007</v>
      </c>
      <c r="G596" s="210" t="s">
        <v>13</v>
      </c>
      <c r="H596" s="211" t="s">
        <v>18</v>
      </c>
      <c r="I596" s="210">
        <v>1</v>
      </c>
      <c r="J596" s="210" t="s">
        <v>15</v>
      </c>
      <c r="K596" s="210" t="s">
        <v>54</v>
      </c>
      <c r="L596" s="211" t="s">
        <v>60</v>
      </c>
      <c r="M596" s="211" t="s">
        <v>17</v>
      </c>
    </row>
    <row r="597" spans="1:13" x14ac:dyDescent="0.2">
      <c r="A597" s="211" t="s">
        <v>55</v>
      </c>
      <c r="B597" s="211" t="s">
        <v>58</v>
      </c>
      <c r="C597" s="211" t="s">
        <v>19</v>
      </c>
      <c r="D597" s="211" t="s">
        <v>12</v>
      </c>
      <c r="E597" s="208">
        <v>43109</v>
      </c>
      <c r="F597" s="221">
        <v>2993.4678600000002</v>
      </c>
      <c r="G597" s="210" t="s">
        <v>16</v>
      </c>
      <c r="H597" s="211" t="s">
        <v>18</v>
      </c>
      <c r="I597" s="210">
        <v>1</v>
      </c>
      <c r="J597" s="210" t="s">
        <v>15</v>
      </c>
      <c r="K597" s="210" t="s">
        <v>54</v>
      </c>
      <c r="L597" s="211" t="s">
        <v>60</v>
      </c>
      <c r="M597" s="211" t="s">
        <v>17</v>
      </c>
    </row>
    <row r="598" spans="1:13" x14ac:dyDescent="0.2">
      <c r="A598" s="211" t="s">
        <v>55</v>
      </c>
      <c r="B598" s="211" t="s">
        <v>58</v>
      </c>
      <c r="C598" s="211" t="s">
        <v>19</v>
      </c>
      <c r="D598" s="211" t="s">
        <v>12</v>
      </c>
      <c r="E598" s="208">
        <v>43108</v>
      </c>
      <c r="F598" s="209">
        <v>19.0193771</v>
      </c>
      <c r="G598" s="210" t="s">
        <v>13</v>
      </c>
      <c r="H598" s="211" t="s">
        <v>14</v>
      </c>
      <c r="I598" s="210">
        <v>1</v>
      </c>
      <c r="J598" s="210" t="s">
        <v>15</v>
      </c>
      <c r="K598" s="210" t="s">
        <v>54</v>
      </c>
      <c r="L598" s="211" t="s">
        <v>60</v>
      </c>
      <c r="M598" s="211" t="s">
        <v>56</v>
      </c>
    </row>
    <row r="599" spans="1:13" x14ac:dyDescent="0.2">
      <c r="A599" s="211" t="s">
        <v>55</v>
      </c>
      <c r="B599" s="211" t="s">
        <v>58</v>
      </c>
      <c r="C599" s="211" t="s">
        <v>19</v>
      </c>
      <c r="D599" s="211" t="s">
        <v>12</v>
      </c>
      <c r="E599" s="208">
        <v>43108</v>
      </c>
      <c r="F599" s="221">
        <v>6876.2466000000004</v>
      </c>
      <c r="G599" s="210" t="s">
        <v>16</v>
      </c>
      <c r="H599" s="211" t="s">
        <v>14</v>
      </c>
      <c r="I599" s="210">
        <v>1</v>
      </c>
      <c r="J599" s="210" t="s">
        <v>15</v>
      </c>
      <c r="K599" s="210" t="s">
        <v>54</v>
      </c>
      <c r="L599" s="211" t="s">
        <v>60</v>
      </c>
      <c r="M599" s="211" t="s">
        <v>56</v>
      </c>
    </row>
    <row r="600" spans="1:13" x14ac:dyDescent="0.2">
      <c r="A600" s="211" t="s">
        <v>55</v>
      </c>
      <c r="B600" s="211" t="s">
        <v>58</v>
      </c>
      <c r="C600" s="211" t="s">
        <v>19</v>
      </c>
      <c r="D600" s="211" t="s">
        <v>12</v>
      </c>
      <c r="E600" s="208">
        <v>43108</v>
      </c>
      <c r="F600" s="209">
        <v>9.0500000000000007</v>
      </c>
      <c r="G600" s="210" t="s">
        <v>13</v>
      </c>
      <c r="H600" s="211" t="s">
        <v>18</v>
      </c>
      <c r="I600" s="210">
        <v>1</v>
      </c>
      <c r="J600" s="210" t="s">
        <v>15</v>
      </c>
      <c r="K600" s="210" t="s">
        <v>54</v>
      </c>
      <c r="L600" s="211" t="s">
        <v>60</v>
      </c>
      <c r="M600" s="211" t="s">
        <v>17</v>
      </c>
    </row>
    <row r="601" spans="1:13" x14ac:dyDescent="0.2">
      <c r="A601" s="211" t="s">
        <v>55</v>
      </c>
      <c r="B601" s="211" t="s">
        <v>58</v>
      </c>
      <c r="C601" s="211" t="s">
        <v>19</v>
      </c>
      <c r="D601" s="211" t="s">
        <v>12</v>
      </c>
      <c r="E601" s="208">
        <v>43108</v>
      </c>
      <c r="F601" s="221">
        <v>3271.9279499999998</v>
      </c>
      <c r="G601" s="210" t="s">
        <v>16</v>
      </c>
      <c r="H601" s="211" t="s">
        <v>18</v>
      </c>
      <c r="I601" s="210">
        <v>1</v>
      </c>
      <c r="J601" s="210" t="s">
        <v>15</v>
      </c>
      <c r="K601" s="210" t="s">
        <v>54</v>
      </c>
      <c r="L601" s="211" t="s">
        <v>60</v>
      </c>
      <c r="M601" s="211" t="s">
        <v>17</v>
      </c>
    </row>
    <row r="602" spans="1:13" x14ac:dyDescent="0.2">
      <c r="A602" s="211" t="s">
        <v>55</v>
      </c>
      <c r="B602" s="211" t="s">
        <v>58</v>
      </c>
      <c r="C602" s="211" t="s">
        <v>19</v>
      </c>
      <c r="D602" s="211" t="s">
        <v>12</v>
      </c>
      <c r="E602" s="208">
        <v>43107</v>
      </c>
      <c r="F602" s="209">
        <v>16.4969924</v>
      </c>
      <c r="G602" s="210" t="s">
        <v>13</v>
      </c>
      <c r="H602" s="211" t="s">
        <v>14</v>
      </c>
      <c r="I602" s="210">
        <v>1</v>
      </c>
      <c r="J602" s="210" t="s">
        <v>15</v>
      </c>
      <c r="K602" s="210" t="s">
        <v>54</v>
      </c>
      <c r="L602" s="211" t="s">
        <v>60</v>
      </c>
      <c r="M602" s="211" t="s">
        <v>56</v>
      </c>
    </row>
    <row r="603" spans="1:13" x14ac:dyDescent="0.2">
      <c r="A603" s="211" t="s">
        <v>55</v>
      </c>
      <c r="B603" s="211" t="s">
        <v>58</v>
      </c>
      <c r="C603" s="211" t="s">
        <v>19</v>
      </c>
      <c r="D603" s="211" t="s">
        <v>12</v>
      </c>
      <c r="E603" s="208">
        <v>43107</v>
      </c>
      <c r="F603" s="221">
        <v>5855.6140800000003</v>
      </c>
      <c r="G603" s="210" t="s">
        <v>16</v>
      </c>
      <c r="H603" s="211" t="s">
        <v>14</v>
      </c>
      <c r="I603" s="210">
        <v>1</v>
      </c>
      <c r="J603" s="210" t="s">
        <v>15</v>
      </c>
      <c r="K603" s="210" t="s">
        <v>54</v>
      </c>
      <c r="L603" s="211" t="s">
        <v>60</v>
      </c>
      <c r="M603" s="211" t="s">
        <v>56</v>
      </c>
    </row>
    <row r="604" spans="1:13" x14ac:dyDescent="0.2">
      <c r="A604" s="211" t="s">
        <v>55</v>
      </c>
      <c r="B604" s="211" t="s">
        <v>58</v>
      </c>
      <c r="C604" s="211" t="s">
        <v>19</v>
      </c>
      <c r="D604" s="211" t="s">
        <v>12</v>
      </c>
      <c r="E604" s="208">
        <v>43107</v>
      </c>
      <c r="F604" s="209">
        <v>9.36</v>
      </c>
      <c r="G604" s="210" t="s">
        <v>13</v>
      </c>
      <c r="H604" s="211" t="s">
        <v>18</v>
      </c>
      <c r="I604" s="210">
        <v>1</v>
      </c>
      <c r="J604" s="210" t="s">
        <v>15</v>
      </c>
      <c r="K604" s="210" t="s">
        <v>54</v>
      </c>
      <c r="L604" s="211" t="s">
        <v>60</v>
      </c>
      <c r="M604" s="211" t="s">
        <v>17</v>
      </c>
    </row>
    <row r="605" spans="1:13" x14ac:dyDescent="0.2">
      <c r="A605" s="211" t="s">
        <v>55</v>
      </c>
      <c r="B605" s="211" t="s">
        <v>58</v>
      </c>
      <c r="C605" s="211" t="s">
        <v>19</v>
      </c>
      <c r="D605" s="211" t="s">
        <v>12</v>
      </c>
      <c r="E605" s="208">
        <v>43107</v>
      </c>
      <c r="F605" s="221">
        <v>3322.335744</v>
      </c>
      <c r="G605" s="210" t="s">
        <v>16</v>
      </c>
      <c r="H605" s="211" t="s">
        <v>18</v>
      </c>
      <c r="I605" s="210">
        <v>1</v>
      </c>
      <c r="J605" s="210" t="s">
        <v>15</v>
      </c>
      <c r="K605" s="210" t="s">
        <v>54</v>
      </c>
      <c r="L605" s="211" t="s">
        <v>60</v>
      </c>
      <c r="M605" s="211" t="s">
        <v>17</v>
      </c>
    </row>
    <row r="606" spans="1:13" x14ac:dyDescent="0.2">
      <c r="A606" s="211" t="s">
        <v>55</v>
      </c>
      <c r="B606" s="211" t="s">
        <v>58</v>
      </c>
      <c r="C606" s="211" t="s">
        <v>19</v>
      </c>
      <c r="D606" s="211" t="s">
        <v>12</v>
      </c>
      <c r="E606" s="208">
        <v>43106</v>
      </c>
      <c r="F606" s="209">
        <v>20.504926699999999</v>
      </c>
      <c r="G606" s="210" t="s">
        <v>13</v>
      </c>
      <c r="H606" s="211" t="s">
        <v>14</v>
      </c>
      <c r="I606" s="210">
        <v>1</v>
      </c>
      <c r="J606" s="210" t="s">
        <v>15</v>
      </c>
      <c r="K606" s="210" t="s">
        <v>54</v>
      </c>
      <c r="L606" s="211" t="s">
        <v>60</v>
      </c>
      <c r="M606" s="211" t="s">
        <v>56</v>
      </c>
    </row>
    <row r="607" spans="1:13" x14ac:dyDescent="0.2">
      <c r="A607" s="211" t="s">
        <v>55</v>
      </c>
      <c r="B607" s="211" t="s">
        <v>58</v>
      </c>
      <c r="C607" s="211" t="s">
        <v>19</v>
      </c>
      <c r="D607" s="211" t="s">
        <v>12</v>
      </c>
      <c r="E607" s="208">
        <v>43106</v>
      </c>
      <c r="F607" s="221">
        <v>6421.4664000000002</v>
      </c>
      <c r="G607" s="210" t="s">
        <v>16</v>
      </c>
      <c r="H607" s="211" t="s">
        <v>14</v>
      </c>
      <c r="I607" s="210">
        <v>1</v>
      </c>
      <c r="J607" s="210" t="s">
        <v>15</v>
      </c>
      <c r="K607" s="210" t="s">
        <v>54</v>
      </c>
      <c r="L607" s="211" t="s">
        <v>60</v>
      </c>
      <c r="M607" s="211" t="s">
        <v>56</v>
      </c>
    </row>
    <row r="608" spans="1:13" x14ac:dyDescent="0.2">
      <c r="A608" s="211" t="s">
        <v>55</v>
      </c>
      <c r="B608" s="211" t="s">
        <v>58</v>
      </c>
      <c r="C608" s="211" t="s">
        <v>19</v>
      </c>
      <c r="D608" s="211" t="s">
        <v>12</v>
      </c>
      <c r="E608" s="208">
        <v>43106</v>
      </c>
      <c r="F608" s="209">
        <v>9.94</v>
      </c>
      <c r="G608" s="210" t="s">
        <v>13</v>
      </c>
      <c r="H608" s="211" t="s">
        <v>18</v>
      </c>
      <c r="I608" s="210">
        <v>1</v>
      </c>
      <c r="J608" s="210" t="s">
        <v>15</v>
      </c>
      <c r="K608" s="210" t="s">
        <v>54</v>
      </c>
      <c r="L608" s="211" t="s">
        <v>60</v>
      </c>
      <c r="M608" s="211" t="s">
        <v>17</v>
      </c>
    </row>
    <row r="609" spans="1:13" x14ac:dyDescent="0.2">
      <c r="A609" s="211" t="s">
        <v>55</v>
      </c>
      <c r="B609" s="211" t="s">
        <v>58</v>
      </c>
      <c r="C609" s="211" t="s">
        <v>19</v>
      </c>
      <c r="D609" s="211" t="s">
        <v>12</v>
      </c>
      <c r="E609" s="208">
        <v>43106</v>
      </c>
      <c r="F609" s="221">
        <v>3112.8799800000002</v>
      </c>
      <c r="G609" s="210" t="s">
        <v>16</v>
      </c>
      <c r="H609" s="211" t="s">
        <v>18</v>
      </c>
      <c r="I609" s="210">
        <v>1</v>
      </c>
      <c r="J609" s="210" t="s">
        <v>15</v>
      </c>
      <c r="K609" s="210" t="s">
        <v>54</v>
      </c>
      <c r="L609" s="211" t="s">
        <v>60</v>
      </c>
      <c r="M609" s="211" t="s">
        <v>17</v>
      </c>
    </row>
    <row r="610" spans="1:13" x14ac:dyDescent="0.2">
      <c r="A610" s="211" t="s">
        <v>55</v>
      </c>
      <c r="B610" s="211" t="s">
        <v>58</v>
      </c>
      <c r="C610" s="211" t="s">
        <v>19</v>
      </c>
      <c r="D610" s="211" t="s">
        <v>12</v>
      </c>
      <c r="E610" s="208">
        <v>43105</v>
      </c>
      <c r="F610" s="209">
        <v>20.501042999999999</v>
      </c>
      <c r="G610" s="210" t="s">
        <v>13</v>
      </c>
      <c r="H610" s="211" t="s">
        <v>14</v>
      </c>
      <c r="I610" s="210">
        <v>1</v>
      </c>
      <c r="J610" s="210" t="s">
        <v>15</v>
      </c>
      <c r="K610" s="210" t="s">
        <v>54</v>
      </c>
      <c r="L610" s="211" t="s">
        <v>60</v>
      </c>
      <c r="M610" s="211" t="s">
        <v>56</v>
      </c>
    </row>
    <row r="611" spans="1:13" x14ac:dyDescent="0.2">
      <c r="A611" s="211" t="s">
        <v>55</v>
      </c>
      <c r="B611" s="211" t="s">
        <v>58</v>
      </c>
      <c r="C611" s="211" t="s">
        <v>19</v>
      </c>
      <c r="D611" s="211" t="s">
        <v>12</v>
      </c>
      <c r="E611" s="208">
        <v>43105</v>
      </c>
      <c r="F611" s="221">
        <v>6557.0330999999996</v>
      </c>
      <c r="G611" s="210" t="s">
        <v>16</v>
      </c>
      <c r="H611" s="211" t="s">
        <v>14</v>
      </c>
      <c r="I611" s="210">
        <v>1</v>
      </c>
      <c r="J611" s="210" t="s">
        <v>15</v>
      </c>
      <c r="K611" s="210" t="s">
        <v>54</v>
      </c>
      <c r="L611" s="211" t="s">
        <v>60</v>
      </c>
      <c r="M611" s="211" t="s">
        <v>56</v>
      </c>
    </row>
    <row r="612" spans="1:13" x14ac:dyDescent="0.2">
      <c r="A612" s="211" t="s">
        <v>55</v>
      </c>
      <c r="B612" s="211" t="s">
        <v>58</v>
      </c>
      <c r="C612" s="211" t="s">
        <v>19</v>
      </c>
      <c r="D612" s="211" t="s">
        <v>12</v>
      </c>
      <c r="E612" s="208">
        <v>43105</v>
      </c>
      <c r="F612" s="209">
        <v>10.5</v>
      </c>
      <c r="G612" s="210" t="s">
        <v>13</v>
      </c>
      <c r="H612" s="211" t="s">
        <v>18</v>
      </c>
      <c r="I612" s="210">
        <v>1</v>
      </c>
      <c r="J612" s="210" t="s">
        <v>15</v>
      </c>
      <c r="K612" s="210" t="s">
        <v>54</v>
      </c>
      <c r="L612" s="211" t="s">
        <v>60</v>
      </c>
      <c r="M612" s="211" t="s">
        <v>17</v>
      </c>
    </row>
    <row r="613" spans="1:13" x14ac:dyDescent="0.2">
      <c r="A613" s="211" t="s">
        <v>55</v>
      </c>
      <c r="B613" s="211" t="s">
        <v>58</v>
      </c>
      <c r="C613" s="211" t="s">
        <v>19</v>
      </c>
      <c r="D613" s="211" t="s">
        <v>12</v>
      </c>
      <c r="E613" s="208">
        <v>43105</v>
      </c>
      <c r="F613" s="221">
        <v>3358.3094999999998</v>
      </c>
      <c r="G613" s="210" t="s">
        <v>16</v>
      </c>
      <c r="H613" s="211" t="s">
        <v>18</v>
      </c>
      <c r="I613" s="210">
        <v>1</v>
      </c>
      <c r="J613" s="210" t="s">
        <v>15</v>
      </c>
      <c r="K613" s="210" t="s">
        <v>54</v>
      </c>
      <c r="L613" s="211" t="s">
        <v>60</v>
      </c>
      <c r="M613" s="211" t="s">
        <v>17</v>
      </c>
    </row>
    <row r="614" spans="1:13" x14ac:dyDescent="0.2">
      <c r="A614" s="211" t="s">
        <v>55</v>
      </c>
      <c r="B614" s="211" t="s">
        <v>58</v>
      </c>
      <c r="C614" s="211" t="s">
        <v>19</v>
      </c>
      <c r="D614" s="211" t="s">
        <v>12</v>
      </c>
      <c r="E614" s="208">
        <v>43104</v>
      </c>
      <c r="F614" s="209">
        <v>18.8932678</v>
      </c>
      <c r="G614" s="210" t="s">
        <v>13</v>
      </c>
      <c r="H614" s="211" t="s">
        <v>14</v>
      </c>
      <c r="I614" s="210">
        <v>1</v>
      </c>
      <c r="J614" s="210" t="s">
        <v>15</v>
      </c>
      <c r="K614" s="210" t="s">
        <v>54</v>
      </c>
      <c r="L614" s="211" t="s">
        <v>60</v>
      </c>
      <c r="M614" s="211" t="s">
        <v>56</v>
      </c>
    </row>
    <row r="615" spans="1:13" x14ac:dyDescent="0.2">
      <c r="A615" s="211" t="s">
        <v>55</v>
      </c>
      <c r="B615" s="211" t="s">
        <v>58</v>
      </c>
      <c r="C615" s="211" t="s">
        <v>19</v>
      </c>
      <c r="D615" s="211" t="s">
        <v>12</v>
      </c>
      <c r="E615" s="208">
        <v>43104</v>
      </c>
      <c r="F615" s="221">
        <v>5617.3653000000004</v>
      </c>
      <c r="G615" s="210" t="s">
        <v>16</v>
      </c>
      <c r="H615" s="211" t="s">
        <v>14</v>
      </c>
      <c r="I615" s="210">
        <v>1</v>
      </c>
      <c r="J615" s="210" t="s">
        <v>15</v>
      </c>
      <c r="K615" s="210" t="s">
        <v>54</v>
      </c>
      <c r="L615" s="211" t="s">
        <v>60</v>
      </c>
      <c r="M615" s="211" t="s">
        <v>56</v>
      </c>
    </row>
    <row r="616" spans="1:13" x14ac:dyDescent="0.2">
      <c r="A616" s="211" t="s">
        <v>55</v>
      </c>
      <c r="B616" s="211" t="s">
        <v>58</v>
      </c>
      <c r="C616" s="211" t="s">
        <v>19</v>
      </c>
      <c r="D616" s="211" t="s">
        <v>12</v>
      </c>
      <c r="E616" s="208">
        <v>43104</v>
      </c>
      <c r="F616" s="209">
        <v>8.69</v>
      </c>
      <c r="G616" s="210" t="s">
        <v>13</v>
      </c>
      <c r="H616" s="211" t="s">
        <v>18</v>
      </c>
      <c r="I616" s="210">
        <v>1</v>
      </c>
      <c r="J616" s="210" t="s">
        <v>15</v>
      </c>
      <c r="K616" s="210" t="s">
        <v>54</v>
      </c>
      <c r="L616" s="211" t="s">
        <v>60</v>
      </c>
      <c r="M616" s="211" t="s">
        <v>17</v>
      </c>
    </row>
    <row r="617" spans="1:13" x14ac:dyDescent="0.2">
      <c r="A617" s="211" t="s">
        <v>55</v>
      </c>
      <c r="B617" s="211" t="s">
        <v>58</v>
      </c>
      <c r="C617" s="211" t="s">
        <v>19</v>
      </c>
      <c r="D617" s="211" t="s">
        <v>12</v>
      </c>
      <c r="E617" s="208">
        <v>43104</v>
      </c>
      <c r="F617" s="221">
        <v>2583.71949</v>
      </c>
      <c r="G617" s="210" t="s">
        <v>16</v>
      </c>
      <c r="H617" s="211" t="s">
        <v>18</v>
      </c>
      <c r="I617" s="210">
        <v>1</v>
      </c>
      <c r="J617" s="210" t="s">
        <v>15</v>
      </c>
      <c r="K617" s="210" t="s">
        <v>54</v>
      </c>
      <c r="L617" s="211" t="s">
        <v>60</v>
      </c>
      <c r="M617" s="211" t="s">
        <v>17</v>
      </c>
    </row>
    <row r="618" spans="1:13" x14ac:dyDescent="0.2">
      <c r="A618" s="211" t="s">
        <v>55</v>
      </c>
      <c r="B618" s="211" t="s">
        <v>58</v>
      </c>
      <c r="C618" s="211" t="s">
        <v>19</v>
      </c>
      <c r="D618" s="211" t="s">
        <v>12</v>
      </c>
      <c r="E618" s="208">
        <v>43103</v>
      </c>
      <c r="F618" s="209">
        <v>24.158370000000001</v>
      </c>
      <c r="G618" s="210" t="s">
        <v>13</v>
      </c>
      <c r="H618" s="211" t="s">
        <v>14</v>
      </c>
      <c r="I618" s="210">
        <v>1</v>
      </c>
      <c r="J618" s="210" t="s">
        <v>15</v>
      </c>
      <c r="K618" s="210" t="s">
        <v>54</v>
      </c>
      <c r="L618" s="211" t="s">
        <v>60</v>
      </c>
      <c r="M618" s="211" t="s">
        <v>56</v>
      </c>
    </row>
    <row r="619" spans="1:13" x14ac:dyDescent="0.2">
      <c r="A619" s="211" t="s">
        <v>55</v>
      </c>
      <c r="B619" s="211" t="s">
        <v>58</v>
      </c>
      <c r="C619" s="211" t="s">
        <v>19</v>
      </c>
      <c r="D619" s="211" t="s">
        <v>12</v>
      </c>
      <c r="E619" s="208">
        <v>43103</v>
      </c>
      <c r="F619" s="221">
        <v>7317.7828799999997</v>
      </c>
      <c r="G619" s="210" t="s">
        <v>16</v>
      </c>
      <c r="H619" s="211" t="s">
        <v>14</v>
      </c>
      <c r="I619" s="210">
        <v>1</v>
      </c>
      <c r="J619" s="210" t="s">
        <v>15</v>
      </c>
      <c r="K619" s="210" t="s">
        <v>54</v>
      </c>
      <c r="L619" s="211" t="s">
        <v>60</v>
      </c>
      <c r="M619" s="211" t="s">
        <v>56</v>
      </c>
    </row>
    <row r="620" spans="1:13" x14ac:dyDescent="0.2">
      <c r="A620" s="211" t="s">
        <v>55</v>
      </c>
      <c r="B620" s="211" t="s">
        <v>58</v>
      </c>
      <c r="C620" s="211" t="s">
        <v>19</v>
      </c>
      <c r="D620" s="211" t="s">
        <v>12</v>
      </c>
      <c r="E620" s="208">
        <v>43103</v>
      </c>
      <c r="F620" s="209">
        <v>8.91</v>
      </c>
      <c r="G620" s="210" t="s">
        <v>13</v>
      </c>
      <c r="H620" s="211" t="s">
        <v>18</v>
      </c>
      <c r="I620" s="210">
        <v>1</v>
      </c>
      <c r="J620" s="210" t="s">
        <v>15</v>
      </c>
      <c r="K620" s="210" t="s">
        <v>54</v>
      </c>
      <c r="L620" s="211" t="s">
        <v>60</v>
      </c>
      <c r="M620" s="211" t="s">
        <v>17</v>
      </c>
    </row>
    <row r="621" spans="1:13" x14ac:dyDescent="0.2">
      <c r="A621" s="211" t="s">
        <v>55</v>
      </c>
      <c r="B621" s="211" t="s">
        <v>58</v>
      </c>
      <c r="C621" s="211" t="s">
        <v>19</v>
      </c>
      <c r="D621" s="211" t="s">
        <v>12</v>
      </c>
      <c r="E621" s="208">
        <v>43103</v>
      </c>
      <c r="F621" s="221">
        <v>2698.9174079999998</v>
      </c>
      <c r="G621" s="210" t="s">
        <v>16</v>
      </c>
      <c r="H621" s="211" t="s">
        <v>18</v>
      </c>
      <c r="I621" s="210">
        <v>1</v>
      </c>
      <c r="J621" s="210" t="s">
        <v>15</v>
      </c>
      <c r="K621" s="210" t="s">
        <v>54</v>
      </c>
      <c r="L621" s="211" t="s">
        <v>60</v>
      </c>
      <c r="M621" s="211" t="s">
        <v>17</v>
      </c>
    </row>
    <row r="622" spans="1:13" x14ac:dyDescent="0.2">
      <c r="A622" s="211" t="s">
        <v>55</v>
      </c>
      <c r="B622" s="211" t="s">
        <v>58</v>
      </c>
      <c r="C622" s="211" t="s">
        <v>19</v>
      </c>
      <c r="D622" s="211" t="s">
        <v>12</v>
      </c>
      <c r="E622" s="208">
        <v>43102</v>
      </c>
      <c r="F622" s="209">
        <v>21.155072400000002</v>
      </c>
      <c r="G622" s="210" t="s">
        <v>13</v>
      </c>
      <c r="H622" s="211" t="s">
        <v>14</v>
      </c>
      <c r="I622" s="210">
        <v>1</v>
      </c>
      <c r="J622" s="210" t="s">
        <v>15</v>
      </c>
      <c r="K622" s="210" t="s">
        <v>54</v>
      </c>
      <c r="L622" s="211" t="s">
        <v>60</v>
      </c>
      <c r="M622" s="211" t="s">
        <v>56</v>
      </c>
    </row>
    <row r="623" spans="1:13" x14ac:dyDescent="0.2">
      <c r="A623" s="211" t="s">
        <v>55</v>
      </c>
      <c r="B623" s="211" t="s">
        <v>58</v>
      </c>
      <c r="C623" s="211" t="s">
        <v>19</v>
      </c>
      <c r="D623" s="211" t="s">
        <v>12</v>
      </c>
      <c r="E623" s="208">
        <v>43102</v>
      </c>
      <c r="F623" s="221">
        <v>6208.6879799999997</v>
      </c>
      <c r="G623" s="210" t="s">
        <v>16</v>
      </c>
      <c r="H623" s="211" t="s">
        <v>14</v>
      </c>
      <c r="I623" s="210">
        <v>1</v>
      </c>
      <c r="J623" s="210" t="s">
        <v>15</v>
      </c>
      <c r="K623" s="210" t="s">
        <v>54</v>
      </c>
      <c r="L623" s="211" t="s">
        <v>60</v>
      </c>
      <c r="M623" s="211" t="s">
        <v>56</v>
      </c>
    </row>
    <row r="624" spans="1:13" x14ac:dyDescent="0.2">
      <c r="A624" s="211" t="s">
        <v>55</v>
      </c>
      <c r="B624" s="211" t="s">
        <v>58</v>
      </c>
      <c r="C624" s="211" t="s">
        <v>19</v>
      </c>
      <c r="D624" s="211" t="s">
        <v>12</v>
      </c>
      <c r="E624" s="208">
        <v>43102</v>
      </c>
      <c r="F624" s="209">
        <v>9.31</v>
      </c>
      <c r="G624" s="210" t="s">
        <v>13</v>
      </c>
      <c r="H624" s="211" t="s">
        <v>18</v>
      </c>
      <c r="I624" s="210">
        <v>1</v>
      </c>
      <c r="J624" s="210" t="s">
        <v>15</v>
      </c>
      <c r="K624" s="210" t="s">
        <v>54</v>
      </c>
      <c r="L624" s="211" t="s">
        <v>60</v>
      </c>
      <c r="M624" s="211" t="s">
        <v>17</v>
      </c>
    </row>
    <row r="625" spans="1:13" x14ac:dyDescent="0.2">
      <c r="A625" s="211" t="s">
        <v>55</v>
      </c>
      <c r="B625" s="211" t="s">
        <v>58</v>
      </c>
      <c r="C625" s="211" t="s">
        <v>19</v>
      </c>
      <c r="D625" s="211" t="s">
        <v>12</v>
      </c>
      <c r="E625" s="208">
        <v>43102</v>
      </c>
      <c r="F625" s="221">
        <v>2732.3416259999999</v>
      </c>
      <c r="G625" s="210" t="s">
        <v>16</v>
      </c>
      <c r="H625" s="211" t="s">
        <v>18</v>
      </c>
      <c r="I625" s="210">
        <v>1</v>
      </c>
      <c r="J625" s="210" t="s">
        <v>15</v>
      </c>
      <c r="K625" s="210" t="s">
        <v>54</v>
      </c>
      <c r="L625" s="211" t="s">
        <v>60</v>
      </c>
      <c r="M625" s="211" t="s">
        <v>17</v>
      </c>
    </row>
    <row r="626" spans="1:13" x14ac:dyDescent="0.2">
      <c r="A626" s="211" t="s">
        <v>55</v>
      </c>
      <c r="B626" s="211" t="s">
        <v>58</v>
      </c>
      <c r="C626" s="211" t="s">
        <v>19</v>
      </c>
      <c r="D626" s="211" t="s">
        <v>12</v>
      </c>
      <c r="E626" s="208">
        <v>43101</v>
      </c>
      <c r="F626" s="209">
        <v>14.345443599999999</v>
      </c>
      <c r="G626" s="210" t="s">
        <v>13</v>
      </c>
      <c r="H626" s="211" t="s">
        <v>14</v>
      </c>
      <c r="I626" s="210">
        <v>1</v>
      </c>
      <c r="J626" s="210" t="s">
        <v>15</v>
      </c>
      <c r="K626" s="210" t="s">
        <v>54</v>
      </c>
      <c r="L626" s="211" t="s">
        <v>60</v>
      </c>
      <c r="M626" s="211" t="s">
        <v>56</v>
      </c>
    </row>
    <row r="627" spans="1:13" x14ac:dyDescent="0.2">
      <c r="A627" s="211" t="s">
        <v>55</v>
      </c>
      <c r="B627" s="211" t="s">
        <v>58</v>
      </c>
      <c r="C627" s="211" t="s">
        <v>19</v>
      </c>
      <c r="D627" s="211" t="s">
        <v>12</v>
      </c>
      <c r="E627" s="208">
        <v>43101</v>
      </c>
      <c r="F627" s="221">
        <v>3991.2237599999999</v>
      </c>
      <c r="G627" s="210" t="s">
        <v>16</v>
      </c>
      <c r="H627" s="211" t="s">
        <v>14</v>
      </c>
      <c r="I627" s="210">
        <v>1</v>
      </c>
      <c r="J627" s="210" t="s">
        <v>15</v>
      </c>
      <c r="K627" s="210" t="s">
        <v>54</v>
      </c>
      <c r="L627" s="211" t="s">
        <v>60</v>
      </c>
      <c r="M627" s="211" t="s">
        <v>56</v>
      </c>
    </row>
    <row r="628" spans="1:13" x14ac:dyDescent="0.2">
      <c r="A628" s="211" t="s">
        <v>55</v>
      </c>
      <c r="B628" s="211" t="s">
        <v>58</v>
      </c>
      <c r="C628" s="211" t="s">
        <v>19</v>
      </c>
      <c r="D628" s="211" t="s">
        <v>12</v>
      </c>
      <c r="E628" s="208">
        <v>43101</v>
      </c>
      <c r="F628" s="209">
        <v>8.56</v>
      </c>
      <c r="G628" s="210" t="s">
        <v>13</v>
      </c>
      <c r="H628" s="211" t="s">
        <v>18</v>
      </c>
      <c r="I628" s="210">
        <v>1</v>
      </c>
      <c r="J628" s="210" t="s">
        <v>15</v>
      </c>
      <c r="K628" s="210" t="s">
        <v>54</v>
      </c>
      <c r="L628" s="211" t="s">
        <v>60</v>
      </c>
      <c r="M628" s="211" t="s">
        <v>17</v>
      </c>
    </row>
    <row r="629" spans="1:13" x14ac:dyDescent="0.2">
      <c r="A629" s="211" t="s">
        <v>55</v>
      </c>
      <c r="B629" s="211" t="s">
        <v>58</v>
      </c>
      <c r="C629" s="211" t="s">
        <v>19</v>
      </c>
      <c r="D629" s="211" t="s">
        <v>12</v>
      </c>
      <c r="E629" s="208">
        <v>43101</v>
      </c>
      <c r="F629" s="221">
        <v>2381.583744</v>
      </c>
      <c r="G629" s="210" t="s">
        <v>16</v>
      </c>
      <c r="H629" s="211" t="s">
        <v>18</v>
      </c>
      <c r="I629" s="210">
        <v>1</v>
      </c>
      <c r="J629" s="210" t="s">
        <v>15</v>
      </c>
      <c r="K629" s="210" t="s">
        <v>54</v>
      </c>
      <c r="L629" s="211" t="s">
        <v>60</v>
      </c>
      <c r="M629" s="211" t="s">
        <v>17</v>
      </c>
    </row>
    <row r="630" spans="1:13" x14ac:dyDescent="0.2">
      <c r="A630" s="211" t="s">
        <v>55</v>
      </c>
      <c r="B630" s="211" t="s">
        <v>58</v>
      </c>
      <c r="C630" s="211" t="s">
        <v>19</v>
      </c>
      <c r="D630" s="211" t="s">
        <v>12</v>
      </c>
      <c r="E630" s="208">
        <v>43097</v>
      </c>
      <c r="F630" s="209">
        <v>18.1501482</v>
      </c>
      <c r="G630" s="210" t="s">
        <v>13</v>
      </c>
      <c r="H630" s="211" t="s">
        <v>14</v>
      </c>
      <c r="I630" s="210">
        <v>1</v>
      </c>
      <c r="J630" s="210" t="s">
        <v>15</v>
      </c>
      <c r="K630" s="210" t="s">
        <v>54</v>
      </c>
      <c r="L630" s="211" t="s">
        <v>60</v>
      </c>
      <c r="M630" s="211" t="s">
        <v>56</v>
      </c>
    </row>
    <row r="631" spans="1:13" x14ac:dyDescent="0.2">
      <c r="A631" s="211" t="s">
        <v>55</v>
      </c>
      <c r="B631" s="211" t="s">
        <v>58</v>
      </c>
      <c r="C631" s="211" t="s">
        <v>19</v>
      </c>
      <c r="D631" s="211" t="s">
        <v>12</v>
      </c>
      <c r="E631" s="208">
        <v>43097</v>
      </c>
      <c r="F631" s="221">
        <v>5615.9099822999997</v>
      </c>
      <c r="G631" s="210" t="s">
        <v>16</v>
      </c>
      <c r="H631" s="211" t="s">
        <v>14</v>
      </c>
      <c r="I631" s="210">
        <v>1</v>
      </c>
      <c r="J631" s="210" t="s">
        <v>15</v>
      </c>
      <c r="K631" s="210" t="s">
        <v>54</v>
      </c>
      <c r="L631" s="211" t="s">
        <v>60</v>
      </c>
      <c r="M631" s="211" t="s">
        <v>56</v>
      </c>
    </row>
    <row r="632" spans="1:13" x14ac:dyDescent="0.2">
      <c r="A632" s="211" t="s">
        <v>55</v>
      </c>
      <c r="B632" s="211" t="s">
        <v>58</v>
      </c>
      <c r="C632" s="211" t="s">
        <v>19</v>
      </c>
      <c r="D632" s="211" t="s">
        <v>12</v>
      </c>
      <c r="E632" s="208">
        <v>43097</v>
      </c>
      <c r="F632" s="209">
        <v>8.6300000000000008</v>
      </c>
      <c r="G632" s="210" t="s">
        <v>13</v>
      </c>
      <c r="H632" s="211" t="s">
        <v>18</v>
      </c>
      <c r="I632" s="210">
        <v>1</v>
      </c>
      <c r="J632" s="210" t="s">
        <v>15</v>
      </c>
      <c r="K632" s="210" t="s">
        <v>54</v>
      </c>
      <c r="L632" s="211" t="s">
        <v>60</v>
      </c>
      <c r="M632" s="211" t="s">
        <v>17</v>
      </c>
    </row>
    <row r="633" spans="1:13" x14ac:dyDescent="0.2">
      <c r="A633" s="211" t="s">
        <v>55</v>
      </c>
      <c r="B633" s="211" t="s">
        <v>58</v>
      </c>
      <c r="C633" s="211" t="s">
        <v>19</v>
      </c>
      <c r="D633" s="211" t="s">
        <v>12</v>
      </c>
      <c r="E633" s="208">
        <v>43097</v>
      </c>
      <c r="F633" s="221">
        <v>2670.2428199999999</v>
      </c>
      <c r="G633" s="210" t="s">
        <v>16</v>
      </c>
      <c r="H633" s="211" t="s">
        <v>18</v>
      </c>
      <c r="I633" s="210">
        <v>1</v>
      </c>
      <c r="J633" s="210" t="s">
        <v>15</v>
      </c>
      <c r="K633" s="210" t="s">
        <v>54</v>
      </c>
      <c r="L633" s="211" t="s">
        <v>60</v>
      </c>
      <c r="M633" s="211" t="s">
        <v>17</v>
      </c>
    </row>
    <row r="634" spans="1:13" x14ac:dyDescent="0.2">
      <c r="A634" s="211" t="s">
        <v>55</v>
      </c>
      <c r="B634" s="211" t="s">
        <v>58</v>
      </c>
      <c r="C634" s="211" t="s">
        <v>19</v>
      </c>
      <c r="D634" s="211" t="s">
        <v>12</v>
      </c>
      <c r="E634" s="208">
        <v>43096</v>
      </c>
      <c r="F634" s="209">
        <v>13.835801699999999</v>
      </c>
      <c r="G634" s="210" t="s">
        <v>13</v>
      </c>
      <c r="H634" s="211" t="s">
        <v>14</v>
      </c>
      <c r="I634" s="210">
        <v>1</v>
      </c>
      <c r="J634" s="210" t="s">
        <v>15</v>
      </c>
      <c r="K634" s="210" t="s">
        <v>54</v>
      </c>
      <c r="L634" s="211" t="s">
        <v>60</v>
      </c>
      <c r="M634" s="211" t="s">
        <v>56</v>
      </c>
    </row>
    <row r="635" spans="1:13" x14ac:dyDescent="0.2">
      <c r="A635" s="211" t="s">
        <v>55</v>
      </c>
      <c r="B635" s="211" t="s">
        <v>58</v>
      </c>
      <c r="C635" s="211" t="s">
        <v>19</v>
      </c>
      <c r="D635" s="211" t="s">
        <v>12</v>
      </c>
      <c r="E635" s="208">
        <v>43096</v>
      </c>
      <c r="F635" s="221">
        <v>4142.5220681999999</v>
      </c>
      <c r="G635" s="210" t="s">
        <v>16</v>
      </c>
      <c r="H635" s="211" t="s">
        <v>14</v>
      </c>
      <c r="I635" s="210">
        <v>1</v>
      </c>
      <c r="J635" s="210" t="s">
        <v>15</v>
      </c>
      <c r="K635" s="210" t="s">
        <v>54</v>
      </c>
      <c r="L635" s="211" t="s">
        <v>60</v>
      </c>
      <c r="M635" s="211" t="s">
        <v>56</v>
      </c>
    </row>
    <row r="636" spans="1:13" x14ac:dyDescent="0.2">
      <c r="A636" s="211" t="s">
        <v>55</v>
      </c>
      <c r="B636" s="211" t="s">
        <v>58</v>
      </c>
      <c r="C636" s="211" t="s">
        <v>19</v>
      </c>
      <c r="D636" s="211" t="s">
        <v>12</v>
      </c>
      <c r="E636" s="208">
        <v>43096</v>
      </c>
      <c r="F636" s="209">
        <v>8.27</v>
      </c>
      <c r="G636" s="210" t="s">
        <v>13</v>
      </c>
      <c r="H636" s="211" t="s">
        <v>18</v>
      </c>
      <c r="I636" s="210">
        <v>1</v>
      </c>
      <c r="J636" s="210" t="s">
        <v>15</v>
      </c>
      <c r="K636" s="210" t="s">
        <v>54</v>
      </c>
      <c r="L636" s="211" t="s">
        <v>60</v>
      </c>
      <c r="M636" s="211" t="s">
        <v>17</v>
      </c>
    </row>
    <row r="637" spans="1:13" x14ac:dyDescent="0.2">
      <c r="A637" s="211" t="s">
        <v>55</v>
      </c>
      <c r="B637" s="211" t="s">
        <v>58</v>
      </c>
      <c r="C637" s="211" t="s">
        <v>19</v>
      </c>
      <c r="D637" s="211" t="s">
        <v>12</v>
      </c>
      <c r="E637" s="208">
        <v>43096</v>
      </c>
      <c r="F637" s="221">
        <v>2476.0876199999998</v>
      </c>
      <c r="G637" s="210" t="s">
        <v>16</v>
      </c>
      <c r="H637" s="211" t="s">
        <v>18</v>
      </c>
      <c r="I637" s="210">
        <v>1</v>
      </c>
      <c r="J637" s="210" t="s">
        <v>15</v>
      </c>
      <c r="K637" s="210" t="s">
        <v>54</v>
      </c>
      <c r="L637" s="211" t="s">
        <v>60</v>
      </c>
      <c r="M637" s="211" t="s">
        <v>17</v>
      </c>
    </row>
    <row r="638" spans="1:13" x14ac:dyDescent="0.2">
      <c r="A638" s="211" t="s">
        <v>55</v>
      </c>
      <c r="B638" s="211" t="s">
        <v>58</v>
      </c>
      <c r="C638" s="211" t="s">
        <v>19</v>
      </c>
      <c r="D638" s="211" t="s">
        <v>12</v>
      </c>
      <c r="E638" s="208">
        <v>43095</v>
      </c>
      <c r="F638" s="209">
        <v>15.7207907</v>
      </c>
      <c r="G638" s="210" t="s">
        <v>13</v>
      </c>
      <c r="H638" s="211" t="s">
        <v>14</v>
      </c>
      <c r="I638" s="210">
        <v>1</v>
      </c>
      <c r="J638" s="210" t="s">
        <v>15</v>
      </c>
      <c r="K638" s="210" t="s">
        <v>54</v>
      </c>
      <c r="L638" s="211" t="s">
        <v>60</v>
      </c>
      <c r="M638" s="211" t="s">
        <v>56</v>
      </c>
    </row>
    <row r="639" spans="1:13" x14ac:dyDescent="0.2">
      <c r="A639" s="211" t="s">
        <v>55</v>
      </c>
      <c r="B639" s="211" t="s">
        <v>58</v>
      </c>
      <c r="C639" s="211" t="s">
        <v>19</v>
      </c>
      <c r="D639" s="211" t="s">
        <v>12</v>
      </c>
      <c r="E639" s="208">
        <v>43095</v>
      </c>
      <c r="F639" s="221">
        <v>4746.2324817999997</v>
      </c>
      <c r="G639" s="210" t="s">
        <v>16</v>
      </c>
      <c r="H639" s="211" t="s">
        <v>14</v>
      </c>
      <c r="I639" s="210">
        <v>1</v>
      </c>
      <c r="J639" s="210" t="s">
        <v>15</v>
      </c>
      <c r="K639" s="210" t="s">
        <v>54</v>
      </c>
      <c r="L639" s="211" t="s">
        <v>60</v>
      </c>
      <c r="M639" s="211" t="s">
        <v>56</v>
      </c>
    </row>
    <row r="640" spans="1:13" x14ac:dyDescent="0.2">
      <c r="A640" s="211" t="s">
        <v>55</v>
      </c>
      <c r="B640" s="211" t="s">
        <v>58</v>
      </c>
      <c r="C640" s="211" t="s">
        <v>19</v>
      </c>
      <c r="D640" s="211" t="s">
        <v>12</v>
      </c>
      <c r="E640" s="208">
        <v>43095</v>
      </c>
      <c r="F640" s="209">
        <v>8.19</v>
      </c>
      <c r="G640" s="210" t="s">
        <v>13</v>
      </c>
      <c r="H640" s="211" t="s">
        <v>18</v>
      </c>
      <c r="I640" s="210">
        <v>1</v>
      </c>
      <c r="J640" s="210" t="s">
        <v>15</v>
      </c>
      <c r="K640" s="210" t="s">
        <v>54</v>
      </c>
      <c r="L640" s="211" t="s">
        <v>60</v>
      </c>
      <c r="M640" s="211" t="s">
        <v>17</v>
      </c>
    </row>
    <row r="641" spans="1:13" x14ac:dyDescent="0.2">
      <c r="A641" s="211" t="s">
        <v>55</v>
      </c>
      <c r="B641" s="211" t="s">
        <v>58</v>
      </c>
      <c r="C641" s="211" t="s">
        <v>19</v>
      </c>
      <c r="D641" s="211" t="s">
        <v>12</v>
      </c>
      <c r="E641" s="208">
        <v>43095</v>
      </c>
      <c r="F641" s="221">
        <v>2472.6265199999998</v>
      </c>
      <c r="G641" s="210" t="s">
        <v>16</v>
      </c>
      <c r="H641" s="211" t="s">
        <v>18</v>
      </c>
      <c r="I641" s="210">
        <v>1</v>
      </c>
      <c r="J641" s="210" t="s">
        <v>15</v>
      </c>
      <c r="K641" s="210" t="s">
        <v>54</v>
      </c>
      <c r="L641" s="211" t="s">
        <v>60</v>
      </c>
      <c r="M641" s="211" t="s">
        <v>17</v>
      </c>
    </row>
    <row r="642" spans="1:13" x14ac:dyDescent="0.2">
      <c r="A642" s="211" t="s">
        <v>55</v>
      </c>
      <c r="B642" s="211" t="s">
        <v>58</v>
      </c>
      <c r="C642" s="211" t="s">
        <v>19</v>
      </c>
      <c r="D642" s="211" t="s">
        <v>12</v>
      </c>
      <c r="E642" s="208">
        <v>43094</v>
      </c>
      <c r="F642" s="209">
        <v>14.618065400000001</v>
      </c>
      <c r="G642" s="210" t="s">
        <v>13</v>
      </c>
      <c r="H642" s="211" t="s">
        <v>14</v>
      </c>
      <c r="I642" s="210">
        <v>1</v>
      </c>
      <c r="J642" s="210" t="s">
        <v>15</v>
      </c>
      <c r="K642" s="210" t="s">
        <v>54</v>
      </c>
      <c r="L642" s="211" t="s">
        <v>60</v>
      </c>
      <c r="M642" s="211" t="s">
        <v>56</v>
      </c>
    </row>
    <row r="643" spans="1:13" x14ac:dyDescent="0.2">
      <c r="A643" s="211" t="s">
        <v>55</v>
      </c>
      <c r="B643" s="211" t="s">
        <v>58</v>
      </c>
      <c r="C643" s="211" t="s">
        <v>19</v>
      </c>
      <c r="D643" s="211" t="s">
        <v>12</v>
      </c>
      <c r="E643" s="208">
        <v>43094</v>
      </c>
      <c r="F643" s="221">
        <v>4279.2047666999997</v>
      </c>
      <c r="G643" s="210" t="s">
        <v>16</v>
      </c>
      <c r="H643" s="211" t="s">
        <v>14</v>
      </c>
      <c r="I643" s="210">
        <v>1</v>
      </c>
      <c r="J643" s="210" t="s">
        <v>15</v>
      </c>
      <c r="K643" s="210" t="s">
        <v>54</v>
      </c>
      <c r="L643" s="211" t="s">
        <v>60</v>
      </c>
      <c r="M643" s="211" t="s">
        <v>56</v>
      </c>
    </row>
    <row r="644" spans="1:13" x14ac:dyDescent="0.2">
      <c r="A644" s="211" t="s">
        <v>55</v>
      </c>
      <c r="B644" s="211" t="s">
        <v>58</v>
      </c>
      <c r="C644" s="211" t="s">
        <v>19</v>
      </c>
      <c r="D644" s="211" t="s">
        <v>12</v>
      </c>
      <c r="E644" s="208">
        <v>43094</v>
      </c>
      <c r="F644" s="209">
        <v>7.73</v>
      </c>
      <c r="G644" s="210" t="s">
        <v>13</v>
      </c>
      <c r="H644" s="211" t="s">
        <v>18</v>
      </c>
      <c r="I644" s="210">
        <v>1</v>
      </c>
      <c r="J644" s="210" t="s">
        <v>15</v>
      </c>
      <c r="K644" s="210" t="s">
        <v>54</v>
      </c>
      <c r="L644" s="211" t="s">
        <v>60</v>
      </c>
      <c r="M644" s="211" t="s">
        <v>17</v>
      </c>
    </row>
    <row r="645" spans="1:13" x14ac:dyDescent="0.2">
      <c r="A645" s="211" t="s">
        <v>55</v>
      </c>
      <c r="B645" s="211" t="s">
        <v>58</v>
      </c>
      <c r="C645" s="211" t="s">
        <v>19</v>
      </c>
      <c r="D645" s="211" t="s">
        <v>12</v>
      </c>
      <c r="E645" s="208">
        <v>43094</v>
      </c>
      <c r="F645" s="221">
        <v>2262.8338199999998</v>
      </c>
      <c r="G645" s="210" t="s">
        <v>16</v>
      </c>
      <c r="H645" s="211" t="s">
        <v>18</v>
      </c>
      <c r="I645" s="210">
        <v>1</v>
      </c>
      <c r="J645" s="210" t="s">
        <v>15</v>
      </c>
      <c r="K645" s="210" t="s">
        <v>54</v>
      </c>
      <c r="L645" s="211" t="s">
        <v>60</v>
      </c>
      <c r="M645" s="211" t="s">
        <v>17</v>
      </c>
    </row>
    <row r="646" spans="1:13" x14ac:dyDescent="0.2">
      <c r="A646" s="211" t="s">
        <v>55</v>
      </c>
      <c r="B646" s="211" t="s">
        <v>58</v>
      </c>
      <c r="C646" s="211" t="s">
        <v>19</v>
      </c>
      <c r="D646" s="211" t="s">
        <v>12</v>
      </c>
      <c r="E646" s="208">
        <v>43093</v>
      </c>
      <c r="F646" s="209">
        <v>14.516</v>
      </c>
      <c r="G646" s="210" t="s">
        <v>13</v>
      </c>
      <c r="H646" s="211" t="s">
        <v>14</v>
      </c>
      <c r="I646" s="210">
        <v>1</v>
      </c>
      <c r="J646" s="210" t="s">
        <v>15</v>
      </c>
      <c r="K646" s="210" t="s">
        <v>54</v>
      </c>
      <c r="L646" s="211" t="s">
        <v>60</v>
      </c>
      <c r="M646" s="211" t="s">
        <v>56</v>
      </c>
    </row>
    <row r="647" spans="1:13" x14ac:dyDescent="0.2">
      <c r="A647" s="211" t="s">
        <v>55</v>
      </c>
      <c r="B647" s="211" t="s">
        <v>58</v>
      </c>
      <c r="C647" s="211" t="s">
        <v>19</v>
      </c>
      <c r="D647" s="211" t="s">
        <v>12</v>
      </c>
      <c r="E647" s="208">
        <v>43093</v>
      </c>
      <c r="F647" s="221">
        <v>4539.8789999999999</v>
      </c>
      <c r="G647" s="210" t="s">
        <v>16</v>
      </c>
      <c r="H647" s="211" t="s">
        <v>14</v>
      </c>
      <c r="I647" s="210">
        <v>1</v>
      </c>
      <c r="J647" s="210" t="s">
        <v>15</v>
      </c>
      <c r="K647" s="210" t="s">
        <v>54</v>
      </c>
      <c r="L647" s="211" t="s">
        <v>60</v>
      </c>
      <c r="M647" s="211" t="s">
        <v>56</v>
      </c>
    </row>
    <row r="648" spans="1:13" x14ac:dyDescent="0.2">
      <c r="A648" s="211" t="s">
        <v>55</v>
      </c>
      <c r="B648" s="211" t="s">
        <v>58</v>
      </c>
      <c r="C648" s="211" t="s">
        <v>19</v>
      </c>
      <c r="D648" s="211" t="s">
        <v>12</v>
      </c>
      <c r="E648" s="208">
        <v>43093</v>
      </c>
      <c r="F648" s="209">
        <v>6.74</v>
      </c>
      <c r="G648" s="210" t="s">
        <v>13</v>
      </c>
      <c r="H648" s="211" t="s">
        <v>18</v>
      </c>
      <c r="I648" s="210">
        <v>1</v>
      </c>
      <c r="J648" s="210" t="s">
        <v>15</v>
      </c>
      <c r="K648" s="210" t="s">
        <v>54</v>
      </c>
      <c r="L648" s="211" t="s">
        <v>60</v>
      </c>
      <c r="M648" s="211" t="s">
        <v>17</v>
      </c>
    </row>
    <row r="649" spans="1:13" x14ac:dyDescent="0.2">
      <c r="A649" s="211" t="s">
        <v>55</v>
      </c>
      <c r="B649" s="211" t="s">
        <v>58</v>
      </c>
      <c r="C649" s="211" t="s">
        <v>19</v>
      </c>
      <c r="D649" s="211" t="s">
        <v>12</v>
      </c>
      <c r="E649" s="208">
        <v>43093</v>
      </c>
      <c r="F649" s="221">
        <v>2107.9349999999999</v>
      </c>
      <c r="G649" s="210" t="s">
        <v>16</v>
      </c>
      <c r="H649" s="211" t="s">
        <v>18</v>
      </c>
      <c r="I649" s="210">
        <v>1</v>
      </c>
      <c r="J649" s="210" t="s">
        <v>15</v>
      </c>
      <c r="K649" s="210" t="s">
        <v>54</v>
      </c>
      <c r="L649" s="211" t="s">
        <v>60</v>
      </c>
      <c r="M649" s="211" t="s">
        <v>17</v>
      </c>
    </row>
    <row r="650" spans="1:13" x14ac:dyDescent="0.2">
      <c r="A650" s="211" t="s">
        <v>55</v>
      </c>
      <c r="B650" s="211" t="s">
        <v>58</v>
      </c>
      <c r="C650" s="211" t="s">
        <v>19</v>
      </c>
      <c r="D650" s="211" t="s">
        <v>12</v>
      </c>
      <c r="E650" s="208">
        <v>43091</v>
      </c>
      <c r="F650" s="209">
        <v>14.357253</v>
      </c>
      <c r="G650" s="210" t="s">
        <v>13</v>
      </c>
      <c r="H650" s="211" t="s">
        <v>14</v>
      </c>
      <c r="I650" s="210">
        <v>1</v>
      </c>
      <c r="J650" s="210" t="s">
        <v>15</v>
      </c>
      <c r="K650" s="210" t="s">
        <v>54</v>
      </c>
      <c r="L650" s="211" t="s">
        <v>60</v>
      </c>
      <c r="M650" s="211" t="s">
        <v>56</v>
      </c>
    </row>
    <row r="651" spans="1:13" x14ac:dyDescent="0.2">
      <c r="A651" s="211" t="s">
        <v>55</v>
      </c>
      <c r="B651" s="211" t="s">
        <v>58</v>
      </c>
      <c r="C651" s="211" t="s">
        <v>19</v>
      </c>
      <c r="D651" s="211" t="s">
        <v>12</v>
      </c>
      <c r="E651" s="208">
        <v>43091</v>
      </c>
      <c r="F651" s="221">
        <v>4813.5275148999999</v>
      </c>
      <c r="G651" s="210" t="s">
        <v>16</v>
      </c>
      <c r="H651" s="211" t="s">
        <v>14</v>
      </c>
      <c r="I651" s="210">
        <v>1</v>
      </c>
      <c r="J651" s="210" t="s">
        <v>15</v>
      </c>
      <c r="K651" s="210" t="s">
        <v>54</v>
      </c>
      <c r="L651" s="211" t="s">
        <v>60</v>
      </c>
      <c r="M651" s="211" t="s">
        <v>56</v>
      </c>
    </row>
    <row r="652" spans="1:13" x14ac:dyDescent="0.2">
      <c r="A652" s="211" t="s">
        <v>55</v>
      </c>
      <c r="B652" s="211" t="s">
        <v>58</v>
      </c>
      <c r="C652" s="211" t="s">
        <v>19</v>
      </c>
      <c r="D652" s="211" t="s">
        <v>12</v>
      </c>
      <c r="E652" s="208">
        <v>43091</v>
      </c>
      <c r="F652" s="209">
        <v>10.4</v>
      </c>
      <c r="G652" s="210" t="s">
        <v>13</v>
      </c>
      <c r="H652" s="211" t="s">
        <v>18</v>
      </c>
      <c r="I652" s="210">
        <v>1</v>
      </c>
      <c r="J652" s="210" t="s">
        <v>15</v>
      </c>
      <c r="K652" s="210" t="s">
        <v>54</v>
      </c>
      <c r="L652" s="211" t="s">
        <v>60</v>
      </c>
      <c r="M652" s="211" t="s">
        <v>17</v>
      </c>
    </row>
    <row r="653" spans="1:13" x14ac:dyDescent="0.2">
      <c r="A653" s="211" t="s">
        <v>55</v>
      </c>
      <c r="B653" s="211" t="s">
        <v>58</v>
      </c>
      <c r="C653" s="211" t="s">
        <v>19</v>
      </c>
      <c r="D653" s="211" t="s">
        <v>12</v>
      </c>
      <c r="E653" s="208">
        <v>43091</v>
      </c>
      <c r="F653" s="221">
        <v>3486.7872000000002</v>
      </c>
      <c r="G653" s="210" t="s">
        <v>16</v>
      </c>
      <c r="H653" s="211" t="s">
        <v>18</v>
      </c>
      <c r="I653" s="210">
        <v>1</v>
      </c>
      <c r="J653" s="210" t="s">
        <v>15</v>
      </c>
      <c r="K653" s="210" t="s">
        <v>54</v>
      </c>
      <c r="L653" s="211" t="s">
        <v>60</v>
      </c>
      <c r="M653" s="211" t="s">
        <v>17</v>
      </c>
    </row>
    <row r="654" spans="1:13" x14ac:dyDescent="0.2">
      <c r="A654" s="211" t="s">
        <v>55</v>
      </c>
      <c r="B654" s="211" t="s">
        <v>58</v>
      </c>
      <c r="C654" s="211" t="s">
        <v>19</v>
      </c>
      <c r="D654" s="211" t="s">
        <v>12</v>
      </c>
      <c r="E654" s="208">
        <v>43090</v>
      </c>
      <c r="F654" s="209">
        <v>16.135645</v>
      </c>
      <c r="G654" s="210" t="s">
        <v>13</v>
      </c>
      <c r="H654" s="211" t="s">
        <v>14</v>
      </c>
      <c r="I654" s="210">
        <v>1</v>
      </c>
      <c r="J654" s="210" t="s">
        <v>15</v>
      </c>
      <c r="K654" s="210" t="s">
        <v>54</v>
      </c>
      <c r="L654" s="211" t="s">
        <v>60</v>
      </c>
      <c r="M654" s="211" t="s">
        <v>56</v>
      </c>
    </row>
    <row r="655" spans="1:13" x14ac:dyDescent="0.2">
      <c r="A655" s="211" t="s">
        <v>55</v>
      </c>
      <c r="B655" s="211" t="s">
        <v>58</v>
      </c>
      <c r="C655" s="211" t="s">
        <v>19</v>
      </c>
      <c r="D655" s="211" t="s">
        <v>12</v>
      </c>
      <c r="E655" s="208">
        <v>43090</v>
      </c>
      <c r="F655" s="221">
        <v>5409.7654415999996</v>
      </c>
      <c r="G655" s="210" t="s">
        <v>16</v>
      </c>
      <c r="H655" s="211" t="s">
        <v>14</v>
      </c>
      <c r="I655" s="210">
        <v>1</v>
      </c>
      <c r="J655" s="210" t="s">
        <v>15</v>
      </c>
      <c r="K655" s="210" t="s">
        <v>54</v>
      </c>
      <c r="L655" s="211" t="s">
        <v>60</v>
      </c>
      <c r="M655" s="211" t="s">
        <v>56</v>
      </c>
    </row>
    <row r="656" spans="1:13" x14ac:dyDescent="0.2">
      <c r="A656" s="211" t="s">
        <v>55</v>
      </c>
      <c r="B656" s="211" t="s">
        <v>58</v>
      </c>
      <c r="C656" s="211" t="s">
        <v>19</v>
      </c>
      <c r="D656" s="211" t="s">
        <v>12</v>
      </c>
      <c r="E656" s="208">
        <v>43090</v>
      </c>
      <c r="F656" s="209">
        <v>9.93</v>
      </c>
      <c r="G656" s="210" t="s">
        <v>13</v>
      </c>
      <c r="H656" s="211" t="s">
        <v>18</v>
      </c>
      <c r="I656" s="210">
        <v>1</v>
      </c>
      <c r="J656" s="210" t="s">
        <v>15</v>
      </c>
      <c r="K656" s="210" t="s">
        <v>54</v>
      </c>
      <c r="L656" s="211" t="s">
        <v>60</v>
      </c>
      <c r="M656" s="211" t="s">
        <v>17</v>
      </c>
    </row>
    <row r="657" spans="1:13" x14ac:dyDescent="0.2">
      <c r="A657" s="211" t="s">
        <v>55</v>
      </c>
      <c r="B657" s="211" t="s">
        <v>58</v>
      </c>
      <c r="C657" s="211" t="s">
        <v>19</v>
      </c>
      <c r="D657" s="211" t="s">
        <v>12</v>
      </c>
      <c r="E657" s="208">
        <v>43090</v>
      </c>
      <c r="F657" s="221">
        <v>3329.2112400000001</v>
      </c>
      <c r="G657" s="210" t="s">
        <v>16</v>
      </c>
      <c r="H657" s="211" t="s">
        <v>18</v>
      </c>
      <c r="I657" s="210">
        <v>1</v>
      </c>
      <c r="J657" s="210" t="s">
        <v>15</v>
      </c>
      <c r="K657" s="210" t="s">
        <v>54</v>
      </c>
      <c r="L657" s="211" t="s">
        <v>60</v>
      </c>
      <c r="M657" s="211" t="s">
        <v>17</v>
      </c>
    </row>
    <row r="658" spans="1:13" x14ac:dyDescent="0.2">
      <c r="A658" s="211" t="s">
        <v>55</v>
      </c>
      <c r="B658" s="211" t="s">
        <v>58</v>
      </c>
      <c r="C658" s="211" t="s">
        <v>19</v>
      </c>
      <c r="D658" s="211" t="s">
        <v>12</v>
      </c>
      <c r="E658" s="208">
        <v>43089</v>
      </c>
      <c r="F658" s="209">
        <v>15.7309278</v>
      </c>
      <c r="G658" s="210" t="s">
        <v>13</v>
      </c>
      <c r="H658" s="211" t="s">
        <v>14</v>
      </c>
      <c r="I658" s="210">
        <v>1</v>
      </c>
      <c r="J658" s="210" t="s">
        <v>15</v>
      </c>
      <c r="K658" s="210" t="s">
        <v>54</v>
      </c>
      <c r="L658" s="211" t="s">
        <v>60</v>
      </c>
      <c r="M658" s="211" t="s">
        <v>56</v>
      </c>
    </row>
    <row r="659" spans="1:13" x14ac:dyDescent="0.2">
      <c r="A659" s="211" t="s">
        <v>55</v>
      </c>
      <c r="B659" s="211" t="s">
        <v>58</v>
      </c>
      <c r="C659" s="211" t="s">
        <v>19</v>
      </c>
      <c r="D659" s="211" t="s">
        <v>12</v>
      </c>
      <c r="E659" s="208">
        <v>43089</v>
      </c>
      <c r="F659" s="221">
        <v>5339.6746824000002</v>
      </c>
      <c r="G659" s="210" t="s">
        <v>16</v>
      </c>
      <c r="H659" s="211" t="s">
        <v>14</v>
      </c>
      <c r="I659" s="210">
        <v>1</v>
      </c>
      <c r="J659" s="210" t="s">
        <v>15</v>
      </c>
      <c r="K659" s="210" t="s">
        <v>54</v>
      </c>
      <c r="L659" s="211" t="s">
        <v>60</v>
      </c>
      <c r="M659" s="211" t="s">
        <v>56</v>
      </c>
    </row>
    <row r="660" spans="1:13" x14ac:dyDescent="0.2">
      <c r="A660" s="211" t="s">
        <v>55</v>
      </c>
      <c r="B660" s="211" t="s">
        <v>58</v>
      </c>
      <c r="C660" s="211" t="s">
        <v>19</v>
      </c>
      <c r="D660" s="211" t="s">
        <v>12</v>
      </c>
      <c r="E660" s="208">
        <v>43089</v>
      </c>
      <c r="F660" s="209">
        <v>7.67</v>
      </c>
      <c r="G660" s="210" t="s">
        <v>13</v>
      </c>
      <c r="H660" s="211" t="s">
        <v>18</v>
      </c>
      <c r="I660" s="210">
        <v>1</v>
      </c>
      <c r="J660" s="210" t="s">
        <v>15</v>
      </c>
      <c r="K660" s="210" t="s">
        <v>54</v>
      </c>
      <c r="L660" s="211" t="s">
        <v>60</v>
      </c>
      <c r="M660" s="211" t="s">
        <v>17</v>
      </c>
    </row>
    <row r="661" spans="1:13" x14ac:dyDescent="0.2">
      <c r="A661" s="211" t="s">
        <v>55</v>
      </c>
      <c r="B661" s="211" t="s">
        <v>58</v>
      </c>
      <c r="C661" s="211" t="s">
        <v>19</v>
      </c>
      <c r="D661" s="211" t="s">
        <v>12</v>
      </c>
      <c r="E661" s="208">
        <v>43089</v>
      </c>
      <c r="F661" s="221">
        <v>2603.4894599999998</v>
      </c>
      <c r="G661" s="210" t="s">
        <v>16</v>
      </c>
      <c r="H661" s="211" t="s">
        <v>18</v>
      </c>
      <c r="I661" s="210">
        <v>1</v>
      </c>
      <c r="J661" s="210" t="s">
        <v>15</v>
      </c>
      <c r="K661" s="210" t="s">
        <v>54</v>
      </c>
      <c r="L661" s="211" t="s">
        <v>60</v>
      </c>
      <c r="M661" s="211" t="s">
        <v>17</v>
      </c>
    </row>
    <row r="662" spans="1:13" x14ac:dyDescent="0.2">
      <c r="A662" s="211" t="s">
        <v>55</v>
      </c>
      <c r="B662" s="211" t="s">
        <v>58</v>
      </c>
      <c r="C662" s="211" t="s">
        <v>19</v>
      </c>
      <c r="D662" s="211" t="s">
        <v>12</v>
      </c>
      <c r="E662" s="208">
        <v>43088</v>
      </c>
      <c r="F662" s="209">
        <v>15.869744900000001</v>
      </c>
      <c r="G662" s="210" t="s">
        <v>13</v>
      </c>
      <c r="H662" s="211" t="s">
        <v>14</v>
      </c>
      <c r="I662" s="210">
        <v>1</v>
      </c>
      <c r="J662" s="210" t="s">
        <v>15</v>
      </c>
      <c r="K662" s="210" t="s">
        <v>54</v>
      </c>
      <c r="L662" s="211" t="s">
        <v>60</v>
      </c>
      <c r="M662" s="211" t="s">
        <v>56</v>
      </c>
    </row>
    <row r="663" spans="1:13" x14ac:dyDescent="0.2">
      <c r="A663" s="211" t="s">
        <v>55</v>
      </c>
      <c r="B663" s="211" t="s">
        <v>58</v>
      </c>
      <c r="C663" s="211" t="s">
        <v>19</v>
      </c>
      <c r="D663" s="211" t="s">
        <v>12</v>
      </c>
      <c r="E663" s="208">
        <v>43088</v>
      </c>
      <c r="F663" s="221">
        <v>5347.0883967</v>
      </c>
      <c r="G663" s="210" t="s">
        <v>16</v>
      </c>
      <c r="H663" s="211" t="s">
        <v>14</v>
      </c>
      <c r="I663" s="210">
        <v>1</v>
      </c>
      <c r="J663" s="210" t="s">
        <v>15</v>
      </c>
      <c r="K663" s="210" t="s">
        <v>54</v>
      </c>
      <c r="L663" s="211" t="s">
        <v>60</v>
      </c>
      <c r="M663" s="211" t="s">
        <v>56</v>
      </c>
    </row>
    <row r="664" spans="1:13" x14ac:dyDescent="0.2">
      <c r="A664" s="211" t="s">
        <v>55</v>
      </c>
      <c r="B664" s="211" t="s">
        <v>58</v>
      </c>
      <c r="C664" s="211" t="s">
        <v>19</v>
      </c>
      <c r="D664" s="211" t="s">
        <v>12</v>
      </c>
      <c r="E664" s="208">
        <v>43088</v>
      </c>
      <c r="F664" s="209">
        <v>7.74</v>
      </c>
      <c r="G664" s="210" t="s">
        <v>13</v>
      </c>
      <c r="H664" s="211" t="s">
        <v>18</v>
      </c>
      <c r="I664" s="210">
        <v>1</v>
      </c>
      <c r="J664" s="210" t="s">
        <v>15</v>
      </c>
      <c r="K664" s="210" t="s">
        <v>54</v>
      </c>
      <c r="L664" s="211" t="s">
        <v>60</v>
      </c>
      <c r="M664" s="211" t="s">
        <v>17</v>
      </c>
    </row>
    <row r="665" spans="1:13" x14ac:dyDescent="0.2">
      <c r="A665" s="211" t="s">
        <v>55</v>
      </c>
      <c r="B665" s="211" t="s">
        <v>58</v>
      </c>
      <c r="C665" s="211" t="s">
        <v>19</v>
      </c>
      <c r="D665" s="211" t="s">
        <v>12</v>
      </c>
      <c r="E665" s="208">
        <v>43088</v>
      </c>
      <c r="F665" s="221">
        <v>2607.8846400000002</v>
      </c>
      <c r="G665" s="210" t="s">
        <v>16</v>
      </c>
      <c r="H665" s="211" t="s">
        <v>18</v>
      </c>
      <c r="I665" s="210">
        <v>1</v>
      </c>
      <c r="J665" s="210" t="s">
        <v>15</v>
      </c>
      <c r="K665" s="210" t="s">
        <v>54</v>
      </c>
      <c r="L665" s="211" t="s">
        <v>60</v>
      </c>
      <c r="M665" s="211" t="s">
        <v>17</v>
      </c>
    </row>
    <row r="666" spans="1:13" x14ac:dyDescent="0.2">
      <c r="A666" s="211" t="s">
        <v>55</v>
      </c>
      <c r="B666" s="211" t="s">
        <v>58</v>
      </c>
      <c r="C666" s="211" t="s">
        <v>19</v>
      </c>
      <c r="D666" s="211" t="s">
        <v>12</v>
      </c>
      <c r="E666" s="208">
        <v>43087</v>
      </c>
      <c r="F666" s="209">
        <v>15.0922831</v>
      </c>
      <c r="G666" s="210" t="s">
        <v>13</v>
      </c>
      <c r="H666" s="211" t="s">
        <v>14</v>
      </c>
      <c r="I666" s="210">
        <v>1</v>
      </c>
      <c r="J666" s="210" t="s">
        <v>15</v>
      </c>
      <c r="K666" s="210" t="s">
        <v>54</v>
      </c>
      <c r="L666" s="211" t="s">
        <v>60</v>
      </c>
      <c r="M666" s="211" t="s">
        <v>56</v>
      </c>
    </row>
    <row r="667" spans="1:13" x14ac:dyDescent="0.2">
      <c r="A667" s="211" t="s">
        <v>55</v>
      </c>
      <c r="B667" s="211" t="s">
        <v>58</v>
      </c>
      <c r="C667" s="211" t="s">
        <v>19</v>
      </c>
      <c r="D667" s="211" t="s">
        <v>12</v>
      </c>
      <c r="E667" s="208">
        <v>43087</v>
      </c>
      <c r="F667" s="221">
        <v>5122.8943964</v>
      </c>
      <c r="G667" s="210" t="s">
        <v>16</v>
      </c>
      <c r="H667" s="211" t="s">
        <v>14</v>
      </c>
      <c r="I667" s="210">
        <v>1</v>
      </c>
      <c r="J667" s="210" t="s">
        <v>15</v>
      </c>
      <c r="K667" s="210" t="s">
        <v>54</v>
      </c>
      <c r="L667" s="211" t="s">
        <v>60</v>
      </c>
      <c r="M667" s="211" t="s">
        <v>56</v>
      </c>
    </row>
    <row r="668" spans="1:13" x14ac:dyDescent="0.2">
      <c r="A668" s="211" t="s">
        <v>55</v>
      </c>
      <c r="B668" s="211" t="s">
        <v>58</v>
      </c>
      <c r="C668" s="211" t="s">
        <v>19</v>
      </c>
      <c r="D668" s="211" t="s">
        <v>12</v>
      </c>
      <c r="E668" s="208">
        <v>43087</v>
      </c>
      <c r="F668" s="209">
        <v>7.21</v>
      </c>
      <c r="G668" s="210" t="s">
        <v>13</v>
      </c>
      <c r="H668" s="211" t="s">
        <v>18</v>
      </c>
      <c r="I668" s="210">
        <v>1</v>
      </c>
      <c r="J668" s="210" t="s">
        <v>15</v>
      </c>
      <c r="K668" s="210" t="s">
        <v>54</v>
      </c>
      <c r="L668" s="211" t="s">
        <v>60</v>
      </c>
      <c r="M668" s="211" t="s">
        <v>17</v>
      </c>
    </row>
    <row r="669" spans="1:13" x14ac:dyDescent="0.2">
      <c r="A669" s="211" t="s">
        <v>55</v>
      </c>
      <c r="B669" s="211" t="s">
        <v>58</v>
      </c>
      <c r="C669" s="211" t="s">
        <v>19</v>
      </c>
      <c r="D669" s="211" t="s">
        <v>12</v>
      </c>
      <c r="E669" s="208">
        <v>43087</v>
      </c>
      <c r="F669" s="221">
        <v>2447.34798</v>
      </c>
      <c r="G669" s="210" t="s">
        <v>16</v>
      </c>
      <c r="H669" s="211" t="s">
        <v>18</v>
      </c>
      <c r="I669" s="210">
        <v>1</v>
      </c>
      <c r="J669" s="210" t="s">
        <v>15</v>
      </c>
      <c r="K669" s="210" t="s">
        <v>54</v>
      </c>
      <c r="L669" s="211" t="s">
        <v>60</v>
      </c>
      <c r="M669" s="211" t="s">
        <v>17</v>
      </c>
    </row>
    <row r="670" spans="1:13" x14ac:dyDescent="0.2">
      <c r="A670" s="211" t="s">
        <v>55</v>
      </c>
      <c r="B670" s="211" t="s">
        <v>58</v>
      </c>
      <c r="C670" s="211" t="s">
        <v>19</v>
      </c>
      <c r="D670" s="211" t="s">
        <v>12</v>
      </c>
      <c r="E670" s="208">
        <v>43086</v>
      </c>
      <c r="F670" s="209">
        <v>15.651608100000001</v>
      </c>
      <c r="G670" s="210" t="s">
        <v>13</v>
      </c>
      <c r="H670" s="211" t="s">
        <v>14</v>
      </c>
      <c r="I670" s="210">
        <v>1</v>
      </c>
      <c r="J670" s="210" t="s">
        <v>15</v>
      </c>
      <c r="K670" s="210" t="s">
        <v>54</v>
      </c>
      <c r="L670" s="211" t="s">
        <v>60</v>
      </c>
      <c r="M670" s="211" t="s">
        <v>56</v>
      </c>
    </row>
    <row r="671" spans="1:13" x14ac:dyDescent="0.2">
      <c r="A671" s="211" t="s">
        <v>55</v>
      </c>
      <c r="B671" s="211" t="s">
        <v>58</v>
      </c>
      <c r="C671" s="211" t="s">
        <v>19</v>
      </c>
      <c r="D671" s="211" t="s">
        <v>12</v>
      </c>
      <c r="E671" s="208">
        <v>43086</v>
      </c>
      <c r="F671" s="221">
        <v>5273.5902317</v>
      </c>
      <c r="G671" s="210" t="s">
        <v>16</v>
      </c>
      <c r="H671" s="211" t="s">
        <v>14</v>
      </c>
      <c r="I671" s="210">
        <v>1</v>
      </c>
      <c r="J671" s="210" t="s">
        <v>15</v>
      </c>
      <c r="K671" s="210" t="s">
        <v>54</v>
      </c>
      <c r="L671" s="211" t="s">
        <v>60</v>
      </c>
      <c r="M671" s="211" t="s">
        <v>56</v>
      </c>
    </row>
    <row r="672" spans="1:13" x14ac:dyDescent="0.2">
      <c r="A672" s="211" t="s">
        <v>55</v>
      </c>
      <c r="B672" s="211" t="s">
        <v>58</v>
      </c>
      <c r="C672" s="211" t="s">
        <v>19</v>
      </c>
      <c r="D672" s="211" t="s">
        <v>12</v>
      </c>
      <c r="E672" s="208">
        <v>43086</v>
      </c>
      <c r="F672" s="209">
        <v>7.13</v>
      </c>
      <c r="G672" s="210" t="s">
        <v>13</v>
      </c>
      <c r="H672" s="211" t="s">
        <v>18</v>
      </c>
      <c r="I672" s="210">
        <v>1</v>
      </c>
      <c r="J672" s="210" t="s">
        <v>15</v>
      </c>
      <c r="K672" s="210" t="s">
        <v>54</v>
      </c>
      <c r="L672" s="211" t="s">
        <v>60</v>
      </c>
      <c r="M672" s="211" t="s">
        <v>17</v>
      </c>
    </row>
    <row r="673" spans="1:13" x14ac:dyDescent="0.2">
      <c r="A673" s="211" t="s">
        <v>55</v>
      </c>
      <c r="B673" s="211" t="s">
        <v>58</v>
      </c>
      <c r="C673" s="211" t="s">
        <v>19</v>
      </c>
      <c r="D673" s="211" t="s">
        <v>12</v>
      </c>
      <c r="E673" s="208">
        <v>43086</v>
      </c>
      <c r="F673" s="221">
        <v>2402.3536800000002</v>
      </c>
      <c r="G673" s="210" t="s">
        <v>16</v>
      </c>
      <c r="H673" s="211" t="s">
        <v>18</v>
      </c>
      <c r="I673" s="210">
        <v>1</v>
      </c>
      <c r="J673" s="210" t="s">
        <v>15</v>
      </c>
      <c r="K673" s="210" t="s">
        <v>54</v>
      </c>
      <c r="L673" s="211" t="s">
        <v>60</v>
      </c>
      <c r="M673" s="211" t="s">
        <v>17</v>
      </c>
    </row>
    <row r="674" spans="1:13" x14ac:dyDescent="0.2">
      <c r="A674" s="211" t="s">
        <v>55</v>
      </c>
      <c r="B674" s="211" t="s">
        <v>58</v>
      </c>
      <c r="C674" s="211" t="s">
        <v>19</v>
      </c>
      <c r="D674" s="211" t="s">
        <v>12</v>
      </c>
      <c r="E674" s="208">
        <v>43085</v>
      </c>
      <c r="F674" s="209">
        <v>18.548091199999998</v>
      </c>
      <c r="G674" s="210" t="s">
        <v>13</v>
      </c>
      <c r="H674" s="211" t="s">
        <v>14</v>
      </c>
      <c r="I674" s="210">
        <v>1</v>
      </c>
      <c r="J674" s="210" t="s">
        <v>15</v>
      </c>
      <c r="K674" s="210" t="s">
        <v>54</v>
      </c>
      <c r="L674" s="211" t="s">
        <v>60</v>
      </c>
      <c r="M674" s="211" t="s">
        <v>56</v>
      </c>
    </row>
    <row r="675" spans="1:13" x14ac:dyDescent="0.2">
      <c r="A675" s="211" t="s">
        <v>55</v>
      </c>
      <c r="B675" s="211" t="s">
        <v>58</v>
      </c>
      <c r="C675" s="211" t="s">
        <v>19</v>
      </c>
      <c r="D675" s="211" t="s">
        <v>12</v>
      </c>
      <c r="E675" s="208">
        <v>43085</v>
      </c>
      <c r="F675" s="221">
        <v>6234.0505567</v>
      </c>
      <c r="G675" s="210" t="s">
        <v>16</v>
      </c>
      <c r="H675" s="211" t="s">
        <v>14</v>
      </c>
      <c r="I675" s="210">
        <v>1</v>
      </c>
      <c r="J675" s="210" t="s">
        <v>15</v>
      </c>
      <c r="K675" s="210" t="s">
        <v>54</v>
      </c>
      <c r="L675" s="211" t="s">
        <v>60</v>
      </c>
      <c r="M675" s="211" t="s">
        <v>56</v>
      </c>
    </row>
    <row r="676" spans="1:13" x14ac:dyDescent="0.2">
      <c r="A676" s="211" t="s">
        <v>55</v>
      </c>
      <c r="B676" s="211" t="s">
        <v>58</v>
      </c>
      <c r="C676" s="211" t="s">
        <v>19</v>
      </c>
      <c r="D676" s="211" t="s">
        <v>12</v>
      </c>
      <c r="E676" s="208">
        <v>43085</v>
      </c>
      <c r="F676" s="209">
        <v>7.75</v>
      </c>
      <c r="G676" s="210" t="s">
        <v>13</v>
      </c>
      <c r="H676" s="211" t="s">
        <v>18</v>
      </c>
      <c r="I676" s="210">
        <v>1</v>
      </c>
      <c r="J676" s="210" t="s">
        <v>15</v>
      </c>
      <c r="K676" s="210" t="s">
        <v>54</v>
      </c>
      <c r="L676" s="211" t="s">
        <v>60</v>
      </c>
      <c r="M676" s="211" t="s">
        <v>17</v>
      </c>
    </row>
    <row r="677" spans="1:13" x14ac:dyDescent="0.2">
      <c r="A677" s="211" t="s">
        <v>55</v>
      </c>
      <c r="B677" s="211" t="s">
        <v>58</v>
      </c>
      <c r="C677" s="211" t="s">
        <v>19</v>
      </c>
      <c r="D677" s="211" t="s">
        <v>12</v>
      </c>
      <c r="E677" s="208">
        <v>43085</v>
      </c>
      <c r="F677" s="221">
        <v>2604.7905000000001</v>
      </c>
      <c r="G677" s="210" t="s">
        <v>16</v>
      </c>
      <c r="H677" s="211" t="s">
        <v>18</v>
      </c>
      <c r="I677" s="210">
        <v>1</v>
      </c>
      <c r="J677" s="210" t="s">
        <v>15</v>
      </c>
      <c r="K677" s="210" t="s">
        <v>54</v>
      </c>
      <c r="L677" s="211" t="s">
        <v>60</v>
      </c>
      <c r="M677" s="211" t="s">
        <v>17</v>
      </c>
    </row>
    <row r="678" spans="1:13" x14ac:dyDescent="0.2">
      <c r="A678" s="211" t="s">
        <v>55</v>
      </c>
      <c r="B678" s="211" t="s">
        <v>58</v>
      </c>
      <c r="C678" s="211" t="s">
        <v>19</v>
      </c>
      <c r="D678" s="211" t="s">
        <v>12</v>
      </c>
      <c r="E678" s="208">
        <v>43084</v>
      </c>
      <c r="F678" s="209">
        <v>23.525290200000001</v>
      </c>
      <c r="G678" s="210" t="s">
        <v>13</v>
      </c>
      <c r="H678" s="211" t="s">
        <v>14</v>
      </c>
      <c r="I678" s="210">
        <v>1</v>
      </c>
      <c r="J678" s="210" t="s">
        <v>15</v>
      </c>
      <c r="K678" s="210" t="s">
        <v>54</v>
      </c>
      <c r="L678" s="211" t="s">
        <v>60</v>
      </c>
      <c r="M678" s="211" t="s">
        <v>56</v>
      </c>
    </row>
    <row r="679" spans="1:13" x14ac:dyDescent="0.2">
      <c r="A679" s="211" t="s">
        <v>55</v>
      </c>
      <c r="B679" s="211" t="s">
        <v>58</v>
      </c>
      <c r="C679" s="211" t="s">
        <v>19</v>
      </c>
      <c r="D679" s="211" t="s">
        <v>12</v>
      </c>
      <c r="E679" s="208">
        <v>43084</v>
      </c>
      <c r="F679" s="221">
        <v>7769.5564615000003</v>
      </c>
      <c r="G679" s="210" t="s">
        <v>16</v>
      </c>
      <c r="H679" s="211" t="s">
        <v>14</v>
      </c>
      <c r="I679" s="210">
        <v>1</v>
      </c>
      <c r="J679" s="210" t="s">
        <v>15</v>
      </c>
      <c r="K679" s="210" t="s">
        <v>54</v>
      </c>
      <c r="L679" s="211" t="s">
        <v>60</v>
      </c>
      <c r="M679" s="211" t="s">
        <v>56</v>
      </c>
    </row>
    <row r="680" spans="1:13" x14ac:dyDescent="0.2">
      <c r="A680" s="211" t="s">
        <v>55</v>
      </c>
      <c r="B680" s="211" t="s">
        <v>58</v>
      </c>
      <c r="C680" s="211" t="s">
        <v>19</v>
      </c>
      <c r="D680" s="211" t="s">
        <v>12</v>
      </c>
      <c r="E680" s="208">
        <v>43084</v>
      </c>
      <c r="F680" s="209">
        <v>6.28</v>
      </c>
      <c r="G680" s="210" t="s">
        <v>13</v>
      </c>
      <c r="H680" s="211" t="s">
        <v>18</v>
      </c>
      <c r="I680" s="210">
        <v>1</v>
      </c>
      <c r="J680" s="210" t="s">
        <v>15</v>
      </c>
      <c r="K680" s="210" t="s">
        <v>54</v>
      </c>
      <c r="L680" s="211" t="s">
        <v>60</v>
      </c>
      <c r="M680" s="211" t="s">
        <v>17</v>
      </c>
    </row>
    <row r="681" spans="1:13" x14ac:dyDescent="0.2">
      <c r="A681" s="211" t="s">
        <v>55</v>
      </c>
      <c r="B681" s="211" t="s">
        <v>58</v>
      </c>
      <c r="C681" s="211" t="s">
        <v>19</v>
      </c>
      <c r="D681" s="211" t="s">
        <v>12</v>
      </c>
      <c r="E681" s="208">
        <v>43084</v>
      </c>
      <c r="F681" s="221">
        <v>2074.0579200000002</v>
      </c>
      <c r="G681" s="210" t="s">
        <v>16</v>
      </c>
      <c r="H681" s="211" t="s">
        <v>18</v>
      </c>
      <c r="I681" s="210">
        <v>1</v>
      </c>
      <c r="J681" s="210" t="s">
        <v>15</v>
      </c>
      <c r="K681" s="210" t="s">
        <v>54</v>
      </c>
      <c r="L681" s="211" t="s">
        <v>60</v>
      </c>
      <c r="M681" s="211" t="s">
        <v>17</v>
      </c>
    </row>
    <row r="682" spans="1:13" x14ac:dyDescent="0.2">
      <c r="A682" s="211" t="s">
        <v>55</v>
      </c>
      <c r="B682" s="211" t="s">
        <v>58</v>
      </c>
      <c r="C682" s="211" t="s">
        <v>19</v>
      </c>
      <c r="D682" s="211" t="s">
        <v>12</v>
      </c>
      <c r="E682" s="208">
        <v>43083</v>
      </c>
      <c r="F682" s="209">
        <v>22.786653699999999</v>
      </c>
      <c r="G682" s="210" t="s">
        <v>13</v>
      </c>
      <c r="H682" s="211" t="s">
        <v>14</v>
      </c>
      <c r="I682" s="210">
        <v>1</v>
      </c>
      <c r="J682" s="210" t="s">
        <v>15</v>
      </c>
      <c r="K682" s="210" t="s">
        <v>54</v>
      </c>
      <c r="L682" s="211" t="s">
        <v>60</v>
      </c>
      <c r="M682" s="211" t="s">
        <v>56</v>
      </c>
    </row>
    <row r="683" spans="1:13" x14ac:dyDescent="0.2">
      <c r="A683" s="211" t="s">
        <v>55</v>
      </c>
      <c r="B683" s="211" t="s">
        <v>58</v>
      </c>
      <c r="C683" s="211" t="s">
        <v>19</v>
      </c>
      <c r="D683" s="211" t="s">
        <v>12</v>
      </c>
      <c r="E683" s="208">
        <v>43083</v>
      </c>
      <c r="F683" s="221">
        <v>7867.6846675999996</v>
      </c>
      <c r="G683" s="210" t="s">
        <v>16</v>
      </c>
      <c r="H683" s="211" t="s">
        <v>14</v>
      </c>
      <c r="I683" s="210">
        <v>1</v>
      </c>
      <c r="J683" s="210" t="s">
        <v>15</v>
      </c>
      <c r="K683" s="210" t="s">
        <v>54</v>
      </c>
      <c r="L683" s="211" t="s">
        <v>60</v>
      </c>
      <c r="M683" s="211" t="s">
        <v>56</v>
      </c>
    </row>
    <row r="684" spans="1:13" x14ac:dyDescent="0.2">
      <c r="A684" s="211" t="s">
        <v>55</v>
      </c>
      <c r="B684" s="211" t="s">
        <v>58</v>
      </c>
      <c r="C684" s="211" t="s">
        <v>19</v>
      </c>
      <c r="D684" s="211" t="s">
        <v>12</v>
      </c>
      <c r="E684" s="208">
        <v>43083</v>
      </c>
      <c r="F684" s="209">
        <v>5.54</v>
      </c>
      <c r="G684" s="210" t="s">
        <v>13</v>
      </c>
      <c r="H684" s="211" t="s">
        <v>18</v>
      </c>
      <c r="I684" s="210">
        <v>1</v>
      </c>
      <c r="J684" s="210" t="s">
        <v>15</v>
      </c>
      <c r="K684" s="210" t="s">
        <v>54</v>
      </c>
      <c r="L684" s="211" t="s">
        <v>60</v>
      </c>
      <c r="M684" s="211" t="s">
        <v>17</v>
      </c>
    </row>
    <row r="685" spans="1:13" x14ac:dyDescent="0.2">
      <c r="A685" s="211" t="s">
        <v>55</v>
      </c>
      <c r="B685" s="211" t="s">
        <v>58</v>
      </c>
      <c r="C685" s="211" t="s">
        <v>19</v>
      </c>
      <c r="D685" s="211" t="s">
        <v>12</v>
      </c>
      <c r="E685" s="208">
        <v>43083</v>
      </c>
      <c r="F685" s="221">
        <v>1912.8290400000001</v>
      </c>
      <c r="G685" s="210" t="s">
        <v>16</v>
      </c>
      <c r="H685" s="211" t="s">
        <v>18</v>
      </c>
      <c r="I685" s="210">
        <v>1</v>
      </c>
      <c r="J685" s="210" t="s">
        <v>15</v>
      </c>
      <c r="K685" s="210" t="s">
        <v>54</v>
      </c>
      <c r="L685" s="211" t="s">
        <v>60</v>
      </c>
      <c r="M685" s="211" t="s">
        <v>17</v>
      </c>
    </row>
    <row r="686" spans="1:13" x14ac:dyDescent="0.2">
      <c r="A686" s="211" t="s">
        <v>55</v>
      </c>
      <c r="B686" s="211" t="s">
        <v>58</v>
      </c>
      <c r="C686" s="211" t="s">
        <v>19</v>
      </c>
      <c r="D686" s="211" t="s">
        <v>12</v>
      </c>
      <c r="E686" s="208">
        <v>43082</v>
      </c>
      <c r="F686" s="209">
        <v>12.8216494</v>
      </c>
      <c r="G686" s="210" t="s">
        <v>13</v>
      </c>
      <c r="H686" s="211" t="s">
        <v>14</v>
      </c>
      <c r="I686" s="210">
        <v>1</v>
      </c>
      <c r="J686" s="210" t="s">
        <v>15</v>
      </c>
      <c r="K686" s="210" t="s">
        <v>54</v>
      </c>
      <c r="L686" s="211" t="s">
        <v>60</v>
      </c>
      <c r="M686" s="211" t="s">
        <v>56</v>
      </c>
    </row>
    <row r="687" spans="1:13" x14ac:dyDescent="0.2">
      <c r="A687" s="211" t="s">
        <v>55</v>
      </c>
      <c r="B687" s="211" t="s">
        <v>58</v>
      </c>
      <c r="C687" s="211" t="s">
        <v>19</v>
      </c>
      <c r="D687" s="211" t="s">
        <v>12</v>
      </c>
      <c r="E687" s="208">
        <v>43082</v>
      </c>
      <c r="F687" s="221">
        <v>4148.9831999999997</v>
      </c>
      <c r="G687" s="210" t="s">
        <v>16</v>
      </c>
      <c r="H687" s="211" t="s">
        <v>14</v>
      </c>
      <c r="I687" s="210">
        <v>1</v>
      </c>
      <c r="J687" s="210" t="s">
        <v>15</v>
      </c>
      <c r="K687" s="210" t="s">
        <v>54</v>
      </c>
      <c r="L687" s="211" t="s">
        <v>60</v>
      </c>
      <c r="M687" s="211" t="s">
        <v>56</v>
      </c>
    </row>
    <row r="688" spans="1:13" x14ac:dyDescent="0.2">
      <c r="A688" s="211" t="s">
        <v>55</v>
      </c>
      <c r="B688" s="211" t="s">
        <v>58</v>
      </c>
      <c r="C688" s="211" t="s">
        <v>19</v>
      </c>
      <c r="D688" s="211" t="s">
        <v>12</v>
      </c>
      <c r="E688" s="208">
        <v>43082</v>
      </c>
      <c r="F688" s="209">
        <v>4.8899999999999997</v>
      </c>
      <c r="G688" s="210" t="s">
        <v>13</v>
      </c>
      <c r="H688" s="211" t="s">
        <v>18</v>
      </c>
      <c r="I688" s="210">
        <v>1</v>
      </c>
      <c r="J688" s="210" t="s">
        <v>15</v>
      </c>
      <c r="K688" s="210" t="s">
        <v>54</v>
      </c>
      <c r="L688" s="211" t="s">
        <v>60</v>
      </c>
      <c r="M688" s="211" t="s">
        <v>17</v>
      </c>
    </row>
    <row r="689" spans="1:13" x14ac:dyDescent="0.2">
      <c r="A689" s="211" t="s">
        <v>55</v>
      </c>
      <c r="B689" s="211" t="s">
        <v>58</v>
      </c>
      <c r="C689" s="211" t="s">
        <v>19</v>
      </c>
      <c r="D689" s="211" t="s">
        <v>12</v>
      </c>
      <c r="E689" s="208">
        <v>43082</v>
      </c>
      <c r="F689" s="221">
        <v>1582.3648800000001</v>
      </c>
      <c r="G689" s="210" t="s">
        <v>16</v>
      </c>
      <c r="H689" s="211" t="s">
        <v>18</v>
      </c>
      <c r="I689" s="210">
        <v>1</v>
      </c>
      <c r="J689" s="210" t="s">
        <v>15</v>
      </c>
      <c r="K689" s="210" t="s">
        <v>54</v>
      </c>
      <c r="L689" s="211" t="s">
        <v>60</v>
      </c>
      <c r="M689" s="211" t="s">
        <v>17</v>
      </c>
    </row>
    <row r="690" spans="1:13" x14ac:dyDescent="0.2">
      <c r="A690" s="211" t="s">
        <v>55</v>
      </c>
      <c r="B690" s="211" t="s">
        <v>58</v>
      </c>
      <c r="C690" s="211" t="s">
        <v>19</v>
      </c>
      <c r="D690" s="211" t="s">
        <v>12</v>
      </c>
      <c r="E690" s="208">
        <v>43081</v>
      </c>
      <c r="F690" s="209">
        <v>9.7582749999999994</v>
      </c>
      <c r="G690" s="210" t="s">
        <v>13</v>
      </c>
      <c r="H690" s="211" t="s">
        <v>14</v>
      </c>
      <c r="I690" s="210">
        <v>1</v>
      </c>
      <c r="J690" s="210" t="s">
        <v>15</v>
      </c>
      <c r="K690" s="210" t="s">
        <v>54</v>
      </c>
      <c r="L690" s="211" t="s">
        <v>60</v>
      </c>
      <c r="M690" s="211" t="s">
        <v>56</v>
      </c>
    </row>
    <row r="691" spans="1:13" x14ac:dyDescent="0.2">
      <c r="A691" s="211" t="s">
        <v>55</v>
      </c>
      <c r="B691" s="211" t="s">
        <v>58</v>
      </c>
      <c r="C691" s="211" t="s">
        <v>19</v>
      </c>
      <c r="D691" s="211" t="s">
        <v>12</v>
      </c>
      <c r="E691" s="208">
        <v>43081</v>
      </c>
      <c r="F691" s="221">
        <v>3141.4229398000002</v>
      </c>
      <c r="G691" s="210" t="s">
        <v>16</v>
      </c>
      <c r="H691" s="211" t="s">
        <v>14</v>
      </c>
      <c r="I691" s="210">
        <v>1</v>
      </c>
      <c r="J691" s="210" t="s">
        <v>15</v>
      </c>
      <c r="K691" s="210" t="s">
        <v>54</v>
      </c>
      <c r="L691" s="211" t="s">
        <v>60</v>
      </c>
      <c r="M691" s="211" t="s">
        <v>56</v>
      </c>
    </row>
    <row r="692" spans="1:13" x14ac:dyDescent="0.2">
      <c r="A692" s="211" t="s">
        <v>55</v>
      </c>
      <c r="B692" s="211" t="s">
        <v>58</v>
      </c>
      <c r="C692" s="211" t="s">
        <v>19</v>
      </c>
      <c r="D692" s="211" t="s">
        <v>12</v>
      </c>
      <c r="E692" s="208">
        <v>43081</v>
      </c>
      <c r="F692" s="209">
        <v>6.02</v>
      </c>
      <c r="G692" s="210" t="s">
        <v>13</v>
      </c>
      <c r="H692" s="211" t="s">
        <v>18</v>
      </c>
      <c r="I692" s="210">
        <v>1</v>
      </c>
      <c r="J692" s="210" t="s">
        <v>15</v>
      </c>
      <c r="K692" s="210" t="s">
        <v>54</v>
      </c>
      <c r="L692" s="211" t="s">
        <v>60</v>
      </c>
      <c r="M692" s="211" t="s">
        <v>17</v>
      </c>
    </row>
    <row r="693" spans="1:13" x14ac:dyDescent="0.2">
      <c r="A693" s="211" t="s">
        <v>55</v>
      </c>
      <c r="B693" s="211" t="s">
        <v>58</v>
      </c>
      <c r="C693" s="211" t="s">
        <v>19</v>
      </c>
      <c r="D693" s="211" t="s">
        <v>12</v>
      </c>
      <c r="E693" s="208">
        <v>43081</v>
      </c>
      <c r="F693" s="221">
        <v>1937.9824799999999</v>
      </c>
      <c r="G693" s="210" t="s">
        <v>16</v>
      </c>
      <c r="H693" s="211" t="s">
        <v>18</v>
      </c>
      <c r="I693" s="210">
        <v>1</v>
      </c>
      <c r="J693" s="210" t="s">
        <v>15</v>
      </c>
      <c r="K693" s="210" t="s">
        <v>54</v>
      </c>
      <c r="L693" s="211" t="s">
        <v>60</v>
      </c>
      <c r="M693" s="211" t="s">
        <v>17</v>
      </c>
    </row>
    <row r="694" spans="1:13" x14ac:dyDescent="0.2">
      <c r="A694" s="211" t="s">
        <v>55</v>
      </c>
      <c r="B694" s="211" t="s">
        <v>58</v>
      </c>
      <c r="C694" s="211" t="s">
        <v>19</v>
      </c>
      <c r="D694" s="211" t="s">
        <v>12</v>
      </c>
      <c r="E694" s="208">
        <v>43080</v>
      </c>
      <c r="F694" s="209">
        <v>18.1088168</v>
      </c>
      <c r="G694" s="210" t="s">
        <v>13</v>
      </c>
      <c r="H694" s="211" t="s">
        <v>14</v>
      </c>
      <c r="I694" s="210">
        <v>1</v>
      </c>
      <c r="J694" s="210" t="s">
        <v>15</v>
      </c>
      <c r="K694" s="210" t="s">
        <v>54</v>
      </c>
      <c r="L694" s="211" t="s">
        <v>60</v>
      </c>
      <c r="M694" s="211" t="s">
        <v>56</v>
      </c>
    </row>
    <row r="695" spans="1:13" x14ac:dyDescent="0.2">
      <c r="A695" s="211" t="s">
        <v>55</v>
      </c>
      <c r="B695" s="211" t="s">
        <v>58</v>
      </c>
      <c r="C695" s="211" t="s">
        <v>19</v>
      </c>
      <c r="D695" s="211" t="s">
        <v>12</v>
      </c>
      <c r="E695" s="208">
        <v>43080</v>
      </c>
      <c r="F695" s="221">
        <v>6010.8958045999998</v>
      </c>
      <c r="G695" s="210" t="s">
        <v>16</v>
      </c>
      <c r="H695" s="211" t="s">
        <v>14</v>
      </c>
      <c r="I695" s="210">
        <v>1</v>
      </c>
      <c r="J695" s="210" t="s">
        <v>15</v>
      </c>
      <c r="K695" s="210" t="s">
        <v>54</v>
      </c>
      <c r="L695" s="211" t="s">
        <v>60</v>
      </c>
      <c r="M695" s="211" t="s">
        <v>56</v>
      </c>
    </row>
    <row r="696" spans="1:13" x14ac:dyDescent="0.2">
      <c r="A696" s="211" t="s">
        <v>55</v>
      </c>
      <c r="B696" s="211" t="s">
        <v>58</v>
      </c>
      <c r="C696" s="211" t="s">
        <v>19</v>
      </c>
      <c r="D696" s="211" t="s">
        <v>12</v>
      </c>
      <c r="E696" s="208">
        <v>43080</v>
      </c>
      <c r="F696" s="209">
        <v>6.96</v>
      </c>
      <c r="G696" s="210" t="s">
        <v>13</v>
      </c>
      <c r="H696" s="211" t="s">
        <v>18</v>
      </c>
      <c r="I696" s="210">
        <v>1</v>
      </c>
      <c r="J696" s="210" t="s">
        <v>15</v>
      </c>
      <c r="K696" s="210" t="s">
        <v>54</v>
      </c>
      <c r="L696" s="211" t="s">
        <v>60</v>
      </c>
      <c r="M696" s="211" t="s">
        <v>17</v>
      </c>
    </row>
    <row r="697" spans="1:13" x14ac:dyDescent="0.2">
      <c r="A697" s="211" t="s">
        <v>55</v>
      </c>
      <c r="B697" s="211" t="s">
        <v>58</v>
      </c>
      <c r="C697" s="211" t="s">
        <v>19</v>
      </c>
      <c r="D697" s="211" t="s">
        <v>12</v>
      </c>
      <c r="E697" s="208">
        <v>43080</v>
      </c>
      <c r="F697" s="221">
        <v>2310.2467200000001</v>
      </c>
      <c r="G697" s="210" t="s">
        <v>16</v>
      </c>
      <c r="H697" s="211" t="s">
        <v>18</v>
      </c>
      <c r="I697" s="210">
        <v>1</v>
      </c>
      <c r="J697" s="210" t="s">
        <v>15</v>
      </c>
      <c r="K697" s="210" t="s">
        <v>54</v>
      </c>
      <c r="L697" s="211" t="s">
        <v>60</v>
      </c>
      <c r="M697" s="211" t="s">
        <v>17</v>
      </c>
    </row>
    <row r="698" spans="1:13" x14ac:dyDescent="0.2">
      <c r="A698" s="211" t="s">
        <v>55</v>
      </c>
      <c r="B698" s="211" t="s">
        <v>58</v>
      </c>
      <c r="C698" s="211" t="s">
        <v>19</v>
      </c>
      <c r="D698" s="211" t="s">
        <v>12</v>
      </c>
      <c r="E698" s="208">
        <v>43079</v>
      </c>
      <c r="F698" s="209">
        <v>18.497553499999999</v>
      </c>
      <c r="G698" s="210" t="s">
        <v>13</v>
      </c>
      <c r="H698" s="211" t="s">
        <v>14</v>
      </c>
      <c r="I698" s="210">
        <v>1</v>
      </c>
      <c r="J698" s="210" t="s">
        <v>15</v>
      </c>
      <c r="K698" s="210" t="s">
        <v>54</v>
      </c>
      <c r="L698" s="211" t="s">
        <v>60</v>
      </c>
      <c r="M698" s="211" t="s">
        <v>56</v>
      </c>
    </row>
    <row r="699" spans="1:13" x14ac:dyDescent="0.2">
      <c r="A699" s="211" t="s">
        <v>55</v>
      </c>
      <c r="B699" s="211" t="s">
        <v>58</v>
      </c>
      <c r="C699" s="211" t="s">
        <v>19</v>
      </c>
      <c r="D699" s="211" t="s">
        <v>12</v>
      </c>
      <c r="E699" s="208">
        <v>43079</v>
      </c>
      <c r="F699" s="221">
        <v>6047.3681760999998</v>
      </c>
      <c r="G699" s="210" t="s">
        <v>16</v>
      </c>
      <c r="H699" s="211" t="s">
        <v>14</v>
      </c>
      <c r="I699" s="210">
        <v>1</v>
      </c>
      <c r="J699" s="210" t="s">
        <v>15</v>
      </c>
      <c r="K699" s="210" t="s">
        <v>54</v>
      </c>
      <c r="L699" s="211" t="s">
        <v>60</v>
      </c>
      <c r="M699" s="211" t="s">
        <v>56</v>
      </c>
    </row>
    <row r="700" spans="1:13" x14ac:dyDescent="0.2">
      <c r="A700" s="211" t="s">
        <v>55</v>
      </c>
      <c r="B700" s="211" t="s">
        <v>58</v>
      </c>
      <c r="C700" s="211" t="s">
        <v>19</v>
      </c>
      <c r="D700" s="211" t="s">
        <v>12</v>
      </c>
      <c r="E700" s="208">
        <v>43079</v>
      </c>
      <c r="F700" s="209">
        <v>8.18</v>
      </c>
      <c r="G700" s="210" t="s">
        <v>13</v>
      </c>
      <c r="H700" s="211" t="s">
        <v>18</v>
      </c>
      <c r="I700" s="210">
        <v>1</v>
      </c>
      <c r="J700" s="210" t="s">
        <v>15</v>
      </c>
      <c r="K700" s="210" t="s">
        <v>54</v>
      </c>
      <c r="L700" s="211" t="s">
        <v>60</v>
      </c>
      <c r="M700" s="211" t="s">
        <v>17</v>
      </c>
    </row>
    <row r="701" spans="1:13" x14ac:dyDescent="0.2">
      <c r="A701" s="211" t="s">
        <v>55</v>
      </c>
      <c r="B701" s="211" t="s">
        <v>58</v>
      </c>
      <c r="C701" s="211" t="s">
        <v>19</v>
      </c>
      <c r="D701" s="211" t="s">
        <v>12</v>
      </c>
      <c r="E701" s="208">
        <v>43079</v>
      </c>
      <c r="F701" s="221">
        <v>2674.2710400000001</v>
      </c>
      <c r="G701" s="210" t="s">
        <v>16</v>
      </c>
      <c r="H701" s="211" t="s">
        <v>18</v>
      </c>
      <c r="I701" s="210">
        <v>1</v>
      </c>
      <c r="J701" s="210" t="s">
        <v>15</v>
      </c>
      <c r="K701" s="210" t="s">
        <v>54</v>
      </c>
      <c r="L701" s="211" t="s">
        <v>60</v>
      </c>
      <c r="M701" s="211" t="s">
        <v>17</v>
      </c>
    </row>
    <row r="702" spans="1:13" x14ac:dyDescent="0.2">
      <c r="A702" s="211" t="s">
        <v>55</v>
      </c>
      <c r="B702" s="211" t="s">
        <v>58</v>
      </c>
      <c r="C702" s="211" t="s">
        <v>19</v>
      </c>
      <c r="D702" s="211" t="s">
        <v>12</v>
      </c>
      <c r="E702" s="208">
        <v>43078</v>
      </c>
      <c r="F702" s="209">
        <v>18.471291099999998</v>
      </c>
      <c r="G702" s="210" t="s">
        <v>13</v>
      </c>
      <c r="H702" s="211" t="s">
        <v>14</v>
      </c>
      <c r="I702" s="210">
        <v>1</v>
      </c>
      <c r="J702" s="210" t="s">
        <v>15</v>
      </c>
      <c r="K702" s="210" t="s">
        <v>54</v>
      </c>
      <c r="L702" s="211" t="s">
        <v>60</v>
      </c>
      <c r="M702" s="211" t="s">
        <v>56</v>
      </c>
    </row>
    <row r="703" spans="1:13" x14ac:dyDescent="0.2">
      <c r="A703" s="211" t="s">
        <v>55</v>
      </c>
      <c r="B703" s="211" t="s">
        <v>58</v>
      </c>
      <c r="C703" s="211" t="s">
        <v>19</v>
      </c>
      <c r="D703" s="211" t="s">
        <v>12</v>
      </c>
      <c r="E703" s="208">
        <v>43078</v>
      </c>
      <c r="F703" s="221">
        <v>6405.4226343</v>
      </c>
      <c r="G703" s="210" t="s">
        <v>16</v>
      </c>
      <c r="H703" s="211" t="s">
        <v>14</v>
      </c>
      <c r="I703" s="210">
        <v>1</v>
      </c>
      <c r="J703" s="210" t="s">
        <v>15</v>
      </c>
      <c r="K703" s="210" t="s">
        <v>54</v>
      </c>
      <c r="L703" s="211" t="s">
        <v>60</v>
      </c>
      <c r="M703" s="211" t="s">
        <v>56</v>
      </c>
    </row>
    <row r="704" spans="1:13" x14ac:dyDescent="0.2">
      <c r="A704" s="211" t="s">
        <v>55</v>
      </c>
      <c r="B704" s="211" t="s">
        <v>58</v>
      </c>
      <c r="C704" s="211" t="s">
        <v>19</v>
      </c>
      <c r="D704" s="211" t="s">
        <v>12</v>
      </c>
      <c r="E704" s="208">
        <v>43078</v>
      </c>
      <c r="F704" s="209">
        <v>9.65</v>
      </c>
      <c r="G704" s="210" t="s">
        <v>13</v>
      </c>
      <c r="H704" s="211" t="s">
        <v>18</v>
      </c>
      <c r="I704" s="210">
        <v>1</v>
      </c>
      <c r="J704" s="210" t="s">
        <v>15</v>
      </c>
      <c r="K704" s="210" t="s">
        <v>54</v>
      </c>
      <c r="L704" s="211" t="s">
        <v>60</v>
      </c>
      <c r="M704" s="211" t="s">
        <v>17</v>
      </c>
    </row>
    <row r="705" spans="1:13" x14ac:dyDescent="0.2">
      <c r="A705" s="211" t="s">
        <v>55</v>
      </c>
      <c r="B705" s="211" t="s">
        <v>58</v>
      </c>
      <c r="C705" s="211" t="s">
        <v>19</v>
      </c>
      <c r="D705" s="211" t="s">
        <v>12</v>
      </c>
      <c r="E705" s="208">
        <v>43078</v>
      </c>
      <c r="F705" s="221">
        <v>3348.0095999999999</v>
      </c>
      <c r="G705" s="210" t="s">
        <v>16</v>
      </c>
      <c r="H705" s="211" t="s">
        <v>18</v>
      </c>
      <c r="I705" s="210">
        <v>1</v>
      </c>
      <c r="J705" s="210" t="s">
        <v>15</v>
      </c>
      <c r="K705" s="210" t="s">
        <v>54</v>
      </c>
      <c r="L705" s="211" t="s">
        <v>60</v>
      </c>
      <c r="M705" s="211" t="s">
        <v>17</v>
      </c>
    </row>
    <row r="706" spans="1:13" x14ac:dyDescent="0.2">
      <c r="A706" s="211" t="s">
        <v>55</v>
      </c>
      <c r="B706" s="211" t="s">
        <v>58</v>
      </c>
      <c r="C706" s="211" t="s">
        <v>19</v>
      </c>
      <c r="D706" s="211" t="s">
        <v>12</v>
      </c>
      <c r="E706" s="208">
        <v>43077</v>
      </c>
      <c r="F706" s="222">
        <v>32.065515499999997</v>
      </c>
      <c r="G706" s="210" t="s">
        <v>13</v>
      </c>
      <c r="H706" s="211" t="s">
        <v>14</v>
      </c>
      <c r="I706" s="210">
        <v>1</v>
      </c>
      <c r="J706" s="210" t="s">
        <v>15</v>
      </c>
      <c r="K706" s="210" t="s">
        <v>54</v>
      </c>
      <c r="L706" s="211" t="s">
        <v>60</v>
      </c>
      <c r="M706" s="211" t="s">
        <v>56</v>
      </c>
    </row>
    <row r="707" spans="1:13" x14ac:dyDescent="0.2">
      <c r="A707" s="211" t="s">
        <v>55</v>
      </c>
      <c r="B707" s="211" t="s">
        <v>58</v>
      </c>
      <c r="C707" s="211" t="s">
        <v>19</v>
      </c>
      <c r="D707" s="211" t="s">
        <v>12</v>
      </c>
      <c r="E707" s="208">
        <v>43077</v>
      </c>
      <c r="F707" s="223">
        <v>11060.7559</v>
      </c>
      <c r="G707" s="224" t="s">
        <v>16</v>
      </c>
      <c r="H707" s="225" t="s">
        <v>14</v>
      </c>
      <c r="I707" s="210">
        <v>1</v>
      </c>
      <c r="J707" s="210" t="s">
        <v>15</v>
      </c>
      <c r="K707" s="210" t="s">
        <v>54</v>
      </c>
      <c r="L707" s="211" t="s">
        <v>60</v>
      </c>
      <c r="M707" s="211" t="s">
        <v>56</v>
      </c>
    </row>
    <row r="708" spans="1:13" x14ac:dyDescent="0.2">
      <c r="A708" s="211" t="s">
        <v>55</v>
      </c>
      <c r="B708" s="211" t="s">
        <v>58</v>
      </c>
      <c r="C708" s="211" t="s">
        <v>19</v>
      </c>
      <c r="D708" s="211" t="s">
        <v>12</v>
      </c>
      <c r="E708" s="208">
        <v>43077</v>
      </c>
      <c r="F708" s="222">
        <v>7.79</v>
      </c>
      <c r="G708" s="210" t="s">
        <v>13</v>
      </c>
      <c r="H708" s="211" t="s">
        <v>18</v>
      </c>
      <c r="I708" s="210">
        <v>1</v>
      </c>
      <c r="J708" s="210" t="s">
        <v>15</v>
      </c>
      <c r="K708" s="210" t="s">
        <v>54</v>
      </c>
      <c r="L708" s="211" t="s">
        <v>60</v>
      </c>
      <c r="M708" s="211" t="s">
        <v>17</v>
      </c>
    </row>
    <row r="709" spans="1:13" x14ac:dyDescent="0.2">
      <c r="A709" s="211" t="s">
        <v>55</v>
      </c>
      <c r="B709" s="211" t="s">
        <v>58</v>
      </c>
      <c r="C709" s="211" t="s">
        <v>19</v>
      </c>
      <c r="D709" s="211" t="s">
        <v>12</v>
      </c>
      <c r="E709" s="208">
        <v>43077</v>
      </c>
      <c r="F709" s="223">
        <v>2689.7000400000002</v>
      </c>
      <c r="G709" s="210" t="s">
        <v>16</v>
      </c>
      <c r="H709" s="211" t="s">
        <v>18</v>
      </c>
      <c r="I709" s="210">
        <v>1</v>
      </c>
      <c r="J709" s="210" t="s">
        <v>15</v>
      </c>
      <c r="K709" s="210" t="s">
        <v>54</v>
      </c>
      <c r="L709" s="211" t="s">
        <v>60</v>
      </c>
      <c r="M709" s="211" t="s">
        <v>17</v>
      </c>
    </row>
    <row r="710" spans="1:13" x14ac:dyDescent="0.2">
      <c r="A710" s="211" t="s">
        <v>55</v>
      </c>
      <c r="B710" s="211" t="s">
        <v>58</v>
      </c>
      <c r="C710" s="211" t="s">
        <v>19</v>
      </c>
      <c r="D710" s="211" t="s">
        <v>12</v>
      </c>
      <c r="E710" s="208">
        <v>43076</v>
      </c>
      <c r="F710" s="209">
        <v>17.862849300000001</v>
      </c>
      <c r="G710" s="210" t="s">
        <v>13</v>
      </c>
      <c r="H710" s="211" t="s">
        <v>14</v>
      </c>
      <c r="I710" s="210">
        <v>1</v>
      </c>
      <c r="J710" s="210" t="s">
        <v>15</v>
      </c>
      <c r="K710" s="210" t="s">
        <v>54</v>
      </c>
      <c r="L710" s="211" t="s">
        <v>60</v>
      </c>
      <c r="M710" s="211" t="s">
        <v>56</v>
      </c>
    </row>
    <row r="711" spans="1:13" x14ac:dyDescent="0.2">
      <c r="A711" s="211" t="s">
        <v>55</v>
      </c>
      <c r="B711" s="211" t="s">
        <v>58</v>
      </c>
      <c r="C711" s="211" t="s">
        <v>19</v>
      </c>
      <c r="D711" s="211" t="s">
        <v>12</v>
      </c>
      <c r="E711" s="208">
        <v>43076</v>
      </c>
      <c r="F711" s="221">
        <v>5824.9680086999997</v>
      </c>
      <c r="G711" s="210" t="s">
        <v>16</v>
      </c>
      <c r="H711" s="211" t="s">
        <v>14</v>
      </c>
      <c r="I711" s="210">
        <v>1</v>
      </c>
      <c r="J711" s="210" t="s">
        <v>15</v>
      </c>
      <c r="K711" s="210" t="s">
        <v>54</v>
      </c>
      <c r="L711" s="211" t="s">
        <v>60</v>
      </c>
      <c r="M711" s="211" t="s">
        <v>56</v>
      </c>
    </row>
    <row r="712" spans="1:13" x14ac:dyDescent="0.2">
      <c r="A712" s="211" t="s">
        <v>55</v>
      </c>
      <c r="B712" s="211" t="s">
        <v>58</v>
      </c>
      <c r="C712" s="211" t="s">
        <v>19</v>
      </c>
      <c r="D712" s="211" t="s">
        <v>12</v>
      </c>
      <c r="E712" s="208">
        <v>43076</v>
      </c>
      <c r="F712" s="209">
        <v>7.42</v>
      </c>
      <c r="G712" s="210" t="s">
        <v>13</v>
      </c>
      <c r="H712" s="211" t="s">
        <v>18</v>
      </c>
      <c r="I712" s="210">
        <v>1</v>
      </c>
      <c r="J712" s="210" t="s">
        <v>15</v>
      </c>
      <c r="K712" s="210" t="s">
        <v>54</v>
      </c>
      <c r="L712" s="211" t="s">
        <v>60</v>
      </c>
      <c r="M712" s="211" t="s">
        <v>17</v>
      </c>
    </row>
    <row r="713" spans="1:13" x14ac:dyDescent="0.2">
      <c r="A713" s="211" t="s">
        <v>55</v>
      </c>
      <c r="B713" s="211" t="s">
        <v>58</v>
      </c>
      <c r="C713" s="211" t="s">
        <v>19</v>
      </c>
      <c r="D713" s="211" t="s">
        <v>12</v>
      </c>
      <c r="E713" s="208">
        <v>43076</v>
      </c>
      <c r="F713" s="221">
        <v>2419.6174799999999</v>
      </c>
      <c r="G713" s="210" t="s">
        <v>16</v>
      </c>
      <c r="H713" s="211" t="s">
        <v>18</v>
      </c>
      <c r="I713" s="210">
        <v>1</v>
      </c>
      <c r="J713" s="210" t="s">
        <v>15</v>
      </c>
      <c r="K713" s="210" t="s">
        <v>54</v>
      </c>
      <c r="L713" s="211" t="s">
        <v>60</v>
      </c>
      <c r="M713" s="211" t="s">
        <v>17</v>
      </c>
    </row>
    <row r="714" spans="1:13" x14ac:dyDescent="0.2">
      <c r="A714" s="211" t="s">
        <v>55</v>
      </c>
      <c r="B714" s="211" t="s">
        <v>58</v>
      </c>
      <c r="C714" s="211" t="s">
        <v>19</v>
      </c>
      <c r="D714" s="211" t="s">
        <v>12</v>
      </c>
      <c r="E714" s="208">
        <v>43075</v>
      </c>
      <c r="F714" s="209">
        <v>10.957376999999999</v>
      </c>
      <c r="G714" s="210" t="s">
        <v>13</v>
      </c>
      <c r="H714" s="211" t="s">
        <v>14</v>
      </c>
      <c r="I714" s="210">
        <v>1</v>
      </c>
      <c r="J714" s="210" t="s">
        <v>15</v>
      </c>
      <c r="K714" s="210" t="s">
        <v>54</v>
      </c>
      <c r="L714" s="211" t="s">
        <v>60</v>
      </c>
      <c r="M714" s="211" t="s">
        <v>56</v>
      </c>
    </row>
    <row r="715" spans="1:13" x14ac:dyDescent="0.2">
      <c r="A715" s="211" t="s">
        <v>55</v>
      </c>
      <c r="B715" s="211" t="s">
        <v>58</v>
      </c>
      <c r="C715" s="211" t="s">
        <v>19</v>
      </c>
      <c r="D715" s="211" t="s">
        <v>12</v>
      </c>
      <c r="E715" s="208">
        <v>43075</v>
      </c>
      <c r="F715" s="221">
        <v>3563.996459</v>
      </c>
      <c r="G715" s="210" t="s">
        <v>16</v>
      </c>
      <c r="H715" s="211" t="s">
        <v>14</v>
      </c>
      <c r="I715" s="210">
        <v>1</v>
      </c>
      <c r="J715" s="210" t="s">
        <v>15</v>
      </c>
      <c r="K715" s="210" t="s">
        <v>54</v>
      </c>
      <c r="L715" s="211" t="s">
        <v>60</v>
      </c>
      <c r="M715" s="211" t="s">
        <v>56</v>
      </c>
    </row>
    <row r="716" spans="1:13" x14ac:dyDescent="0.2">
      <c r="A716" s="211" t="s">
        <v>55</v>
      </c>
      <c r="B716" s="211" t="s">
        <v>58</v>
      </c>
      <c r="C716" s="211" t="s">
        <v>19</v>
      </c>
      <c r="D716" s="211" t="s">
        <v>12</v>
      </c>
      <c r="E716" s="208">
        <v>43075</v>
      </c>
      <c r="F716" s="209">
        <v>7.01</v>
      </c>
      <c r="G716" s="210" t="s">
        <v>13</v>
      </c>
      <c r="H716" s="211" t="s">
        <v>18</v>
      </c>
      <c r="I716" s="210">
        <v>1</v>
      </c>
      <c r="J716" s="210" t="s">
        <v>15</v>
      </c>
      <c r="K716" s="210" t="s">
        <v>54</v>
      </c>
      <c r="L716" s="211" t="s">
        <v>60</v>
      </c>
      <c r="M716" s="211" t="s">
        <v>17</v>
      </c>
    </row>
    <row r="717" spans="1:13" x14ac:dyDescent="0.2">
      <c r="A717" s="211" t="s">
        <v>55</v>
      </c>
      <c r="B717" s="211" t="s">
        <v>58</v>
      </c>
      <c r="C717" s="211" t="s">
        <v>19</v>
      </c>
      <c r="D717" s="211" t="s">
        <v>12</v>
      </c>
      <c r="E717" s="208">
        <v>43075</v>
      </c>
      <c r="F717" s="221">
        <v>2280.0726</v>
      </c>
      <c r="G717" s="210" t="s">
        <v>16</v>
      </c>
      <c r="H717" s="211" t="s">
        <v>18</v>
      </c>
      <c r="I717" s="210">
        <v>1</v>
      </c>
      <c r="J717" s="210" t="s">
        <v>15</v>
      </c>
      <c r="K717" s="210" t="s">
        <v>54</v>
      </c>
      <c r="L717" s="211" t="s">
        <v>60</v>
      </c>
      <c r="M717" s="211" t="s">
        <v>17</v>
      </c>
    </row>
    <row r="718" spans="1:13" x14ac:dyDescent="0.2">
      <c r="A718" s="211" t="s">
        <v>55</v>
      </c>
      <c r="B718" s="211" t="s">
        <v>58</v>
      </c>
      <c r="C718" s="211" t="s">
        <v>19</v>
      </c>
      <c r="D718" s="211" t="s">
        <v>12</v>
      </c>
      <c r="E718" s="208">
        <v>43074</v>
      </c>
      <c r="F718" s="209">
        <v>20.4755924</v>
      </c>
      <c r="G718" s="210" t="s">
        <v>13</v>
      </c>
      <c r="H718" s="211" t="s">
        <v>14</v>
      </c>
      <c r="I718" s="210">
        <v>1</v>
      </c>
      <c r="J718" s="210" t="s">
        <v>15</v>
      </c>
      <c r="K718" s="210" t="s">
        <v>54</v>
      </c>
      <c r="L718" s="211" t="s">
        <v>60</v>
      </c>
      <c r="M718" s="211" t="s">
        <v>56</v>
      </c>
    </row>
    <row r="719" spans="1:13" x14ac:dyDescent="0.2">
      <c r="A719" s="211" t="s">
        <v>55</v>
      </c>
      <c r="B719" s="211" t="s">
        <v>58</v>
      </c>
      <c r="C719" s="211" t="s">
        <v>19</v>
      </c>
      <c r="D719" s="211" t="s">
        <v>12</v>
      </c>
      <c r="E719" s="208">
        <v>43074</v>
      </c>
      <c r="F719" s="221">
        <v>6608.6612557999997</v>
      </c>
      <c r="G719" s="210" t="s">
        <v>16</v>
      </c>
      <c r="H719" s="211" t="s">
        <v>14</v>
      </c>
      <c r="I719" s="210">
        <v>1</v>
      </c>
      <c r="J719" s="210" t="s">
        <v>15</v>
      </c>
      <c r="K719" s="210" t="s">
        <v>54</v>
      </c>
      <c r="L719" s="211" t="s">
        <v>60</v>
      </c>
      <c r="M719" s="211" t="s">
        <v>56</v>
      </c>
    </row>
    <row r="720" spans="1:13" x14ac:dyDescent="0.2">
      <c r="A720" s="211" t="s">
        <v>55</v>
      </c>
      <c r="B720" s="211" t="s">
        <v>58</v>
      </c>
      <c r="C720" s="211" t="s">
        <v>19</v>
      </c>
      <c r="D720" s="211" t="s">
        <v>12</v>
      </c>
      <c r="E720" s="208">
        <v>43074</v>
      </c>
      <c r="F720" s="209">
        <v>7.92</v>
      </c>
      <c r="G720" s="210" t="s">
        <v>13</v>
      </c>
      <c r="H720" s="211" t="s">
        <v>18</v>
      </c>
      <c r="I720" s="210">
        <v>1</v>
      </c>
      <c r="J720" s="210" t="s">
        <v>15</v>
      </c>
      <c r="K720" s="210" t="s">
        <v>54</v>
      </c>
      <c r="L720" s="211" t="s">
        <v>60</v>
      </c>
      <c r="M720" s="211" t="s">
        <v>17</v>
      </c>
    </row>
    <row r="721" spans="1:13" x14ac:dyDescent="0.2">
      <c r="A721" s="211" t="s">
        <v>55</v>
      </c>
      <c r="B721" s="211" t="s">
        <v>58</v>
      </c>
      <c r="C721" s="211" t="s">
        <v>19</v>
      </c>
      <c r="D721" s="211" t="s">
        <v>12</v>
      </c>
      <c r="E721" s="208">
        <v>43074</v>
      </c>
      <c r="F721" s="221">
        <v>2556.2433599999999</v>
      </c>
      <c r="G721" s="210" t="s">
        <v>16</v>
      </c>
      <c r="H721" s="211" t="s">
        <v>18</v>
      </c>
      <c r="I721" s="210">
        <v>1</v>
      </c>
      <c r="J721" s="210" t="s">
        <v>15</v>
      </c>
      <c r="K721" s="210" t="s">
        <v>54</v>
      </c>
      <c r="L721" s="211" t="s">
        <v>60</v>
      </c>
      <c r="M721" s="211" t="s">
        <v>17</v>
      </c>
    </row>
    <row r="722" spans="1:13" x14ac:dyDescent="0.2">
      <c r="A722" s="211" t="s">
        <v>55</v>
      </c>
      <c r="B722" s="211" t="s">
        <v>58</v>
      </c>
      <c r="C722" s="211" t="s">
        <v>19</v>
      </c>
      <c r="D722" s="211" t="s">
        <v>12</v>
      </c>
      <c r="E722" s="208">
        <v>43073</v>
      </c>
      <c r="F722" s="209">
        <v>17.8123477</v>
      </c>
      <c r="G722" s="210" t="s">
        <v>13</v>
      </c>
      <c r="H722" s="211" t="s">
        <v>14</v>
      </c>
      <c r="I722" s="210">
        <v>1</v>
      </c>
      <c r="J722" s="210" t="s">
        <v>15</v>
      </c>
      <c r="K722" s="210" t="s">
        <v>54</v>
      </c>
      <c r="L722" s="211" t="s">
        <v>60</v>
      </c>
      <c r="M722" s="211" t="s">
        <v>56</v>
      </c>
    </row>
    <row r="723" spans="1:13" x14ac:dyDescent="0.2">
      <c r="A723" s="211" t="s">
        <v>55</v>
      </c>
      <c r="B723" s="211" t="s">
        <v>58</v>
      </c>
      <c r="C723" s="211" t="s">
        <v>19</v>
      </c>
      <c r="D723" s="211" t="s">
        <v>12</v>
      </c>
      <c r="E723" s="208">
        <v>43073</v>
      </c>
      <c r="F723" s="221">
        <v>5823.3552153000001</v>
      </c>
      <c r="G723" s="210" t="s">
        <v>16</v>
      </c>
      <c r="H723" s="211" t="s">
        <v>14</v>
      </c>
      <c r="I723" s="210">
        <v>1</v>
      </c>
      <c r="J723" s="210" t="s">
        <v>15</v>
      </c>
      <c r="K723" s="210" t="s">
        <v>54</v>
      </c>
      <c r="L723" s="211" t="s">
        <v>60</v>
      </c>
      <c r="M723" s="211" t="s">
        <v>56</v>
      </c>
    </row>
    <row r="724" spans="1:13" x14ac:dyDescent="0.2">
      <c r="A724" s="211" t="s">
        <v>55</v>
      </c>
      <c r="B724" s="211" t="s">
        <v>58</v>
      </c>
      <c r="C724" s="211" t="s">
        <v>19</v>
      </c>
      <c r="D724" s="211" t="s">
        <v>12</v>
      </c>
      <c r="E724" s="208">
        <v>43073</v>
      </c>
      <c r="F724" s="209">
        <v>9.3699999999999992</v>
      </c>
      <c r="G724" s="210" t="s">
        <v>13</v>
      </c>
      <c r="H724" s="211" t="s">
        <v>18</v>
      </c>
      <c r="I724" s="210">
        <v>1</v>
      </c>
      <c r="J724" s="210" t="s">
        <v>15</v>
      </c>
      <c r="K724" s="210" t="s">
        <v>54</v>
      </c>
      <c r="L724" s="211" t="s">
        <v>60</v>
      </c>
      <c r="M724" s="211" t="s">
        <v>17</v>
      </c>
    </row>
    <row r="725" spans="1:13" x14ac:dyDescent="0.2">
      <c r="A725" s="211" t="s">
        <v>55</v>
      </c>
      <c r="B725" s="211" t="s">
        <v>58</v>
      </c>
      <c r="C725" s="211" t="s">
        <v>19</v>
      </c>
      <c r="D725" s="211" t="s">
        <v>12</v>
      </c>
      <c r="E725" s="208">
        <v>43073</v>
      </c>
      <c r="F725" s="221">
        <v>3063.3153600000001</v>
      </c>
      <c r="G725" s="210" t="s">
        <v>16</v>
      </c>
      <c r="H725" s="211" t="s">
        <v>18</v>
      </c>
      <c r="I725" s="210">
        <v>1</v>
      </c>
      <c r="J725" s="210" t="s">
        <v>15</v>
      </c>
      <c r="K725" s="210" t="s">
        <v>54</v>
      </c>
      <c r="L725" s="211" t="s">
        <v>60</v>
      </c>
      <c r="M725" s="211" t="s">
        <v>17</v>
      </c>
    </row>
    <row r="726" spans="1:13" x14ac:dyDescent="0.2">
      <c r="A726" s="211" t="s">
        <v>55</v>
      </c>
      <c r="B726" s="211" t="s">
        <v>58</v>
      </c>
      <c r="C726" s="211" t="s">
        <v>19</v>
      </c>
      <c r="D726" s="211" t="s">
        <v>12</v>
      </c>
      <c r="E726" s="208">
        <v>43072</v>
      </c>
      <c r="F726" s="209">
        <v>15.6200417</v>
      </c>
      <c r="G726" s="210" t="s">
        <v>13</v>
      </c>
      <c r="H726" s="211" t="s">
        <v>14</v>
      </c>
      <c r="I726" s="210">
        <v>1</v>
      </c>
      <c r="J726" s="210" t="s">
        <v>15</v>
      </c>
      <c r="K726" s="210" t="s">
        <v>54</v>
      </c>
      <c r="L726" s="211" t="s">
        <v>60</v>
      </c>
      <c r="M726" s="211" t="s">
        <v>56</v>
      </c>
    </row>
    <row r="727" spans="1:13" x14ac:dyDescent="0.2">
      <c r="A727" s="211" t="s">
        <v>55</v>
      </c>
      <c r="B727" s="211" t="s">
        <v>58</v>
      </c>
      <c r="C727" s="211" t="s">
        <v>19</v>
      </c>
      <c r="D727" s="211" t="s">
        <v>12</v>
      </c>
      <c r="E727" s="208">
        <v>43072</v>
      </c>
      <c r="F727" s="221">
        <v>5067.5476515999999</v>
      </c>
      <c r="G727" s="210" t="s">
        <v>16</v>
      </c>
      <c r="H727" s="211" t="s">
        <v>14</v>
      </c>
      <c r="I727" s="210">
        <v>1</v>
      </c>
      <c r="J727" s="210" t="s">
        <v>15</v>
      </c>
      <c r="K727" s="210" t="s">
        <v>54</v>
      </c>
      <c r="L727" s="211" t="s">
        <v>60</v>
      </c>
      <c r="M727" s="211" t="s">
        <v>56</v>
      </c>
    </row>
    <row r="728" spans="1:13" x14ac:dyDescent="0.2">
      <c r="A728" s="211" t="s">
        <v>55</v>
      </c>
      <c r="B728" s="211" t="s">
        <v>58</v>
      </c>
      <c r="C728" s="211" t="s">
        <v>19</v>
      </c>
      <c r="D728" s="211" t="s">
        <v>12</v>
      </c>
      <c r="E728" s="208">
        <v>43072</v>
      </c>
      <c r="F728" s="209">
        <v>11.6</v>
      </c>
      <c r="G728" s="210" t="s">
        <v>13</v>
      </c>
      <c r="H728" s="211" t="s">
        <v>18</v>
      </c>
      <c r="I728" s="210">
        <v>1</v>
      </c>
      <c r="J728" s="210" t="s">
        <v>15</v>
      </c>
      <c r="K728" s="210" t="s">
        <v>54</v>
      </c>
      <c r="L728" s="211" t="s">
        <v>60</v>
      </c>
      <c r="M728" s="211" t="s">
        <v>17</v>
      </c>
    </row>
    <row r="729" spans="1:13" x14ac:dyDescent="0.2">
      <c r="A729" s="211" t="s">
        <v>55</v>
      </c>
      <c r="B729" s="211" t="s">
        <v>58</v>
      </c>
      <c r="C729" s="211" t="s">
        <v>19</v>
      </c>
      <c r="D729" s="211" t="s">
        <v>12</v>
      </c>
      <c r="E729" s="208">
        <v>43072</v>
      </c>
      <c r="F729" s="221">
        <v>3763.3416000000002</v>
      </c>
      <c r="G729" s="210" t="s">
        <v>16</v>
      </c>
      <c r="H729" s="211" t="s">
        <v>18</v>
      </c>
      <c r="I729" s="210">
        <v>1</v>
      </c>
      <c r="J729" s="210" t="s">
        <v>15</v>
      </c>
      <c r="K729" s="210" t="s">
        <v>54</v>
      </c>
      <c r="L729" s="211" t="s">
        <v>60</v>
      </c>
      <c r="M729" s="211" t="s">
        <v>17</v>
      </c>
    </row>
    <row r="730" spans="1:13" x14ac:dyDescent="0.2">
      <c r="A730" s="211" t="s">
        <v>55</v>
      </c>
      <c r="B730" s="211" t="s">
        <v>58</v>
      </c>
      <c r="C730" s="211" t="s">
        <v>19</v>
      </c>
      <c r="D730" s="211" t="s">
        <v>12</v>
      </c>
      <c r="E730" s="208">
        <v>43071</v>
      </c>
      <c r="F730" s="209">
        <v>17.496635399999999</v>
      </c>
      <c r="G730" s="210" t="s">
        <v>13</v>
      </c>
      <c r="H730" s="211" t="s">
        <v>14</v>
      </c>
      <c r="I730" s="210">
        <v>1</v>
      </c>
      <c r="J730" s="210" t="s">
        <v>15</v>
      </c>
      <c r="K730" s="210" t="s">
        <v>54</v>
      </c>
      <c r="L730" s="211" t="s">
        <v>60</v>
      </c>
      <c r="M730" s="211" t="s">
        <v>56</v>
      </c>
    </row>
    <row r="731" spans="1:13" x14ac:dyDescent="0.2">
      <c r="A731" s="211" t="s">
        <v>55</v>
      </c>
      <c r="B731" s="211" t="s">
        <v>58</v>
      </c>
      <c r="C731" s="211" t="s">
        <v>19</v>
      </c>
      <c r="D731" s="211" t="s">
        <v>12</v>
      </c>
      <c r="E731" s="208">
        <v>43071</v>
      </c>
      <c r="F731" s="221">
        <v>5676.3634646999999</v>
      </c>
      <c r="G731" s="210" t="s">
        <v>16</v>
      </c>
      <c r="H731" s="211" t="s">
        <v>14</v>
      </c>
      <c r="I731" s="210">
        <v>1</v>
      </c>
      <c r="J731" s="210" t="s">
        <v>15</v>
      </c>
      <c r="K731" s="210" t="s">
        <v>54</v>
      </c>
      <c r="L731" s="211" t="s">
        <v>60</v>
      </c>
      <c r="M731" s="211" t="s">
        <v>56</v>
      </c>
    </row>
    <row r="732" spans="1:13" x14ac:dyDescent="0.2">
      <c r="A732" s="211" t="s">
        <v>55</v>
      </c>
      <c r="B732" s="211" t="s">
        <v>58</v>
      </c>
      <c r="C732" s="211" t="s">
        <v>19</v>
      </c>
      <c r="D732" s="211" t="s">
        <v>12</v>
      </c>
      <c r="E732" s="208">
        <v>43071</v>
      </c>
      <c r="F732" s="209">
        <v>10.1</v>
      </c>
      <c r="G732" s="210" t="s">
        <v>13</v>
      </c>
      <c r="H732" s="211" t="s">
        <v>18</v>
      </c>
      <c r="I732" s="210">
        <v>1</v>
      </c>
      <c r="J732" s="210" t="s">
        <v>15</v>
      </c>
      <c r="K732" s="210" t="s">
        <v>54</v>
      </c>
      <c r="L732" s="211" t="s">
        <v>60</v>
      </c>
      <c r="M732" s="211" t="s">
        <v>17</v>
      </c>
    </row>
    <row r="733" spans="1:13" x14ac:dyDescent="0.2">
      <c r="A733" s="211" t="s">
        <v>55</v>
      </c>
      <c r="B733" s="211" t="s">
        <v>58</v>
      </c>
      <c r="C733" s="211" t="s">
        <v>19</v>
      </c>
      <c r="D733" s="211" t="s">
        <v>12</v>
      </c>
      <c r="E733" s="208">
        <v>43071</v>
      </c>
      <c r="F733" s="221">
        <v>3276.7026000000001</v>
      </c>
      <c r="G733" s="210" t="s">
        <v>16</v>
      </c>
      <c r="H733" s="211" t="s">
        <v>18</v>
      </c>
      <c r="I733" s="210">
        <v>1</v>
      </c>
      <c r="J733" s="210" t="s">
        <v>15</v>
      </c>
      <c r="K733" s="210" t="s">
        <v>54</v>
      </c>
      <c r="L733" s="211" t="s">
        <v>60</v>
      </c>
      <c r="M733" s="211" t="s">
        <v>17</v>
      </c>
    </row>
    <row r="734" spans="1:13" x14ac:dyDescent="0.2">
      <c r="A734" s="211" t="s">
        <v>55</v>
      </c>
      <c r="B734" s="211" t="s">
        <v>58</v>
      </c>
      <c r="C734" s="211" t="s">
        <v>19</v>
      </c>
      <c r="D734" s="211" t="s">
        <v>12</v>
      </c>
      <c r="E734" s="208">
        <v>43070</v>
      </c>
      <c r="F734" s="209">
        <v>14.387176800000001</v>
      </c>
      <c r="G734" s="210" t="s">
        <v>13</v>
      </c>
      <c r="H734" s="211" t="s">
        <v>14</v>
      </c>
      <c r="I734" s="210">
        <v>1</v>
      </c>
      <c r="J734" s="210" t="s">
        <v>15</v>
      </c>
      <c r="K734" s="210" t="s">
        <v>54</v>
      </c>
      <c r="L734" s="211" t="s">
        <v>60</v>
      </c>
      <c r="M734" s="211" t="s">
        <v>56</v>
      </c>
    </row>
    <row r="735" spans="1:13" x14ac:dyDescent="0.2">
      <c r="A735" s="211" t="s">
        <v>55</v>
      </c>
      <c r="B735" s="211" t="s">
        <v>58</v>
      </c>
      <c r="C735" s="211" t="s">
        <v>19</v>
      </c>
      <c r="D735" s="211" t="s">
        <v>12</v>
      </c>
      <c r="E735" s="208">
        <v>43070</v>
      </c>
      <c r="F735" s="221">
        <v>4871.5556372999999</v>
      </c>
      <c r="G735" s="210" t="s">
        <v>16</v>
      </c>
      <c r="H735" s="211" t="s">
        <v>14</v>
      </c>
      <c r="I735" s="210">
        <v>1</v>
      </c>
      <c r="J735" s="210" t="s">
        <v>15</v>
      </c>
      <c r="K735" s="210" t="s">
        <v>54</v>
      </c>
      <c r="L735" s="211" t="s">
        <v>60</v>
      </c>
      <c r="M735" s="211" t="s">
        <v>56</v>
      </c>
    </row>
    <row r="736" spans="1:13" x14ac:dyDescent="0.2">
      <c r="A736" s="211" t="s">
        <v>55</v>
      </c>
      <c r="B736" s="211" t="s">
        <v>58</v>
      </c>
      <c r="C736" s="211" t="s">
        <v>19</v>
      </c>
      <c r="D736" s="211" t="s">
        <v>12</v>
      </c>
      <c r="E736" s="208">
        <v>43070</v>
      </c>
      <c r="F736" s="209">
        <v>8.35</v>
      </c>
      <c r="G736" s="210" t="s">
        <v>13</v>
      </c>
      <c r="H736" s="211" t="s">
        <v>18</v>
      </c>
      <c r="I736" s="210">
        <v>1</v>
      </c>
      <c r="J736" s="210" t="s">
        <v>15</v>
      </c>
      <c r="K736" s="210" t="s">
        <v>54</v>
      </c>
      <c r="L736" s="211" t="s">
        <v>60</v>
      </c>
      <c r="M736" s="211" t="s">
        <v>17</v>
      </c>
    </row>
    <row r="737" spans="1:13" x14ac:dyDescent="0.2">
      <c r="A737" s="211" t="s">
        <v>55</v>
      </c>
      <c r="B737" s="211" t="s">
        <v>58</v>
      </c>
      <c r="C737" s="211" t="s">
        <v>19</v>
      </c>
      <c r="D737" s="211" t="s">
        <v>12</v>
      </c>
      <c r="E737" s="208">
        <v>43070</v>
      </c>
      <c r="F737" s="221">
        <v>2827.3434000000002</v>
      </c>
      <c r="G737" s="210" t="s">
        <v>16</v>
      </c>
      <c r="H737" s="211" t="s">
        <v>18</v>
      </c>
      <c r="I737" s="210">
        <v>1</v>
      </c>
      <c r="J737" s="210" t="s">
        <v>15</v>
      </c>
      <c r="K737" s="210" t="s">
        <v>54</v>
      </c>
      <c r="L737" s="211" t="s">
        <v>60</v>
      </c>
      <c r="M737" s="211" t="s">
        <v>17</v>
      </c>
    </row>
    <row r="738" spans="1:13" x14ac:dyDescent="0.2">
      <c r="A738" s="211" t="s">
        <v>55</v>
      </c>
      <c r="B738" s="211" t="s">
        <v>58</v>
      </c>
      <c r="C738" s="211" t="s">
        <v>19</v>
      </c>
      <c r="D738" s="211" t="s">
        <v>12</v>
      </c>
      <c r="E738" s="208">
        <v>43069</v>
      </c>
      <c r="F738" s="209">
        <v>12.815883599999999</v>
      </c>
      <c r="G738" s="210" t="s">
        <v>13</v>
      </c>
      <c r="H738" s="211" t="s">
        <v>14</v>
      </c>
      <c r="I738" s="210">
        <v>1</v>
      </c>
      <c r="J738" s="210" t="s">
        <v>15</v>
      </c>
      <c r="K738" s="210" t="s">
        <v>54</v>
      </c>
      <c r="L738" s="211" t="s">
        <v>60</v>
      </c>
      <c r="M738" s="211" t="s">
        <v>56</v>
      </c>
    </row>
    <row r="739" spans="1:13" x14ac:dyDescent="0.2">
      <c r="A739" s="211" t="s">
        <v>55</v>
      </c>
      <c r="B739" s="211" t="s">
        <v>58</v>
      </c>
      <c r="C739" s="211" t="s">
        <v>19</v>
      </c>
      <c r="D739" s="211" t="s">
        <v>12</v>
      </c>
      <c r="E739" s="208">
        <v>43069</v>
      </c>
      <c r="F739" s="221">
        <v>4254.0019045999998</v>
      </c>
      <c r="G739" s="210" t="s">
        <v>16</v>
      </c>
      <c r="H739" s="211" t="s">
        <v>14</v>
      </c>
      <c r="I739" s="210">
        <v>1</v>
      </c>
      <c r="J739" s="210" t="s">
        <v>15</v>
      </c>
      <c r="K739" s="210" t="s">
        <v>54</v>
      </c>
      <c r="L739" s="211" t="s">
        <v>60</v>
      </c>
      <c r="M739" s="211" t="s">
        <v>56</v>
      </c>
    </row>
    <row r="740" spans="1:13" x14ac:dyDescent="0.2">
      <c r="A740" s="211" t="s">
        <v>55</v>
      </c>
      <c r="B740" s="211" t="s">
        <v>58</v>
      </c>
      <c r="C740" s="211" t="s">
        <v>19</v>
      </c>
      <c r="D740" s="211" t="s">
        <v>12</v>
      </c>
      <c r="E740" s="208">
        <v>43069</v>
      </c>
      <c r="F740" s="209">
        <v>7.8</v>
      </c>
      <c r="G740" s="210" t="s">
        <v>13</v>
      </c>
      <c r="H740" s="211" t="s">
        <v>18</v>
      </c>
      <c r="I740" s="210">
        <v>1</v>
      </c>
      <c r="J740" s="210" t="s">
        <v>15</v>
      </c>
      <c r="K740" s="210" t="s">
        <v>54</v>
      </c>
      <c r="L740" s="211" t="s">
        <v>60</v>
      </c>
      <c r="M740" s="211" t="s">
        <v>17</v>
      </c>
    </row>
    <row r="741" spans="1:13" x14ac:dyDescent="0.2">
      <c r="A741" s="211" t="s">
        <v>55</v>
      </c>
      <c r="B741" s="211" t="s">
        <v>58</v>
      </c>
      <c r="C741" s="211" t="s">
        <v>19</v>
      </c>
      <c r="D741" s="211" t="s">
        <v>12</v>
      </c>
      <c r="E741" s="208">
        <v>43069</v>
      </c>
      <c r="F741" s="221">
        <v>2591.6716799999999</v>
      </c>
      <c r="G741" s="210" t="s">
        <v>16</v>
      </c>
      <c r="H741" s="211" t="s">
        <v>18</v>
      </c>
      <c r="I741" s="210">
        <v>1</v>
      </c>
      <c r="J741" s="210" t="s">
        <v>15</v>
      </c>
      <c r="K741" s="210" t="s">
        <v>54</v>
      </c>
      <c r="L741" s="211" t="s">
        <v>60</v>
      </c>
      <c r="M741" s="211" t="s">
        <v>17</v>
      </c>
    </row>
    <row r="742" spans="1:13" x14ac:dyDescent="0.2">
      <c r="A742" s="211" t="s">
        <v>55</v>
      </c>
      <c r="B742" s="211" t="s">
        <v>58</v>
      </c>
      <c r="C742" s="211" t="s">
        <v>19</v>
      </c>
      <c r="D742" s="211" t="s">
        <v>12</v>
      </c>
      <c r="E742" s="208">
        <v>43068</v>
      </c>
      <c r="F742" s="209">
        <v>9.3734643000000002</v>
      </c>
      <c r="G742" s="210" t="s">
        <v>13</v>
      </c>
      <c r="H742" s="211" t="s">
        <v>14</v>
      </c>
      <c r="I742" s="210">
        <v>1</v>
      </c>
      <c r="J742" s="210" t="s">
        <v>15</v>
      </c>
      <c r="K742" s="210" t="s">
        <v>54</v>
      </c>
      <c r="L742" s="211" t="s">
        <v>60</v>
      </c>
      <c r="M742" s="211" t="s">
        <v>56</v>
      </c>
    </row>
    <row r="743" spans="1:13" x14ac:dyDescent="0.2">
      <c r="A743" s="211" t="s">
        <v>55</v>
      </c>
      <c r="B743" s="211" t="s">
        <v>58</v>
      </c>
      <c r="C743" s="211" t="s">
        <v>19</v>
      </c>
      <c r="D743" s="211" t="s">
        <v>12</v>
      </c>
      <c r="E743" s="208">
        <v>43068</v>
      </c>
      <c r="F743" s="221">
        <v>2853.3762829000002</v>
      </c>
      <c r="G743" s="210" t="s">
        <v>16</v>
      </c>
      <c r="H743" s="211" t="s">
        <v>14</v>
      </c>
      <c r="I743" s="210">
        <v>1</v>
      </c>
      <c r="J743" s="210" t="s">
        <v>15</v>
      </c>
      <c r="K743" s="210" t="s">
        <v>54</v>
      </c>
      <c r="L743" s="211" t="s">
        <v>60</v>
      </c>
      <c r="M743" s="211" t="s">
        <v>56</v>
      </c>
    </row>
    <row r="744" spans="1:13" x14ac:dyDescent="0.2">
      <c r="A744" s="211" t="s">
        <v>55</v>
      </c>
      <c r="B744" s="211" t="s">
        <v>58</v>
      </c>
      <c r="C744" s="211" t="s">
        <v>19</v>
      </c>
      <c r="D744" s="211" t="s">
        <v>12</v>
      </c>
      <c r="E744" s="208">
        <v>43068</v>
      </c>
      <c r="F744" s="209">
        <v>6.06</v>
      </c>
      <c r="G744" s="210" t="s">
        <v>13</v>
      </c>
      <c r="H744" s="211" t="s">
        <v>18</v>
      </c>
      <c r="I744" s="210">
        <v>1</v>
      </c>
      <c r="J744" s="210" t="s">
        <v>15</v>
      </c>
      <c r="K744" s="210" t="s">
        <v>54</v>
      </c>
      <c r="L744" s="211" t="s">
        <v>60</v>
      </c>
      <c r="M744" s="211" t="s">
        <v>17</v>
      </c>
    </row>
    <row r="745" spans="1:13" x14ac:dyDescent="0.2">
      <c r="A745" s="211" t="s">
        <v>55</v>
      </c>
      <c r="B745" s="211" t="s">
        <v>58</v>
      </c>
      <c r="C745" s="211" t="s">
        <v>19</v>
      </c>
      <c r="D745" s="211" t="s">
        <v>12</v>
      </c>
      <c r="E745" s="208">
        <v>43068</v>
      </c>
      <c r="F745" s="221">
        <v>1842.702984</v>
      </c>
      <c r="G745" s="210" t="s">
        <v>16</v>
      </c>
      <c r="H745" s="211" t="s">
        <v>18</v>
      </c>
      <c r="I745" s="210">
        <v>1</v>
      </c>
      <c r="J745" s="210" t="s">
        <v>15</v>
      </c>
      <c r="K745" s="210" t="s">
        <v>54</v>
      </c>
      <c r="L745" s="211" t="s">
        <v>60</v>
      </c>
      <c r="M745" s="211" t="s">
        <v>17</v>
      </c>
    </row>
    <row r="746" spans="1:13" x14ac:dyDescent="0.2">
      <c r="A746" s="211" t="s">
        <v>55</v>
      </c>
      <c r="B746" s="211" t="s">
        <v>58</v>
      </c>
      <c r="C746" s="211" t="s">
        <v>19</v>
      </c>
      <c r="D746" s="211" t="s">
        <v>12</v>
      </c>
      <c r="E746" s="208">
        <v>43067</v>
      </c>
      <c r="F746" s="209">
        <v>8.7812959999999993</v>
      </c>
      <c r="G746" s="210" t="s">
        <v>13</v>
      </c>
      <c r="H746" s="211" t="s">
        <v>14</v>
      </c>
      <c r="I746" s="210">
        <v>1</v>
      </c>
      <c r="J746" s="210" t="s">
        <v>15</v>
      </c>
      <c r="K746" s="210" t="s">
        <v>54</v>
      </c>
      <c r="L746" s="211" t="s">
        <v>60</v>
      </c>
      <c r="M746" s="211" t="s">
        <v>56</v>
      </c>
    </row>
    <row r="747" spans="1:13" x14ac:dyDescent="0.2">
      <c r="A747" s="211" t="s">
        <v>55</v>
      </c>
      <c r="B747" s="211" t="s">
        <v>58</v>
      </c>
      <c r="C747" s="211" t="s">
        <v>19</v>
      </c>
      <c r="D747" s="211" t="s">
        <v>12</v>
      </c>
      <c r="E747" s="208">
        <v>43067</v>
      </c>
      <c r="F747" s="221">
        <v>2856.2043659999999</v>
      </c>
      <c r="G747" s="210" t="s">
        <v>16</v>
      </c>
      <c r="H747" s="211" t="s">
        <v>14</v>
      </c>
      <c r="I747" s="210">
        <v>1</v>
      </c>
      <c r="J747" s="210" t="s">
        <v>15</v>
      </c>
      <c r="K747" s="210" t="s">
        <v>54</v>
      </c>
      <c r="L747" s="211" t="s">
        <v>60</v>
      </c>
      <c r="M747" s="211" t="s">
        <v>56</v>
      </c>
    </row>
    <row r="748" spans="1:13" x14ac:dyDescent="0.2">
      <c r="A748" s="211" t="s">
        <v>55</v>
      </c>
      <c r="B748" s="211" t="s">
        <v>58</v>
      </c>
      <c r="C748" s="211" t="s">
        <v>19</v>
      </c>
      <c r="D748" s="211" t="s">
        <v>12</v>
      </c>
      <c r="E748" s="208">
        <v>43067</v>
      </c>
      <c r="F748" s="209">
        <v>8.41</v>
      </c>
      <c r="G748" s="210" t="s">
        <v>13</v>
      </c>
      <c r="H748" s="211" t="s">
        <v>18</v>
      </c>
      <c r="I748" s="210">
        <v>1</v>
      </c>
      <c r="J748" s="210" t="s">
        <v>15</v>
      </c>
      <c r="K748" s="210" t="s">
        <v>54</v>
      </c>
      <c r="L748" s="211" t="s">
        <v>60</v>
      </c>
      <c r="M748" s="211" t="s">
        <v>17</v>
      </c>
    </row>
    <row r="749" spans="1:13" x14ac:dyDescent="0.2">
      <c r="A749" s="211" t="s">
        <v>55</v>
      </c>
      <c r="B749" s="211" t="s">
        <v>58</v>
      </c>
      <c r="C749" s="211" t="s">
        <v>19</v>
      </c>
      <c r="D749" s="211" t="s">
        <v>12</v>
      </c>
      <c r="E749" s="208">
        <v>43067</v>
      </c>
      <c r="F749" s="221">
        <v>2736.8393879999999</v>
      </c>
      <c r="G749" s="210" t="s">
        <v>16</v>
      </c>
      <c r="H749" s="211" t="s">
        <v>18</v>
      </c>
      <c r="I749" s="210">
        <v>1</v>
      </c>
      <c r="J749" s="210" t="s">
        <v>15</v>
      </c>
      <c r="K749" s="210" t="s">
        <v>54</v>
      </c>
      <c r="L749" s="211" t="s">
        <v>60</v>
      </c>
      <c r="M749" s="211" t="s">
        <v>17</v>
      </c>
    </row>
    <row r="750" spans="1:13" x14ac:dyDescent="0.2">
      <c r="A750" s="211" t="s">
        <v>55</v>
      </c>
      <c r="B750" s="211" t="s">
        <v>58</v>
      </c>
      <c r="C750" s="211" t="s">
        <v>19</v>
      </c>
      <c r="D750" s="211" t="s">
        <v>12</v>
      </c>
      <c r="E750" s="208">
        <v>43066</v>
      </c>
      <c r="F750" s="209">
        <v>8.0309521999999998</v>
      </c>
      <c r="G750" s="210" t="s">
        <v>13</v>
      </c>
      <c r="H750" s="211" t="s">
        <v>14</v>
      </c>
      <c r="I750" s="210">
        <v>1</v>
      </c>
      <c r="J750" s="210" t="s">
        <v>15</v>
      </c>
      <c r="K750" s="210" t="s">
        <v>54</v>
      </c>
      <c r="L750" s="211" t="s">
        <v>60</v>
      </c>
      <c r="M750" s="211" t="s">
        <v>56</v>
      </c>
    </row>
    <row r="751" spans="1:13" x14ac:dyDescent="0.2">
      <c r="A751" s="211" t="s">
        <v>55</v>
      </c>
      <c r="B751" s="211" t="s">
        <v>58</v>
      </c>
      <c r="C751" s="211" t="s">
        <v>19</v>
      </c>
      <c r="D751" s="211" t="s">
        <v>12</v>
      </c>
      <c r="E751" s="208">
        <v>43066</v>
      </c>
      <c r="F751" s="221">
        <v>2772.8950654999999</v>
      </c>
      <c r="G751" s="210" t="s">
        <v>16</v>
      </c>
      <c r="H751" s="211" t="s">
        <v>14</v>
      </c>
      <c r="I751" s="210">
        <v>1</v>
      </c>
      <c r="J751" s="210" t="s">
        <v>15</v>
      </c>
      <c r="K751" s="210" t="s">
        <v>54</v>
      </c>
      <c r="L751" s="211" t="s">
        <v>60</v>
      </c>
      <c r="M751" s="211" t="s">
        <v>56</v>
      </c>
    </row>
    <row r="752" spans="1:13" x14ac:dyDescent="0.2">
      <c r="A752" s="211" t="s">
        <v>55</v>
      </c>
      <c r="B752" s="211" t="s">
        <v>58</v>
      </c>
      <c r="C752" s="211" t="s">
        <v>19</v>
      </c>
      <c r="D752" s="211" t="s">
        <v>12</v>
      </c>
      <c r="E752" s="208">
        <v>43066</v>
      </c>
      <c r="F752" s="209">
        <v>7.08</v>
      </c>
      <c r="G752" s="210" t="s">
        <v>13</v>
      </c>
      <c r="H752" s="211" t="s">
        <v>18</v>
      </c>
      <c r="I752" s="210">
        <v>1</v>
      </c>
      <c r="J752" s="210" t="s">
        <v>15</v>
      </c>
      <c r="K752" s="210" t="s">
        <v>54</v>
      </c>
      <c r="L752" s="211" t="s">
        <v>60</v>
      </c>
      <c r="M752" s="211" t="s">
        <v>17</v>
      </c>
    </row>
    <row r="753" spans="1:13" x14ac:dyDescent="0.2">
      <c r="A753" s="211" t="s">
        <v>55</v>
      </c>
      <c r="B753" s="211" t="s">
        <v>58</v>
      </c>
      <c r="C753" s="211" t="s">
        <v>19</v>
      </c>
      <c r="D753" s="211" t="s">
        <v>12</v>
      </c>
      <c r="E753" s="208">
        <v>43066</v>
      </c>
      <c r="F753" s="221">
        <v>2364.8403600000001</v>
      </c>
      <c r="G753" s="210" t="s">
        <v>16</v>
      </c>
      <c r="H753" s="211" t="s">
        <v>18</v>
      </c>
      <c r="I753" s="210">
        <v>1</v>
      </c>
      <c r="J753" s="210" t="s">
        <v>15</v>
      </c>
      <c r="K753" s="210" t="s">
        <v>54</v>
      </c>
      <c r="L753" s="211" t="s">
        <v>60</v>
      </c>
      <c r="M753" s="211" t="s">
        <v>17</v>
      </c>
    </row>
    <row r="754" spans="1:13" x14ac:dyDescent="0.2">
      <c r="A754" s="211" t="s">
        <v>55</v>
      </c>
      <c r="B754" s="211" t="s">
        <v>58</v>
      </c>
      <c r="C754" s="211" t="s">
        <v>19</v>
      </c>
      <c r="D754" s="211" t="s">
        <v>12</v>
      </c>
      <c r="E754" s="208">
        <v>43065</v>
      </c>
      <c r="F754" s="209">
        <v>10.347262499999999</v>
      </c>
      <c r="G754" s="210" t="s">
        <v>13</v>
      </c>
      <c r="H754" s="211" t="s">
        <v>14</v>
      </c>
      <c r="I754" s="210">
        <v>1</v>
      </c>
      <c r="J754" s="210" t="s">
        <v>15</v>
      </c>
      <c r="K754" s="210" t="s">
        <v>54</v>
      </c>
      <c r="L754" s="211" t="s">
        <v>60</v>
      </c>
      <c r="M754" s="211" t="s">
        <v>56</v>
      </c>
    </row>
    <row r="755" spans="1:13" x14ac:dyDescent="0.2">
      <c r="A755" s="211" t="s">
        <v>55</v>
      </c>
      <c r="B755" s="211" t="s">
        <v>58</v>
      </c>
      <c r="C755" s="211" t="s">
        <v>19</v>
      </c>
      <c r="D755" s="211" t="s">
        <v>12</v>
      </c>
      <c r="E755" s="208">
        <v>43065</v>
      </c>
      <c r="F755" s="221">
        <v>3494.9948631000002</v>
      </c>
      <c r="G755" s="210" t="s">
        <v>16</v>
      </c>
      <c r="H755" s="211" t="s">
        <v>14</v>
      </c>
      <c r="I755" s="210">
        <v>1</v>
      </c>
      <c r="J755" s="210" t="s">
        <v>15</v>
      </c>
      <c r="K755" s="210" t="s">
        <v>54</v>
      </c>
      <c r="L755" s="211" t="s">
        <v>60</v>
      </c>
      <c r="M755" s="211" t="s">
        <v>56</v>
      </c>
    </row>
    <row r="756" spans="1:13" x14ac:dyDescent="0.2">
      <c r="A756" s="211" t="s">
        <v>55</v>
      </c>
      <c r="B756" s="211" t="s">
        <v>58</v>
      </c>
      <c r="C756" s="211" t="s">
        <v>19</v>
      </c>
      <c r="D756" s="211" t="s">
        <v>12</v>
      </c>
      <c r="E756" s="208">
        <v>43065</v>
      </c>
      <c r="F756" s="209">
        <v>8.02</v>
      </c>
      <c r="G756" s="210" t="s">
        <v>13</v>
      </c>
      <c r="H756" s="211" t="s">
        <v>18</v>
      </c>
      <c r="I756" s="210">
        <v>1</v>
      </c>
      <c r="J756" s="210" t="s">
        <v>15</v>
      </c>
      <c r="K756" s="210" t="s">
        <v>54</v>
      </c>
      <c r="L756" s="211" t="s">
        <v>60</v>
      </c>
      <c r="M756" s="211" t="s">
        <v>17</v>
      </c>
    </row>
    <row r="757" spans="1:13" x14ac:dyDescent="0.2">
      <c r="A757" s="211" t="s">
        <v>55</v>
      </c>
      <c r="B757" s="211" t="s">
        <v>58</v>
      </c>
      <c r="C757" s="211" t="s">
        <v>19</v>
      </c>
      <c r="D757" s="211" t="s">
        <v>12</v>
      </c>
      <c r="E757" s="208">
        <v>43065</v>
      </c>
      <c r="F757" s="221">
        <v>2612.5984079999998</v>
      </c>
      <c r="G757" s="210" t="s">
        <v>16</v>
      </c>
      <c r="H757" s="211" t="s">
        <v>18</v>
      </c>
      <c r="I757" s="210">
        <v>1</v>
      </c>
      <c r="J757" s="210" t="s">
        <v>15</v>
      </c>
      <c r="K757" s="210" t="s">
        <v>54</v>
      </c>
      <c r="L757" s="211" t="s">
        <v>60</v>
      </c>
      <c r="M757" s="211" t="s">
        <v>17</v>
      </c>
    </row>
    <row r="758" spans="1:13" x14ac:dyDescent="0.2">
      <c r="A758" s="211" t="s">
        <v>55</v>
      </c>
      <c r="B758" s="211" t="s">
        <v>58</v>
      </c>
      <c r="C758" s="211" t="s">
        <v>19</v>
      </c>
      <c r="D758" s="211" t="s">
        <v>12</v>
      </c>
      <c r="E758" s="208">
        <v>43064</v>
      </c>
      <c r="F758" s="209">
        <v>10.603515099999999</v>
      </c>
      <c r="G758" s="210" t="s">
        <v>13</v>
      </c>
      <c r="H758" s="211" t="s">
        <v>14</v>
      </c>
      <c r="I758" s="210">
        <v>1</v>
      </c>
      <c r="J758" s="210" t="s">
        <v>15</v>
      </c>
      <c r="K758" s="210" t="s">
        <v>54</v>
      </c>
      <c r="L758" s="211" t="s">
        <v>60</v>
      </c>
      <c r="M758" s="211" t="s">
        <v>56</v>
      </c>
    </row>
    <row r="759" spans="1:13" x14ac:dyDescent="0.2">
      <c r="A759" s="211" t="s">
        <v>55</v>
      </c>
      <c r="B759" s="211" t="s">
        <v>58</v>
      </c>
      <c r="C759" s="211" t="s">
        <v>19</v>
      </c>
      <c r="D759" s="211" t="s">
        <v>12</v>
      </c>
      <c r="E759" s="208">
        <v>43064</v>
      </c>
      <c r="F759" s="221">
        <v>3378.1526969000001</v>
      </c>
      <c r="G759" s="210" t="s">
        <v>16</v>
      </c>
      <c r="H759" s="211" t="s">
        <v>14</v>
      </c>
      <c r="I759" s="210">
        <v>1</v>
      </c>
      <c r="J759" s="210" t="s">
        <v>15</v>
      </c>
      <c r="K759" s="210" t="s">
        <v>54</v>
      </c>
      <c r="L759" s="211" t="s">
        <v>60</v>
      </c>
      <c r="M759" s="211" t="s">
        <v>56</v>
      </c>
    </row>
    <row r="760" spans="1:13" x14ac:dyDescent="0.2">
      <c r="A760" s="211" t="s">
        <v>55</v>
      </c>
      <c r="B760" s="211" t="s">
        <v>58</v>
      </c>
      <c r="C760" s="211" t="s">
        <v>19</v>
      </c>
      <c r="D760" s="211" t="s">
        <v>12</v>
      </c>
      <c r="E760" s="208">
        <v>43064</v>
      </c>
      <c r="F760" s="209">
        <v>8.7200000000000006</v>
      </c>
      <c r="G760" s="210" t="s">
        <v>13</v>
      </c>
      <c r="H760" s="211" t="s">
        <v>18</v>
      </c>
      <c r="I760" s="210">
        <v>1</v>
      </c>
      <c r="J760" s="210" t="s">
        <v>15</v>
      </c>
      <c r="K760" s="210" t="s">
        <v>54</v>
      </c>
      <c r="L760" s="211" t="s">
        <v>60</v>
      </c>
      <c r="M760" s="211" t="s">
        <v>17</v>
      </c>
    </row>
    <row r="761" spans="1:13" x14ac:dyDescent="0.2">
      <c r="A761" s="211" t="s">
        <v>55</v>
      </c>
      <c r="B761" s="211" t="s">
        <v>58</v>
      </c>
      <c r="C761" s="211" t="s">
        <v>19</v>
      </c>
      <c r="D761" s="211" t="s">
        <v>12</v>
      </c>
      <c r="E761" s="208">
        <v>43064</v>
      </c>
      <c r="F761" s="221">
        <v>2703.9080640000002</v>
      </c>
      <c r="G761" s="210" t="s">
        <v>16</v>
      </c>
      <c r="H761" s="211" t="s">
        <v>18</v>
      </c>
      <c r="I761" s="210">
        <v>1</v>
      </c>
      <c r="J761" s="210" t="s">
        <v>15</v>
      </c>
      <c r="K761" s="210" t="s">
        <v>54</v>
      </c>
      <c r="L761" s="211" t="s">
        <v>60</v>
      </c>
      <c r="M761" s="211" t="s">
        <v>17</v>
      </c>
    </row>
    <row r="762" spans="1:13" x14ac:dyDescent="0.2">
      <c r="A762" s="211" t="s">
        <v>55</v>
      </c>
      <c r="B762" s="211" t="s">
        <v>58</v>
      </c>
      <c r="C762" s="211" t="s">
        <v>19</v>
      </c>
      <c r="D762" s="211" t="s">
        <v>12</v>
      </c>
      <c r="E762" s="208">
        <v>43063</v>
      </c>
      <c r="F762" s="209">
        <v>13.9765493</v>
      </c>
      <c r="G762" s="210" t="s">
        <v>13</v>
      </c>
      <c r="H762" s="211" t="s">
        <v>14</v>
      </c>
      <c r="I762" s="210">
        <v>1</v>
      </c>
      <c r="J762" s="210" t="s">
        <v>15</v>
      </c>
      <c r="K762" s="210" t="s">
        <v>54</v>
      </c>
      <c r="L762" s="211" t="s">
        <v>60</v>
      </c>
      <c r="M762" s="211" t="s">
        <v>56</v>
      </c>
    </row>
    <row r="763" spans="1:13" x14ac:dyDescent="0.2">
      <c r="A763" s="211" t="s">
        <v>55</v>
      </c>
      <c r="B763" s="211" t="s">
        <v>58</v>
      </c>
      <c r="C763" s="211" t="s">
        <v>19</v>
      </c>
      <c r="D763" s="211" t="s">
        <v>12</v>
      </c>
      <c r="E763" s="208">
        <v>43063</v>
      </c>
      <c r="F763" s="221">
        <v>4429.4480235999999</v>
      </c>
      <c r="G763" s="210" t="s">
        <v>16</v>
      </c>
      <c r="H763" s="211" t="s">
        <v>14</v>
      </c>
      <c r="I763" s="210">
        <v>1</v>
      </c>
      <c r="J763" s="210" t="s">
        <v>15</v>
      </c>
      <c r="K763" s="210" t="s">
        <v>54</v>
      </c>
      <c r="L763" s="211" t="s">
        <v>60</v>
      </c>
      <c r="M763" s="211" t="s">
        <v>56</v>
      </c>
    </row>
    <row r="764" spans="1:13" x14ac:dyDescent="0.2">
      <c r="A764" s="211" t="s">
        <v>55</v>
      </c>
      <c r="B764" s="211" t="s">
        <v>58</v>
      </c>
      <c r="C764" s="211" t="s">
        <v>19</v>
      </c>
      <c r="D764" s="211" t="s">
        <v>12</v>
      </c>
      <c r="E764" s="208">
        <v>43063</v>
      </c>
      <c r="F764" s="209">
        <v>9.59</v>
      </c>
      <c r="G764" s="210" t="s">
        <v>13</v>
      </c>
      <c r="H764" s="211" t="s">
        <v>18</v>
      </c>
      <c r="I764" s="210">
        <v>1</v>
      </c>
      <c r="J764" s="210" t="s">
        <v>15</v>
      </c>
      <c r="K764" s="210" t="s">
        <v>54</v>
      </c>
      <c r="L764" s="211" t="s">
        <v>60</v>
      </c>
      <c r="M764" s="211" t="s">
        <v>17</v>
      </c>
    </row>
    <row r="765" spans="1:13" x14ac:dyDescent="0.2">
      <c r="A765" s="211" t="s">
        <v>55</v>
      </c>
      <c r="B765" s="211" t="s">
        <v>58</v>
      </c>
      <c r="C765" s="211" t="s">
        <v>19</v>
      </c>
      <c r="D765" s="211" t="s">
        <v>12</v>
      </c>
      <c r="E765" s="208">
        <v>43063</v>
      </c>
      <c r="F765" s="221">
        <v>2938.4872439999999</v>
      </c>
      <c r="G765" s="210" t="s">
        <v>16</v>
      </c>
      <c r="H765" s="211" t="s">
        <v>18</v>
      </c>
      <c r="I765" s="210">
        <v>1</v>
      </c>
      <c r="J765" s="210" t="s">
        <v>15</v>
      </c>
      <c r="K765" s="210" t="s">
        <v>54</v>
      </c>
      <c r="L765" s="211" t="s">
        <v>60</v>
      </c>
      <c r="M765" s="211" t="s">
        <v>17</v>
      </c>
    </row>
    <row r="766" spans="1:13" x14ac:dyDescent="0.2">
      <c r="A766" s="211" t="s">
        <v>55</v>
      </c>
      <c r="B766" s="211" t="s">
        <v>58</v>
      </c>
      <c r="C766" s="211" t="s">
        <v>19</v>
      </c>
      <c r="D766" s="211" t="s">
        <v>12</v>
      </c>
      <c r="E766" s="208">
        <v>43062</v>
      </c>
      <c r="F766" s="209">
        <v>16.772573099999999</v>
      </c>
      <c r="G766" s="210" t="s">
        <v>13</v>
      </c>
      <c r="H766" s="211" t="s">
        <v>14</v>
      </c>
      <c r="I766" s="210">
        <v>1</v>
      </c>
      <c r="J766" s="210" t="s">
        <v>15</v>
      </c>
      <c r="K766" s="210" t="s">
        <v>54</v>
      </c>
      <c r="L766" s="211" t="s">
        <v>60</v>
      </c>
      <c r="M766" s="211" t="s">
        <v>56</v>
      </c>
    </row>
    <row r="767" spans="1:13" x14ac:dyDescent="0.2">
      <c r="A767" s="211" t="s">
        <v>55</v>
      </c>
      <c r="B767" s="211" t="s">
        <v>58</v>
      </c>
      <c r="C767" s="211" t="s">
        <v>19</v>
      </c>
      <c r="D767" s="211" t="s">
        <v>12</v>
      </c>
      <c r="E767" s="208">
        <v>43062</v>
      </c>
      <c r="F767" s="221">
        <v>5455.4471339000002</v>
      </c>
      <c r="G767" s="210" t="s">
        <v>16</v>
      </c>
      <c r="H767" s="211" t="s">
        <v>14</v>
      </c>
      <c r="I767" s="210">
        <v>1</v>
      </c>
      <c r="J767" s="210" t="s">
        <v>15</v>
      </c>
      <c r="K767" s="210" t="s">
        <v>54</v>
      </c>
      <c r="L767" s="211" t="s">
        <v>60</v>
      </c>
      <c r="M767" s="211" t="s">
        <v>56</v>
      </c>
    </row>
    <row r="768" spans="1:13" x14ac:dyDescent="0.2">
      <c r="A768" s="211" t="s">
        <v>55</v>
      </c>
      <c r="B768" s="211" t="s">
        <v>58</v>
      </c>
      <c r="C768" s="211" t="s">
        <v>19</v>
      </c>
      <c r="D768" s="211" t="s">
        <v>12</v>
      </c>
      <c r="E768" s="208">
        <v>43062</v>
      </c>
      <c r="F768" s="209">
        <v>8.4499999999999993</v>
      </c>
      <c r="G768" s="210" t="s">
        <v>13</v>
      </c>
      <c r="H768" s="211" t="s">
        <v>18</v>
      </c>
      <c r="I768" s="210">
        <v>1</v>
      </c>
      <c r="J768" s="210" t="s">
        <v>15</v>
      </c>
      <c r="K768" s="210" t="s">
        <v>54</v>
      </c>
      <c r="L768" s="211" t="s">
        <v>60</v>
      </c>
      <c r="M768" s="211" t="s">
        <v>17</v>
      </c>
    </row>
    <row r="769" spans="1:13" x14ac:dyDescent="0.2">
      <c r="A769" s="211" t="s">
        <v>55</v>
      </c>
      <c r="B769" s="211" t="s">
        <v>58</v>
      </c>
      <c r="C769" s="211" t="s">
        <v>19</v>
      </c>
      <c r="D769" s="211" t="s">
        <v>12</v>
      </c>
      <c r="E769" s="208">
        <v>43062</v>
      </c>
      <c r="F769" s="221">
        <v>2680.7929199999999</v>
      </c>
      <c r="G769" s="210" t="s">
        <v>16</v>
      </c>
      <c r="H769" s="211" t="s">
        <v>18</v>
      </c>
      <c r="I769" s="210">
        <v>1</v>
      </c>
      <c r="J769" s="210" t="s">
        <v>15</v>
      </c>
      <c r="K769" s="210" t="s">
        <v>54</v>
      </c>
      <c r="L769" s="211" t="s">
        <v>60</v>
      </c>
      <c r="M769" s="211" t="s">
        <v>17</v>
      </c>
    </row>
    <row r="770" spans="1:13" x14ac:dyDescent="0.2">
      <c r="A770" s="211" t="s">
        <v>55</v>
      </c>
      <c r="B770" s="211" t="s">
        <v>58</v>
      </c>
      <c r="C770" s="211" t="s">
        <v>19</v>
      </c>
      <c r="D770" s="211" t="s">
        <v>12</v>
      </c>
      <c r="E770" s="208">
        <v>43061</v>
      </c>
      <c r="F770" s="209">
        <v>26.006251800000001</v>
      </c>
      <c r="G770" s="210" t="s">
        <v>13</v>
      </c>
      <c r="H770" s="211" t="s">
        <v>14</v>
      </c>
      <c r="I770" s="210">
        <v>1</v>
      </c>
      <c r="J770" s="210" t="s">
        <v>15</v>
      </c>
      <c r="K770" s="210" t="s">
        <v>54</v>
      </c>
      <c r="L770" s="211" t="s">
        <v>60</v>
      </c>
      <c r="M770" s="211" t="s">
        <v>56</v>
      </c>
    </row>
    <row r="771" spans="1:13" x14ac:dyDescent="0.2">
      <c r="A771" s="211" t="s">
        <v>55</v>
      </c>
      <c r="B771" s="211" t="s">
        <v>58</v>
      </c>
      <c r="C771" s="211" t="s">
        <v>19</v>
      </c>
      <c r="D771" s="211" t="s">
        <v>12</v>
      </c>
      <c r="E771" s="208">
        <v>43061</v>
      </c>
      <c r="F771" s="221">
        <v>9109.4698905000005</v>
      </c>
      <c r="G771" s="210" t="s">
        <v>16</v>
      </c>
      <c r="H771" s="211" t="s">
        <v>14</v>
      </c>
      <c r="I771" s="210">
        <v>1</v>
      </c>
      <c r="J771" s="210" t="s">
        <v>15</v>
      </c>
      <c r="K771" s="210" t="s">
        <v>54</v>
      </c>
      <c r="L771" s="211" t="s">
        <v>60</v>
      </c>
      <c r="M771" s="211" t="s">
        <v>56</v>
      </c>
    </row>
    <row r="772" spans="1:13" x14ac:dyDescent="0.2">
      <c r="A772" s="211" t="s">
        <v>55</v>
      </c>
      <c r="B772" s="211" t="s">
        <v>58</v>
      </c>
      <c r="C772" s="211" t="s">
        <v>19</v>
      </c>
      <c r="D772" s="211" t="s">
        <v>12</v>
      </c>
      <c r="E772" s="208">
        <v>43061</v>
      </c>
      <c r="F772" s="209">
        <v>8.91</v>
      </c>
      <c r="G772" s="210" t="s">
        <v>13</v>
      </c>
      <c r="H772" s="211" t="s">
        <v>18</v>
      </c>
      <c r="I772" s="210">
        <v>1</v>
      </c>
      <c r="J772" s="210" t="s">
        <v>15</v>
      </c>
      <c r="K772" s="210" t="s">
        <v>54</v>
      </c>
      <c r="L772" s="211" t="s">
        <v>60</v>
      </c>
      <c r="M772" s="211" t="s">
        <v>17</v>
      </c>
    </row>
    <row r="773" spans="1:13" x14ac:dyDescent="0.2">
      <c r="A773" s="211" t="s">
        <v>55</v>
      </c>
      <c r="B773" s="211" t="s">
        <v>58</v>
      </c>
      <c r="C773" s="211" t="s">
        <v>19</v>
      </c>
      <c r="D773" s="211" t="s">
        <v>12</v>
      </c>
      <c r="E773" s="208">
        <v>43061</v>
      </c>
      <c r="F773" s="221">
        <v>3051.1439639999999</v>
      </c>
      <c r="G773" s="210" t="s">
        <v>16</v>
      </c>
      <c r="H773" s="211" t="s">
        <v>18</v>
      </c>
      <c r="I773" s="210">
        <v>1</v>
      </c>
      <c r="J773" s="210" t="s">
        <v>15</v>
      </c>
      <c r="K773" s="210" t="s">
        <v>54</v>
      </c>
      <c r="L773" s="211" t="s">
        <v>60</v>
      </c>
      <c r="M773" s="211" t="s">
        <v>17</v>
      </c>
    </row>
    <row r="774" spans="1:13" x14ac:dyDescent="0.2">
      <c r="A774" s="211" t="s">
        <v>55</v>
      </c>
      <c r="B774" s="211" t="s">
        <v>58</v>
      </c>
      <c r="C774" s="211" t="s">
        <v>19</v>
      </c>
      <c r="D774" s="211" t="s">
        <v>12</v>
      </c>
      <c r="E774" s="208">
        <v>43060</v>
      </c>
      <c r="F774" s="209">
        <v>15.919803699999999</v>
      </c>
      <c r="G774" s="210" t="s">
        <v>13</v>
      </c>
      <c r="H774" s="211" t="s">
        <v>14</v>
      </c>
      <c r="I774" s="210">
        <v>1</v>
      </c>
      <c r="J774" s="210" t="s">
        <v>15</v>
      </c>
      <c r="K774" s="210" t="s">
        <v>54</v>
      </c>
      <c r="L774" s="211" t="s">
        <v>60</v>
      </c>
      <c r="M774" s="211" t="s">
        <v>56</v>
      </c>
    </row>
    <row r="775" spans="1:13" x14ac:dyDescent="0.2">
      <c r="A775" s="211" t="s">
        <v>55</v>
      </c>
      <c r="B775" s="211" t="s">
        <v>58</v>
      </c>
      <c r="C775" s="211" t="s">
        <v>19</v>
      </c>
      <c r="D775" s="211" t="s">
        <v>12</v>
      </c>
      <c r="E775" s="208">
        <v>43060</v>
      </c>
      <c r="F775" s="221">
        <v>5417.0634596999998</v>
      </c>
      <c r="G775" s="210" t="s">
        <v>16</v>
      </c>
      <c r="H775" s="211" t="s">
        <v>14</v>
      </c>
      <c r="I775" s="210">
        <v>1</v>
      </c>
      <c r="J775" s="210" t="s">
        <v>15</v>
      </c>
      <c r="K775" s="210" t="s">
        <v>54</v>
      </c>
      <c r="L775" s="211" t="s">
        <v>60</v>
      </c>
      <c r="M775" s="211" t="s">
        <v>56</v>
      </c>
    </row>
    <row r="776" spans="1:13" x14ac:dyDescent="0.2">
      <c r="A776" s="211" t="s">
        <v>55</v>
      </c>
      <c r="B776" s="211" t="s">
        <v>58</v>
      </c>
      <c r="C776" s="211" t="s">
        <v>19</v>
      </c>
      <c r="D776" s="211" t="s">
        <v>12</v>
      </c>
      <c r="E776" s="208">
        <v>43060</v>
      </c>
      <c r="F776" s="209">
        <v>8.19</v>
      </c>
      <c r="G776" s="210" t="s">
        <v>13</v>
      </c>
      <c r="H776" s="211" t="s">
        <v>18</v>
      </c>
      <c r="I776" s="210">
        <v>1</v>
      </c>
      <c r="J776" s="210" t="s">
        <v>15</v>
      </c>
      <c r="K776" s="210" t="s">
        <v>54</v>
      </c>
      <c r="L776" s="211" t="s">
        <v>60</v>
      </c>
      <c r="M776" s="211" t="s">
        <v>17</v>
      </c>
    </row>
    <row r="777" spans="1:13" x14ac:dyDescent="0.2">
      <c r="A777" s="211" t="s">
        <v>55</v>
      </c>
      <c r="B777" s="211" t="s">
        <v>58</v>
      </c>
      <c r="C777" s="211" t="s">
        <v>19</v>
      </c>
      <c r="D777" s="211" t="s">
        <v>12</v>
      </c>
      <c r="E777" s="208">
        <v>43060</v>
      </c>
      <c r="F777" s="221">
        <v>2715.790896</v>
      </c>
      <c r="G777" s="210" t="s">
        <v>16</v>
      </c>
      <c r="H777" s="211" t="s">
        <v>18</v>
      </c>
      <c r="I777" s="210">
        <v>1</v>
      </c>
      <c r="J777" s="210" t="s">
        <v>15</v>
      </c>
      <c r="K777" s="210" t="s">
        <v>54</v>
      </c>
      <c r="L777" s="211" t="s">
        <v>60</v>
      </c>
      <c r="M777" s="211" t="s">
        <v>17</v>
      </c>
    </row>
    <row r="778" spans="1:13" x14ac:dyDescent="0.2">
      <c r="A778" s="211" t="s">
        <v>55</v>
      </c>
      <c r="B778" s="211" t="s">
        <v>58</v>
      </c>
      <c r="C778" s="211" t="s">
        <v>19</v>
      </c>
      <c r="D778" s="211" t="s">
        <v>12</v>
      </c>
      <c r="E778" s="208">
        <v>43059</v>
      </c>
      <c r="F778" s="209">
        <v>12.837742199999999</v>
      </c>
      <c r="G778" s="210" t="s">
        <v>13</v>
      </c>
      <c r="H778" s="211" t="s">
        <v>14</v>
      </c>
      <c r="I778" s="210">
        <v>1</v>
      </c>
      <c r="J778" s="210" t="s">
        <v>15</v>
      </c>
      <c r="K778" s="210" t="s">
        <v>54</v>
      </c>
      <c r="L778" s="211" t="s">
        <v>60</v>
      </c>
      <c r="M778" s="211" t="s">
        <v>56</v>
      </c>
    </row>
    <row r="779" spans="1:13" x14ac:dyDescent="0.2">
      <c r="A779" s="211" t="s">
        <v>55</v>
      </c>
      <c r="B779" s="211" t="s">
        <v>58</v>
      </c>
      <c r="C779" s="211" t="s">
        <v>19</v>
      </c>
      <c r="D779" s="211" t="s">
        <v>12</v>
      </c>
      <c r="E779" s="208">
        <v>43059</v>
      </c>
      <c r="F779" s="221">
        <v>4304.0841806999997</v>
      </c>
      <c r="G779" s="210" t="s">
        <v>16</v>
      </c>
      <c r="H779" s="211" t="s">
        <v>14</v>
      </c>
      <c r="I779" s="210">
        <v>1</v>
      </c>
      <c r="J779" s="210" t="s">
        <v>15</v>
      </c>
      <c r="K779" s="210" t="s">
        <v>54</v>
      </c>
      <c r="L779" s="211" t="s">
        <v>60</v>
      </c>
      <c r="M779" s="211" t="s">
        <v>56</v>
      </c>
    </row>
    <row r="780" spans="1:13" x14ac:dyDescent="0.2">
      <c r="A780" s="211" t="s">
        <v>55</v>
      </c>
      <c r="B780" s="211" t="s">
        <v>58</v>
      </c>
      <c r="C780" s="211" t="s">
        <v>19</v>
      </c>
      <c r="D780" s="211" t="s">
        <v>12</v>
      </c>
      <c r="E780" s="208">
        <v>43059</v>
      </c>
      <c r="F780" s="209">
        <v>7.53</v>
      </c>
      <c r="G780" s="210" t="s">
        <v>13</v>
      </c>
      <c r="H780" s="211" t="s">
        <v>18</v>
      </c>
      <c r="I780" s="210">
        <v>1</v>
      </c>
      <c r="J780" s="210" t="s">
        <v>15</v>
      </c>
      <c r="K780" s="210" t="s">
        <v>54</v>
      </c>
      <c r="L780" s="211" t="s">
        <v>60</v>
      </c>
      <c r="M780" s="211" t="s">
        <v>17</v>
      </c>
    </row>
    <row r="781" spans="1:13" x14ac:dyDescent="0.2">
      <c r="A781" s="211" t="s">
        <v>55</v>
      </c>
      <c r="B781" s="211" t="s">
        <v>58</v>
      </c>
      <c r="C781" s="211" t="s">
        <v>19</v>
      </c>
      <c r="D781" s="211" t="s">
        <v>12</v>
      </c>
      <c r="E781" s="208">
        <v>43059</v>
      </c>
      <c r="F781" s="221">
        <v>2459.2558319999998</v>
      </c>
      <c r="G781" s="210" t="s">
        <v>16</v>
      </c>
      <c r="H781" s="211" t="s">
        <v>18</v>
      </c>
      <c r="I781" s="210">
        <v>1</v>
      </c>
      <c r="J781" s="210" t="s">
        <v>15</v>
      </c>
      <c r="K781" s="210" t="s">
        <v>54</v>
      </c>
      <c r="L781" s="211" t="s">
        <v>60</v>
      </c>
      <c r="M781" s="211" t="s">
        <v>17</v>
      </c>
    </row>
    <row r="782" spans="1:13" x14ac:dyDescent="0.2">
      <c r="A782" s="211" t="s">
        <v>55</v>
      </c>
      <c r="B782" s="211" t="s">
        <v>58</v>
      </c>
      <c r="C782" s="211" t="s">
        <v>19</v>
      </c>
      <c r="D782" s="211" t="s">
        <v>12</v>
      </c>
      <c r="E782" s="208">
        <v>43058</v>
      </c>
      <c r="F782" s="209">
        <v>11.5129679</v>
      </c>
      <c r="G782" s="210" t="s">
        <v>13</v>
      </c>
      <c r="H782" s="211" t="s">
        <v>14</v>
      </c>
      <c r="I782" s="210">
        <v>1</v>
      </c>
      <c r="J782" s="210" t="s">
        <v>15</v>
      </c>
      <c r="K782" s="210" t="s">
        <v>54</v>
      </c>
      <c r="L782" s="211" t="s">
        <v>60</v>
      </c>
      <c r="M782" s="211" t="s">
        <v>56</v>
      </c>
    </row>
    <row r="783" spans="1:13" x14ac:dyDescent="0.2">
      <c r="A783" s="211" t="s">
        <v>55</v>
      </c>
      <c r="B783" s="211" t="s">
        <v>58</v>
      </c>
      <c r="C783" s="211" t="s">
        <v>19</v>
      </c>
      <c r="D783" s="211" t="s">
        <v>12</v>
      </c>
      <c r="E783" s="208">
        <v>43058</v>
      </c>
      <c r="F783" s="221">
        <v>4023.1605847000001</v>
      </c>
      <c r="G783" s="210" t="s">
        <v>16</v>
      </c>
      <c r="H783" s="211" t="s">
        <v>14</v>
      </c>
      <c r="I783" s="210">
        <v>1</v>
      </c>
      <c r="J783" s="210" t="s">
        <v>15</v>
      </c>
      <c r="K783" s="210" t="s">
        <v>54</v>
      </c>
      <c r="L783" s="211" t="s">
        <v>60</v>
      </c>
      <c r="M783" s="211" t="s">
        <v>56</v>
      </c>
    </row>
    <row r="784" spans="1:13" x14ac:dyDescent="0.2">
      <c r="A784" s="211" t="s">
        <v>55</v>
      </c>
      <c r="B784" s="211" t="s">
        <v>58</v>
      </c>
      <c r="C784" s="211" t="s">
        <v>19</v>
      </c>
      <c r="D784" s="211" t="s">
        <v>12</v>
      </c>
      <c r="E784" s="208">
        <v>43058</v>
      </c>
      <c r="F784" s="209">
        <v>8.4700000000000006</v>
      </c>
      <c r="G784" s="210" t="s">
        <v>13</v>
      </c>
      <c r="H784" s="211" t="s">
        <v>18</v>
      </c>
      <c r="I784" s="210">
        <v>1</v>
      </c>
      <c r="J784" s="210" t="s">
        <v>15</v>
      </c>
      <c r="K784" s="210" t="s">
        <v>54</v>
      </c>
      <c r="L784" s="211" t="s">
        <v>60</v>
      </c>
      <c r="M784" s="211" t="s">
        <v>17</v>
      </c>
    </row>
    <row r="785" spans="1:13" x14ac:dyDescent="0.2">
      <c r="A785" s="211" t="s">
        <v>55</v>
      </c>
      <c r="B785" s="211" t="s">
        <v>58</v>
      </c>
      <c r="C785" s="211" t="s">
        <v>19</v>
      </c>
      <c r="D785" s="211" t="s">
        <v>12</v>
      </c>
      <c r="E785" s="208">
        <v>43058</v>
      </c>
      <c r="F785" s="221">
        <v>2858.7927060000002</v>
      </c>
      <c r="G785" s="210" t="s">
        <v>16</v>
      </c>
      <c r="H785" s="211" t="s">
        <v>18</v>
      </c>
      <c r="I785" s="210">
        <v>1</v>
      </c>
      <c r="J785" s="210" t="s">
        <v>15</v>
      </c>
      <c r="K785" s="210" t="s">
        <v>54</v>
      </c>
      <c r="L785" s="211" t="s">
        <v>60</v>
      </c>
      <c r="M785" s="211" t="s">
        <v>17</v>
      </c>
    </row>
    <row r="786" spans="1:13" x14ac:dyDescent="0.2">
      <c r="A786" s="211" t="s">
        <v>55</v>
      </c>
      <c r="B786" s="211" t="s">
        <v>58</v>
      </c>
      <c r="C786" s="211" t="s">
        <v>19</v>
      </c>
      <c r="D786" s="211" t="s">
        <v>12</v>
      </c>
      <c r="E786" s="208">
        <v>43057</v>
      </c>
      <c r="F786" s="209">
        <v>9.0566259000000002</v>
      </c>
      <c r="G786" s="210" t="s">
        <v>13</v>
      </c>
      <c r="H786" s="211" t="s">
        <v>14</v>
      </c>
      <c r="I786" s="210">
        <v>1</v>
      </c>
      <c r="J786" s="210" t="s">
        <v>15</v>
      </c>
      <c r="K786" s="210" t="s">
        <v>54</v>
      </c>
      <c r="L786" s="211" t="s">
        <v>60</v>
      </c>
      <c r="M786" s="211" t="s">
        <v>56</v>
      </c>
    </row>
    <row r="787" spans="1:13" x14ac:dyDescent="0.2">
      <c r="A787" s="211" t="s">
        <v>55</v>
      </c>
      <c r="B787" s="211" t="s">
        <v>58</v>
      </c>
      <c r="C787" s="211" t="s">
        <v>19</v>
      </c>
      <c r="D787" s="211" t="s">
        <v>12</v>
      </c>
      <c r="E787" s="208">
        <v>43057</v>
      </c>
      <c r="F787" s="221">
        <v>3089.2694391</v>
      </c>
      <c r="G787" s="210" t="s">
        <v>16</v>
      </c>
      <c r="H787" s="211" t="s">
        <v>14</v>
      </c>
      <c r="I787" s="210">
        <v>1</v>
      </c>
      <c r="J787" s="210" t="s">
        <v>15</v>
      </c>
      <c r="K787" s="210" t="s">
        <v>54</v>
      </c>
      <c r="L787" s="211" t="s">
        <v>60</v>
      </c>
      <c r="M787" s="211" t="s">
        <v>56</v>
      </c>
    </row>
    <row r="788" spans="1:13" x14ac:dyDescent="0.2">
      <c r="A788" s="211" t="s">
        <v>55</v>
      </c>
      <c r="B788" s="211" t="s">
        <v>58</v>
      </c>
      <c r="C788" s="211" t="s">
        <v>19</v>
      </c>
      <c r="D788" s="211" t="s">
        <v>12</v>
      </c>
      <c r="E788" s="208">
        <v>43057</v>
      </c>
      <c r="F788" s="209">
        <v>7.76</v>
      </c>
      <c r="G788" s="210" t="s">
        <v>13</v>
      </c>
      <c r="H788" s="211" t="s">
        <v>18</v>
      </c>
      <c r="I788" s="210">
        <v>1</v>
      </c>
      <c r="J788" s="210" t="s">
        <v>15</v>
      </c>
      <c r="K788" s="210" t="s">
        <v>54</v>
      </c>
      <c r="L788" s="211" t="s">
        <v>60</v>
      </c>
      <c r="M788" s="211" t="s">
        <v>17</v>
      </c>
    </row>
    <row r="789" spans="1:13" x14ac:dyDescent="0.2">
      <c r="A789" s="211" t="s">
        <v>55</v>
      </c>
      <c r="B789" s="211" t="s">
        <v>58</v>
      </c>
      <c r="C789" s="211" t="s">
        <v>19</v>
      </c>
      <c r="D789" s="211" t="s">
        <v>12</v>
      </c>
      <c r="E789" s="208">
        <v>43057</v>
      </c>
      <c r="F789" s="221">
        <v>2561.5542719999999</v>
      </c>
      <c r="G789" s="210" t="s">
        <v>16</v>
      </c>
      <c r="H789" s="211" t="s">
        <v>18</v>
      </c>
      <c r="I789" s="210">
        <v>1</v>
      </c>
      <c r="J789" s="210" t="s">
        <v>15</v>
      </c>
      <c r="K789" s="210" t="s">
        <v>54</v>
      </c>
      <c r="L789" s="211" t="s">
        <v>60</v>
      </c>
      <c r="M789" s="211" t="s">
        <v>17</v>
      </c>
    </row>
    <row r="790" spans="1:13" x14ac:dyDescent="0.2">
      <c r="A790" s="211" t="s">
        <v>55</v>
      </c>
      <c r="B790" s="211" t="s">
        <v>58</v>
      </c>
      <c r="C790" s="211" t="s">
        <v>19</v>
      </c>
      <c r="D790" s="211" t="s">
        <v>12</v>
      </c>
      <c r="E790" s="208">
        <v>43056</v>
      </c>
      <c r="F790" s="209">
        <v>11.605503300000001</v>
      </c>
      <c r="G790" s="210" t="s">
        <v>13</v>
      </c>
      <c r="H790" s="211" t="s">
        <v>14</v>
      </c>
      <c r="I790" s="210">
        <v>1</v>
      </c>
      <c r="J790" s="210" t="s">
        <v>15</v>
      </c>
      <c r="K790" s="210" t="s">
        <v>54</v>
      </c>
      <c r="L790" s="211" t="s">
        <v>60</v>
      </c>
      <c r="M790" s="211" t="s">
        <v>56</v>
      </c>
    </row>
    <row r="791" spans="1:13" x14ac:dyDescent="0.2">
      <c r="A791" s="211" t="s">
        <v>55</v>
      </c>
      <c r="B791" s="211" t="s">
        <v>58</v>
      </c>
      <c r="C791" s="211" t="s">
        <v>19</v>
      </c>
      <c r="D791" s="211" t="s">
        <v>12</v>
      </c>
      <c r="E791" s="208">
        <v>43056</v>
      </c>
      <c r="F791" s="221">
        <v>3890.9538894000002</v>
      </c>
      <c r="G791" s="210" t="s">
        <v>16</v>
      </c>
      <c r="H791" s="211" t="s">
        <v>14</v>
      </c>
      <c r="I791" s="210">
        <v>1</v>
      </c>
      <c r="J791" s="210" t="s">
        <v>15</v>
      </c>
      <c r="K791" s="210" t="s">
        <v>54</v>
      </c>
      <c r="L791" s="211" t="s">
        <v>60</v>
      </c>
      <c r="M791" s="211" t="s">
        <v>56</v>
      </c>
    </row>
    <row r="792" spans="1:13" x14ac:dyDescent="0.2">
      <c r="A792" s="211" t="s">
        <v>55</v>
      </c>
      <c r="B792" s="211" t="s">
        <v>58</v>
      </c>
      <c r="C792" s="211" t="s">
        <v>19</v>
      </c>
      <c r="D792" s="211" t="s">
        <v>12</v>
      </c>
      <c r="E792" s="208">
        <v>43056</v>
      </c>
      <c r="F792" s="209">
        <v>7.05</v>
      </c>
      <c r="G792" s="210" t="s">
        <v>13</v>
      </c>
      <c r="H792" s="211" t="s">
        <v>18</v>
      </c>
      <c r="I792" s="210">
        <v>1</v>
      </c>
      <c r="J792" s="210" t="s">
        <v>15</v>
      </c>
      <c r="K792" s="210" t="s">
        <v>54</v>
      </c>
      <c r="L792" s="211" t="s">
        <v>60</v>
      </c>
      <c r="M792" s="211" t="s">
        <v>17</v>
      </c>
    </row>
    <row r="793" spans="1:13" x14ac:dyDescent="0.2">
      <c r="A793" s="211" t="s">
        <v>55</v>
      </c>
      <c r="B793" s="211" t="s">
        <v>58</v>
      </c>
      <c r="C793" s="211" t="s">
        <v>19</v>
      </c>
      <c r="D793" s="211" t="s">
        <v>12</v>
      </c>
      <c r="E793" s="208">
        <v>43056</v>
      </c>
      <c r="F793" s="221">
        <v>2256.0408900000002</v>
      </c>
      <c r="G793" s="210" t="s">
        <v>16</v>
      </c>
      <c r="H793" s="211" t="s">
        <v>18</v>
      </c>
      <c r="I793" s="210">
        <v>1</v>
      </c>
      <c r="J793" s="210" t="s">
        <v>15</v>
      </c>
      <c r="K793" s="210" t="s">
        <v>54</v>
      </c>
      <c r="L793" s="211" t="s">
        <v>60</v>
      </c>
      <c r="M793" s="211" t="s">
        <v>17</v>
      </c>
    </row>
    <row r="794" spans="1:13" x14ac:dyDescent="0.2">
      <c r="A794" s="211" t="s">
        <v>55</v>
      </c>
      <c r="B794" s="211" t="s">
        <v>58</v>
      </c>
      <c r="C794" s="211" t="s">
        <v>19</v>
      </c>
      <c r="D794" s="211" t="s">
        <v>12</v>
      </c>
      <c r="E794" s="208">
        <v>43055</v>
      </c>
      <c r="F794" s="209">
        <v>11.657498800000001</v>
      </c>
      <c r="G794" s="210" t="s">
        <v>13</v>
      </c>
      <c r="H794" s="211" t="s">
        <v>14</v>
      </c>
      <c r="I794" s="210">
        <v>1</v>
      </c>
      <c r="J794" s="210" t="s">
        <v>15</v>
      </c>
      <c r="K794" s="210" t="s">
        <v>54</v>
      </c>
      <c r="L794" s="211" t="s">
        <v>60</v>
      </c>
      <c r="M794" s="211" t="s">
        <v>56</v>
      </c>
    </row>
    <row r="795" spans="1:13" x14ac:dyDescent="0.2">
      <c r="A795" s="211" t="s">
        <v>55</v>
      </c>
      <c r="B795" s="211" t="s">
        <v>58</v>
      </c>
      <c r="C795" s="211" t="s">
        <v>19</v>
      </c>
      <c r="D795" s="211" t="s">
        <v>12</v>
      </c>
      <c r="E795" s="208">
        <v>43055</v>
      </c>
      <c r="F795" s="221">
        <v>4044.4992803999999</v>
      </c>
      <c r="G795" s="210" t="s">
        <v>16</v>
      </c>
      <c r="H795" s="211" t="s">
        <v>14</v>
      </c>
      <c r="I795" s="210">
        <v>1</v>
      </c>
      <c r="J795" s="210" t="s">
        <v>15</v>
      </c>
      <c r="K795" s="210" t="s">
        <v>54</v>
      </c>
      <c r="L795" s="211" t="s">
        <v>60</v>
      </c>
      <c r="M795" s="211" t="s">
        <v>56</v>
      </c>
    </row>
    <row r="796" spans="1:13" x14ac:dyDescent="0.2">
      <c r="A796" s="211" t="s">
        <v>55</v>
      </c>
      <c r="B796" s="211" t="s">
        <v>58</v>
      </c>
      <c r="C796" s="211" t="s">
        <v>19</v>
      </c>
      <c r="D796" s="211" t="s">
        <v>12</v>
      </c>
      <c r="E796" s="208">
        <v>43055</v>
      </c>
      <c r="F796" s="209">
        <v>7.41</v>
      </c>
      <c r="G796" s="210" t="s">
        <v>13</v>
      </c>
      <c r="H796" s="211" t="s">
        <v>18</v>
      </c>
      <c r="I796" s="210">
        <v>1</v>
      </c>
      <c r="J796" s="210" t="s">
        <v>15</v>
      </c>
      <c r="K796" s="210" t="s">
        <v>54</v>
      </c>
      <c r="L796" s="211" t="s">
        <v>60</v>
      </c>
      <c r="M796" s="211" t="s">
        <v>17</v>
      </c>
    </row>
    <row r="797" spans="1:13" x14ac:dyDescent="0.2">
      <c r="A797" s="211" t="s">
        <v>55</v>
      </c>
      <c r="B797" s="211" t="s">
        <v>58</v>
      </c>
      <c r="C797" s="211" t="s">
        <v>19</v>
      </c>
      <c r="D797" s="211" t="s">
        <v>12</v>
      </c>
      <c r="E797" s="208">
        <v>43055</v>
      </c>
      <c r="F797" s="221">
        <v>2462.7060900000001</v>
      </c>
      <c r="G797" s="210" t="s">
        <v>16</v>
      </c>
      <c r="H797" s="211" t="s">
        <v>18</v>
      </c>
      <c r="I797" s="210">
        <v>1</v>
      </c>
      <c r="J797" s="210" t="s">
        <v>15</v>
      </c>
      <c r="K797" s="210" t="s">
        <v>54</v>
      </c>
      <c r="L797" s="211" t="s">
        <v>60</v>
      </c>
      <c r="M797" s="211" t="s">
        <v>17</v>
      </c>
    </row>
    <row r="798" spans="1:13" x14ac:dyDescent="0.2">
      <c r="A798" s="211" t="s">
        <v>55</v>
      </c>
      <c r="B798" s="211" t="s">
        <v>58</v>
      </c>
      <c r="C798" s="211" t="s">
        <v>19</v>
      </c>
      <c r="D798" s="211" t="s">
        <v>12</v>
      </c>
      <c r="E798" s="208">
        <v>43054</v>
      </c>
      <c r="F798" s="209">
        <v>14.318678800000001</v>
      </c>
      <c r="G798" s="210" t="s">
        <v>13</v>
      </c>
      <c r="H798" s="211" t="s">
        <v>14</v>
      </c>
      <c r="I798" s="210">
        <v>1</v>
      </c>
      <c r="J798" s="210" t="s">
        <v>15</v>
      </c>
      <c r="K798" s="210" t="s">
        <v>54</v>
      </c>
      <c r="L798" s="211" t="s">
        <v>60</v>
      </c>
      <c r="M798" s="211" t="s">
        <v>56</v>
      </c>
    </row>
    <row r="799" spans="1:13" x14ac:dyDescent="0.2">
      <c r="A799" s="211" t="s">
        <v>55</v>
      </c>
      <c r="B799" s="211" t="s">
        <v>58</v>
      </c>
      <c r="C799" s="211" t="s">
        <v>19</v>
      </c>
      <c r="D799" s="211" t="s">
        <v>12</v>
      </c>
      <c r="E799" s="208">
        <v>43054</v>
      </c>
      <c r="F799" s="221">
        <v>4836.4201493999999</v>
      </c>
      <c r="G799" s="210" t="s">
        <v>16</v>
      </c>
      <c r="H799" s="211" t="s">
        <v>14</v>
      </c>
      <c r="I799" s="210">
        <v>1</v>
      </c>
      <c r="J799" s="210" t="s">
        <v>15</v>
      </c>
      <c r="K799" s="210" t="s">
        <v>54</v>
      </c>
      <c r="L799" s="211" t="s">
        <v>60</v>
      </c>
      <c r="M799" s="211" t="s">
        <v>56</v>
      </c>
    </row>
    <row r="800" spans="1:13" x14ac:dyDescent="0.2">
      <c r="A800" s="211" t="s">
        <v>55</v>
      </c>
      <c r="B800" s="211" t="s">
        <v>58</v>
      </c>
      <c r="C800" s="211" t="s">
        <v>19</v>
      </c>
      <c r="D800" s="211" t="s">
        <v>12</v>
      </c>
      <c r="E800" s="208">
        <v>43054</v>
      </c>
      <c r="F800" s="209">
        <v>8.06</v>
      </c>
      <c r="G800" s="210" t="s">
        <v>13</v>
      </c>
      <c r="H800" s="211" t="s">
        <v>18</v>
      </c>
      <c r="I800" s="210">
        <v>1</v>
      </c>
      <c r="J800" s="210" t="s">
        <v>15</v>
      </c>
      <c r="K800" s="210" t="s">
        <v>54</v>
      </c>
      <c r="L800" s="211" t="s">
        <v>60</v>
      </c>
      <c r="M800" s="211" t="s">
        <v>17</v>
      </c>
    </row>
    <row r="801" spans="1:13" x14ac:dyDescent="0.2">
      <c r="A801" s="211" t="s">
        <v>55</v>
      </c>
      <c r="B801" s="211" t="s">
        <v>58</v>
      </c>
      <c r="C801" s="211" t="s">
        <v>19</v>
      </c>
      <c r="D801" s="211" t="s">
        <v>12</v>
      </c>
      <c r="E801" s="208">
        <v>43054</v>
      </c>
      <c r="F801" s="221">
        <v>2687.4715919999999</v>
      </c>
      <c r="G801" s="210" t="s">
        <v>16</v>
      </c>
      <c r="H801" s="211" t="s">
        <v>18</v>
      </c>
      <c r="I801" s="210">
        <v>1</v>
      </c>
      <c r="J801" s="210" t="s">
        <v>15</v>
      </c>
      <c r="K801" s="210" t="s">
        <v>54</v>
      </c>
      <c r="L801" s="211" t="s">
        <v>60</v>
      </c>
      <c r="M801" s="211" t="s">
        <v>17</v>
      </c>
    </row>
    <row r="802" spans="1:13" x14ac:dyDescent="0.2">
      <c r="A802" s="211" t="s">
        <v>55</v>
      </c>
      <c r="B802" s="211" t="s">
        <v>58</v>
      </c>
      <c r="C802" s="211" t="s">
        <v>19</v>
      </c>
      <c r="D802" s="211" t="s">
        <v>12</v>
      </c>
      <c r="E802" s="208">
        <v>43053</v>
      </c>
      <c r="F802" s="209">
        <v>16.629560099999999</v>
      </c>
      <c r="G802" s="210" t="s">
        <v>13</v>
      </c>
      <c r="H802" s="211" t="s">
        <v>14</v>
      </c>
      <c r="I802" s="210">
        <v>1</v>
      </c>
      <c r="J802" s="210" t="s">
        <v>15</v>
      </c>
      <c r="K802" s="210" t="s">
        <v>54</v>
      </c>
      <c r="L802" s="211" t="s">
        <v>60</v>
      </c>
      <c r="M802" s="211" t="s">
        <v>56</v>
      </c>
    </row>
    <row r="803" spans="1:13" x14ac:dyDescent="0.2">
      <c r="A803" s="211" t="s">
        <v>55</v>
      </c>
      <c r="B803" s="211" t="s">
        <v>58</v>
      </c>
      <c r="C803" s="211" t="s">
        <v>19</v>
      </c>
      <c r="D803" s="211" t="s">
        <v>12</v>
      </c>
      <c r="E803" s="208">
        <v>43053</v>
      </c>
      <c r="F803" s="221">
        <v>5367.3235665000002</v>
      </c>
      <c r="G803" s="210" t="s">
        <v>16</v>
      </c>
      <c r="H803" s="211" t="s">
        <v>14</v>
      </c>
      <c r="I803" s="210">
        <v>1</v>
      </c>
      <c r="J803" s="210" t="s">
        <v>15</v>
      </c>
      <c r="K803" s="210" t="s">
        <v>54</v>
      </c>
      <c r="L803" s="211" t="s">
        <v>60</v>
      </c>
      <c r="M803" s="211" t="s">
        <v>56</v>
      </c>
    </row>
    <row r="804" spans="1:13" x14ac:dyDescent="0.2">
      <c r="A804" s="211" t="s">
        <v>55</v>
      </c>
      <c r="B804" s="211" t="s">
        <v>58</v>
      </c>
      <c r="C804" s="211" t="s">
        <v>19</v>
      </c>
      <c r="D804" s="211" t="s">
        <v>12</v>
      </c>
      <c r="E804" s="208">
        <v>43053</v>
      </c>
      <c r="F804" s="209">
        <v>8.75</v>
      </c>
      <c r="G804" s="210" t="s">
        <v>13</v>
      </c>
      <c r="H804" s="211" t="s">
        <v>18</v>
      </c>
      <c r="I804" s="210">
        <v>1</v>
      </c>
      <c r="J804" s="210" t="s">
        <v>15</v>
      </c>
      <c r="K804" s="210" t="s">
        <v>54</v>
      </c>
      <c r="L804" s="211" t="s">
        <v>60</v>
      </c>
      <c r="M804" s="211" t="s">
        <v>17</v>
      </c>
    </row>
    <row r="805" spans="1:13" x14ac:dyDescent="0.2">
      <c r="A805" s="211" t="s">
        <v>55</v>
      </c>
      <c r="B805" s="211" t="s">
        <v>58</v>
      </c>
      <c r="C805" s="211" t="s">
        <v>19</v>
      </c>
      <c r="D805" s="211" t="s">
        <v>12</v>
      </c>
      <c r="E805" s="208">
        <v>43053</v>
      </c>
      <c r="F805" s="221">
        <v>2730.7244999999998</v>
      </c>
      <c r="G805" s="210" t="s">
        <v>16</v>
      </c>
      <c r="H805" s="211" t="s">
        <v>18</v>
      </c>
      <c r="I805" s="210">
        <v>1</v>
      </c>
      <c r="J805" s="210" t="s">
        <v>15</v>
      </c>
      <c r="K805" s="210" t="s">
        <v>54</v>
      </c>
      <c r="L805" s="211" t="s">
        <v>60</v>
      </c>
      <c r="M805" s="211" t="s">
        <v>17</v>
      </c>
    </row>
    <row r="806" spans="1:13" x14ac:dyDescent="0.2">
      <c r="A806" s="211" t="s">
        <v>55</v>
      </c>
      <c r="B806" s="211" t="s">
        <v>58</v>
      </c>
      <c r="C806" s="211" t="s">
        <v>19</v>
      </c>
      <c r="D806" s="211" t="s">
        <v>12</v>
      </c>
      <c r="E806" s="208">
        <v>43052</v>
      </c>
      <c r="F806" s="209">
        <v>18.255157400000002</v>
      </c>
      <c r="G806" s="210" t="s">
        <v>13</v>
      </c>
      <c r="H806" s="211" t="s">
        <v>14</v>
      </c>
      <c r="I806" s="210">
        <v>1</v>
      </c>
      <c r="J806" s="210" t="s">
        <v>15</v>
      </c>
      <c r="K806" s="210" t="s">
        <v>54</v>
      </c>
      <c r="L806" s="211" t="s">
        <v>60</v>
      </c>
      <c r="M806" s="211" t="s">
        <v>56</v>
      </c>
    </row>
    <row r="807" spans="1:13" x14ac:dyDescent="0.2">
      <c r="A807" s="211" t="s">
        <v>55</v>
      </c>
      <c r="B807" s="211" t="s">
        <v>58</v>
      </c>
      <c r="C807" s="211" t="s">
        <v>19</v>
      </c>
      <c r="D807" s="211" t="s">
        <v>12</v>
      </c>
      <c r="E807" s="208">
        <v>43052</v>
      </c>
      <c r="F807" s="221">
        <v>6120.3701208000002</v>
      </c>
      <c r="G807" s="210" t="s">
        <v>16</v>
      </c>
      <c r="H807" s="211" t="s">
        <v>14</v>
      </c>
      <c r="I807" s="210">
        <v>1</v>
      </c>
      <c r="J807" s="210" t="s">
        <v>15</v>
      </c>
      <c r="K807" s="210" t="s">
        <v>54</v>
      </c>
      <c r="L807" s="211" t="s">
        <v>60</v>
      </c>
      <c r="M807" s="211" t="s">
        <v>56</v>
      </c>
    </row>
    <row r="808" spans="1:13" x14ac:dyDescent="0.2">
      <c r="A808" s="211" t="s">
        <v>55</v>
      </c>
      <c r="B808" s="211" t="s">
        <v>58</v>
      </c>
      <c r="C808" s="211" t="s">
        <v>19</v>
      </c>
      <c r="D808" s="211" t="s">
        <v>12</v>
      </c>
      <c r="E808" s="208">
        <v>43052</v>
      </c>
      <c r="F808" s="209">
        <v>8.94</v>
      </c>
      <c r="G808" s="210" t="s">
        <v>13</v>
      </c>
      <c r="H808" s="211" t="s">
        <v>18</v>
      </c>
      <c r="I808" s="210">
        <v>1</v>
      </c>
      <c r="J808" s="210" t="s">
        <v>15</v>
      </c>
      <c r="K808" s="210" t="s">
        <v>54</v>
      </c>
      <c r="L808" s="211" t="s">
        <v>60</v>
      </c>
      <c r="M808" s="211" t="s">
        <v>17</v>
      </c>
    </row>
    <row r="809" spans="1:13" x14ac:dyDescent="0.2">
      <c r="A809" s="211" t="s">
        <v>55</v>
      </c>
      <c r="B809" s="211" t="s">
        <v>58</v>
      </c>
      <c r="C809" s="211" t="s">
        <v>19</v>
      </c>
      <c r="D809" s="211" t="s">
        <v>12</v>
      </c>
      <c r="E809" s="208">
        <v>43052</v>
      </c>
      <c r="F809" s="221">
        <v>2805.6777480000001</v>
      </c>
      <c r="G809" s="210" t="s">
        <v>16</v>
      </c>
      <c r="H809" s="211" t="s">
        <v>18</v>
      </c>
      <c r="I809" s="210">
        <v>1</v>
      </c>
      <c r="J809" s="210" t="s">
        <v>15</v>
      </c>
      <c r="K809" s="210" t="s">
        <v>54</v>
      </c>
      <c r="L809" s="211" t="s">
        <v>60</v>
      </c>
      <c r="M809" s="211" t="s">
        <v>17</v>
      </c>
    </row>
    <row r="810" spans="1:13" x14ac:dyDescent="0.2">
      <c r="A810" s="211" t="s">
        <v>55</v>
      </c>
      <c r="B810" s="211" t="s">
        <v>58</v>
      </c>
      <c r="C810" s="211" t="s">
        <v>19</v>
      </c>
      <c r="D810" s="211" t="s">
        <v>12</v>
      </c>
      <c r="E810" s="208">
        <v>43051</v>
      </c>
      <c r="F810" s="209">
        <v>19.148595799999999</v>
      </c>
      <c r="G810" s="210" t="s">
        <v>13</v>
      </c>
      <c r="H810" s="211" t="s">
        <v>14</v>
      </c>
      <c r="I810" s="210">
        <v>1</v>
      </c>
      <c r="J810" s="210" t="s">
        <v>15</v>
      </c>
      <c r="K810" s="210" t="s">
        <v>54</v>
      </c>
      <c r="L810" s="211" t="s">
        <v>60</v>
      </c>
      <c r="M810" s="211" t="s">
        <v>56</v>
      </c>
    </row>
    <row r="811" spans="1:13" x14ac:dyDescent="0.2">
      <c r="A811" s="211" t="s">
        <v>55</v>
      </c>
      <c r="B811" s="211" t="s">
        <v>58</v>
      </c>
      <c r="C811" s="211" t="s">
        <v>19</v>
      </c>
      <c r="D811" s="211" t="s">
        <v>12</v>
      </c>
      <c r="E811" s="208">
        <v>43051</v>
      </c>
      <c r="F811" s="221">
        <v>6930.9491539999999</v>
      </c>
      <c r="G811" s="210" t="s">
        <v>16</v>
      </c>
      <c r="H811" s="211" t="s">
        <v>14</v>
      </c>
      <c r="I811" s="210">
        <v>1</v>
      </c>
      <c r="J811" s="210" t="s">
        <v>15</v>
      </c>
      <c r="K811" s="210" t="s">
        <v>54</v>
      </c>
      <c r="L811" s="211" t="s">
        <v>60</v>
      </c>
      <c r="M811" s="211" t="s">
        <v>56</v>
      </c>
    </row>
    <row r="812" spans="1:13" x14ac:dyDescent="0.2">
      <c r="A812" s="211" t="s">
        <v>55</v>
      </c>
      <c r="B812" s="211" t="s">
        <v>58</v>
      </c>
      <c r="C812" s="211" t="s">
        <v>19</v>
      </c>
      <c r="D812" s="211" t="s">
        <v>12</v>
      </c>
      <c r="E812" s="208">
        <v>43051</v>
      </c>
      <c r="F812" s="209">
        <v>9.25</v>
      </c>
      <c r="G812" s="210" t="s">
        <v>13</v>
      </c>
      <c r="H812" s="211" t="s">
        <v>18</v>
      </c>
      <c r="I812" s="210">
        <v>1</v>
      </c>
      <c r="J812" s="210" t="s">
        <v>15</v>
      </c>
      <c r="K812" s="210" t="s">
        <v>54</v>
      </c>
      <c r="L812" s="211" t="s">
        <v>60</v>
      </c>
      <c r="M812" s="211" t="s">
        <v>17</v>
      </c>
    </row>
    <row r="813" spans="1:13" x14ac:dyDescent="0.2">
      <c r="A813" s="211" t="s">
        <v>55</v>
      </c>
      <c r="B813" s="211" t="s">
        <v>58</v>
      </c>
      <c r="C813" s="211" t="s">
        <v>19</v>
      </c>
      <c r="D813" s="211" t="s">
        <v>12</v>
      </c>
      <c r="E813" s="208">
        <v>43051</v>
      </c>
      <c r="F813" s="221">
        <v>3157.5448500000002</v>
      </c>
      <c r="G813" s="210" t="s">
        <v>16</v>
      </c>
      <c r="H813" s="211" t="s">
        <v>18</v>
      </c>
      <c r="I813" s="210">
        <v>1</v>
      </c>
      <c r="J813" s="210" t="s">
        <v>15</v>
      </c>
      <c r="K813" s="210" t="s">
        <v>54</v>
      </c>
      <c r="L813" s="211" t="s">
        <v>60</v>
      </c>
      <c r="M813" s="211" t="s">
        <v>17</v>
      </c>
    </row>
    <row r="814" spans="1:13" x14ac:dyDescent="0.2">
      <c r="A814" s="211" t="s">
        <v>55</v>
      </c>
      <c r="B814" s="211" t="s">
        <v>58</v>
      </c>
      <c r="C814" s="211" t="s">
        <v>19</v>
      </c>
      <c r="D814" s="211" t="s">
        <v>12</v>
      </c>
      <c r="E814" s="208">
        <v>43050</v>
      </c>
      <c r="F814" s="209">
        <v>16.702509800000001</v>
      </c>
      <c r="G814" s="210" t="s">
        <v>13</v>
      </c>
      <c r="H814" s="211" t="s">
        <v>14</v>
      </c>
      <c r="I814" s="210">
        <v>1</v>
      </c>
      <c r="J814" s="210" t="s">
        <v>15</v>
      </c>
      <c r="K814" s="210" t="s">
        <v>54</v>
      </c>
      <c r="L814" s="211" t="s">
        <v>60</v>
      </c>
      <c r="M814" s="211" t="s">
        <v>56</v>
      </c>
    </row>
    <row r="815" spans="1:13" x14ac:dyDescent="0.2">
      <c r="A815" s="211" t="s">
        <v>55</v>
      </c>
      <c r="B815" s="211" t="s">
        <v>58</v>
      </c>
      <c r="C815" s="211" t="s">
        <v>19</v>
      </c>
      <c r="D815" s="211" t="s">
        <v>12</v>
      </c>
      <c r="E815" s="208">
        <v>43050</v>
      </c>
      <c r="F815" s="221">
        <v>5251.5697571999999</v>
      </c>
      <c r="G815" s="210" t="s">
        <v>16</v>
      </c>
      <c r="H815" s="211" t="s">
        <v>14</v>
      </c>
      <c r="I815" s="210">
        <v>1</v>
      </c>
      <c r="J815" s="210" t="s">
        <v>15</v>
      </c>
      <c r="K815" s="210" t="s">
        <v>54</v>
      </c>
      <c r="L815" s="211" t="s">
        <v>60</v>
      </c>
      <c r="M815" s="211" t="s">
        <v>56</v>
      </c>
    </row>
    <row r="816" spans="1:13" x14ac:dyDescent="0.2">
      <c r="A816" s="211" t="s">
        <v>55</v>
      </c>
      <c r="B816" s="211" t="s">
        <v>58</v>
      </c>
      <c r="C816" s="211" t="s">
        <v>19</v>
      </c>
      <c r="D816" s="211" t="s">
        <v>12</v>
      </c>
      <c r="E816" s="208">
        <v>43050</v>
      </c>
      <c r="F816" s="209">
        <v>11.2</v>
      </c>
      <c r="G816" s="210" t="s">
        <v>13</v>
      </c>
      <c r="H816" s="211" t="s">
        <v>18</v>
      </c>
      <c r="I816" s="210">
        <v>1</v>
      </c>
      <c r="J816" s="210" t="s">
        <v>15</v>
      </c>
      <c r="K816" s="210" t="s">
        <v>54</v>
      </c>
      <c r="L816" s="211" t="s">
        <v>60</v>
      </c>
      <c r="M816" s="211" t="s">
        <v>17</v>
      </c>
    </row>
    <row r="817" spans="1:13" x14ac:dyDescent="0.2">
      <c r="A817" s="211" t="s">
        <v>55</v>
      </c>
      <c r="B817" s="211" t="s">
        <v>58</v>
      </c>
      <c r="C817" s="211" t="s">
        <v>19</v>
      </c>
      <c r="D817" s="211" t="s">
        <v>12</v>
      </c>
      <c r="E817" s="208">
        <v>43050</v>
      </c>
      <c r="F817" s="221">
        <v>3447.6892800000001</v>
      </c>
      <c r="G817" s="210" t="s">
        <v>16</v>
      </c>
      <c r="H817" s="211" t="s">
        <v>18</v>
      </c>
      <c r="I817" s="210">
        <v>1</v>
      </c>
      <c r="J817" s="210" t="s">
        <v>15</v>
      </c>
      <c r="K817" s="210" t="s">
        <v>54</v>
      </c>
      <c r="L817" s="211" t="s">
        <v>60</v>
      </c>
      <c r="M817" s="211" t="s">
        <v>17</v>
      </c>
    </row>
    <row r="818" spans="1:13" x14ac:dyDescent="0.2">
      <c r="A818" s="211" t="s">
        <v>55</v>
      </c>
      <c r="B818" s="211" t="s">
        <v>58</v>
      </c>
      <c r="C818" s="211" t="s">
        <v>19</v>
      </c>
      <c r="D818" s="211" t="s">
        <v>12</v>
      </c>
      <c r="E818" s="208">
        <v>43049</v>
      </c>
      <c r="F818" s="209">
        <v>17.3620433</v>
      </c>
      <c r="G818" s="210" t="s">
        <v>13</v>
      </c>
      <c r="H818" s="211" t="s">
        <v>14</v>
      </c>
      <c r="I818" s="210">
        <v>1</v>
      </c>
      <c r="J818" s="210" t="s">
        <v>15</v>
      </c>
      <c r="K818" s="210" t="s">
        <v>54</v>
      </c>
      <c r="L818" s="211" t="s">
        <v>60</v>
      </c>
      <c r="M818" s="211" t="s">
        <v>56</v>
      </c>
    </row>
    <row r="819" spans="1:13" x14ac:dyDescent="0.2">
      <c r="A819" s="211" t="s">
        <v>55</v>
      </c>
      <c r="B819" s="211" t="s">
        <v>58</v>
      </c>
      <c r="C819" s="211" t="s">
        <v>19</v>
      </c>
      <c r="D819" s="211" t="s">
        <v>12</v>
      </c>
      <c r="E819" s="208">
        <v>43049</v>
      </c>
      <c r="F819" s="221">
        <v>5183.8199972000002</v>
      </c>
      <c r="G819" s="210" t="s">
        <v>16</v>
      </c>
      <c r="H819" s="211" t="s">
        <v>14</v>
      </c>
      <c r="I819" s="210">
        <v>1</v>
      </c>
      <c r="J819" s="210" t="s">
        <v>15</v>
      </c>
      <c r="K819" s="210" t="s">
        <v>54</v>
      </c>
      <c r="L819" s="211" t="s">
        <v>60</v>
      </c>
      <c r="M819" s="211" t="s">
        <v>56</v>
      </c>
    </row>
    <row r="820" spans="1:13" x14ac:dyDescent="0.2">
      <c r="A820" s="211" t="s">
        <v>55</v>
      </c>
      <c r="B820" s="211" t="s">
        <v>58</v>
      </c>
      <c r="C820" s="211" t="s">
        <v>19</v>
      </c>
      <c r="D820" s="211" t="s">
        <v>12</v>
      </c>
      <c r="E820" s="208">
        <v>43049</v>
      </c>
      <c r="F820" s="209">
        <v>11</v>
      </c>
      <c r="G820" s="210" t="s">
        <v>13</v>
      </c>
      <c r="H820" s="211" t="s">
        <v>18</v>
      </c>
      <c r="I820" s="210">
        <v>1</v>
      </c>
      <c r="J820" s="210" t="s">
        <v>15</v>
      </c>
      <c r="K820" s="210" t="s">
        <v>54</v>
      </c>
      <c r="L820" s="211" t="s">
        <v>60</v>
      </c>
      <c r="M820" s="211" t="s">
        <v>17</v>
      </c>
    </row>
    <row r="821" spans="1:13" x14ac:dyDescent="0.2">
      <c r="A821" s="211" t="s">
        <v>55</v>
      </c>
      <c r="B821" s="211" t="s">
        <v>58</v>
      </c>
      <c r="C821" s="211" t="s">
        <v>19</v>
      </c>
      <c r="D821" s="211" t="s">
        <v>12</v>
      </c>
      <c r="E821" s="208">
        <v>43049</v>
      </c>
      <c r="F821" s="221">
        <v>3137.5079999999998</v>
      </c>
      <c r="G821" s="210" t="s">
        <v>16</v>
      </c>
      <c r="H821" s="211" t="s">
        <v>18</v>
      </c>
      <c r="I821" s="210">
        <v>1</v>
      </c>
      <c r="J821" s="210" t="s">
        <v>15</v>
      </c>
      <c r="K821" s="210" t="s">
        <v>54</v>
      </c>
      <c r="L821" s="211" t="s">
        <v>60</v>
      </c>
      <c r="M821" s="211" t="s">
        <v>17</v>
      </c>
    </row>
    <row r="822" spans="1:13" x14ac:dyDescent="0.2">
      <c r="A822" s="211" t="s">
        <v>55</v>
      </c>
      <c r="B822" s="211" t="s">
        <v>58</v>
      </c>
      <c r="C822" s="211" t="s">
        <v>19</v>
      </c>
      <c r="D822" s="211" t="s">
        <v>12</v>
      </c>
      <c r="E822" s="208">
        <v>43048</v>
      </c>
      <c r="F822" s="209">
        <v>20.121489100000002</v>
      </c>
      <c r="G822" s="210" t="s">
        <v>13</v>
      </c>
      <c r="H822" s="211" t="s">
        <v>14</v>
      </c>
      <c r="I822" s="210">
        <v>1</v>
      </c>
      <c r="J822" s="210" t="s">
        <v>15</v>
      </c>
      <c r="K822" s="210" t="s">
        <v>54</v>
      </c>
      <c r="L822" s="211" t="s">
        <v>60</v>
      </c>
      <c r="M822" s="211" t="s">
        <v>56</v>
      </c>
    </row>
    <row r="823" spans="1:13" x14ac:dyDescent="0.2">
      <c r="A823" s="211" t="s">
        <v>55</v>
      </c>
      <c r="B823" s="211" t="s">
        <v>58</v>
      </c>
      <c r="C823" s="211" t="s">
        <v>19</v>
      </c>
      <c r="D823" s="211" t="s">
        <v>12</v>
      </c>
      <c r="E823" s="208">
        <v>43048</v>
      </c>
      <c r="F823" s="221">
        <v>5839.9000523000004</v>
      </c>
      <c r="G823" s="210" t="s">
        <v>16</v>
      </c>
      <c r="H823" s="211" t="s">
        <v>14</v>
      </c>
      <c r="I823" s="210">
        <v>1</v>
      </c>
      <c r="J823" s="210" t="s">
        <v>15</v>
      </c>
      <c r="K823" s="210" t="s">
        <v>54</v>
      </c>
      <c r="L823" s="211" t="s">
        <v>60</v>
      </c>
      <c r="M823" s="211" t="s">
        <v>56</v>
      </c>
    </row>
    <row r="824" spans="1:13" x14ac:dyDescent="0.2">
      <c r="A824" s="211" t="s">
        <v>55</v>
      </c>
      <c r="B824" s="211" t="s">
        <v>58</v>
      </c>
      <c r="C824" s="211" t="s">
        <v>19</v>
      </c>
      <c r="D824" s="211" t="s">
        <v>12</v>
      </c>
      <c r="E824" s="208">
        <v>43048</v>
      </c>
      <c r="F824" s="209">
        <v>8.35</v>
      </c>
      <c r="G824" s="210" t="s">
        <v>13</v>
      </c>
      <c r="H824" s="211" t="s">
        <v>18</v>
      </c>
      <c r="I824" s="210">
        <v>1</v>
      </c>
      <c r="J824" s="210" t="s">
        <v>15</v>
      </c>
      <c r="K824" s="210" t="s">
        <v>54</v>
      </c>
      <c r="L824" s="211" t="s">
        <v>60</v>
      </c>
      <c r="M824" s="211" t="s">
        <v>17</v>
      </c>
    </row>
    <row r="825" spans="1:13" x14ac:dyDescent="0.2">
      <c r="A825" s="211" t="s">
        <v>55</v>
      </c>
      <c r="B825" s="211" t="s">
        <v>58</v>
      </c>
      <c r="C825" s="211" t="s">
        <v>19</v>
      </c>
      <c r="D825" s="211" t="s">
        <v>12</v>
      </c>
      <c r="E825" s="208">
        <v>43048</v>
      </c>
      <c r="F825" s="221">
        <v>2321.0678699999999</v>
      </c>
      <c r="G825" s="210" t="s">
        <v>16</v>
      </c>
      <c r="H825" s="211" t="s">
        <v>18</v>
      </c>
      <c r="I825" s="210">
        <v>1</v>
      </c>
      <c r="J825" s="210" t="s">
        <v>15</v>
      </c>
      <c r="K825" s="210" t="s">
        <v>54</v>
      </c>
      <c r="L825" s="211" t="s">
        <v>60</v>
      </c>
      <c r="M825" s="211" t="s">
        <v>17</v>
      </c>
    </row>
    <row r="826" spans="1:13" x14ac:dyDescent="0.2">
      <c r="A826" s="211" t="s">
        <v>55</v>
      </c>
      <c r="B826" s="211" t="s">
        <v>58</v>
      </c>
      <c r="C826" s="211" t="s">
        <v>19</v>
      </c>
      <c r="D826" s="211" t="s">
        <v>12</v>
      </c>
      <c r="E826" s="208">
        <v>43047</v>
      </c>
      <c r="F826" s="209">
        <v>16.0397344</v>
      </c>
      <c r="G826" s="210" t="s">
        <v>13</v>
      </c>
      <c r="H826" s="211" t="s">
        <v>14</v>
      </c>
      <c r="I826" s="210">
        <v>1</v>
      </c>
      <c r="J826" s="210" t="s">
        <v>15</v>
      </c>
      <c r="K826" s="210" t="s">
        <v>54</v>
      </c>
      <c r="L826" s="211" t="s">
        <v>60</v>
      </c>
      <c r="M826" s="211" t="s">
        <v>56</v>
      </c>
    </row>
    <row r="827" spans="1:13" x14ac:dyDescent="0.2">
      <c r="A827" s="211" t="s">
        <v>55</v>
      </c>
      <c r="B827" s="211" t="s">
        <v>58</v>
      </c>
      <c r="C827" s="211" t="s">
        <v>19</v>
      </c>
      <c r="D827" s="211" t="s">
        <v>12</v>
      </c>
      <c r="E827" s="208">
        <v>43047</v>
      </c>
      <c r="F827" s="221">
        <v>5257.2154492</v>
      </c>
      <c r="G827" s="210" t="s">
        <v>16</v>
      </c>
      <c r="H827" s="211" t="s">
        <v>14</v>
      </c>
      <c r="I827" s="210">
        <v>1</v>
      </c>
      <c r="J827" s="210" t="s">
        <v>15</v>
      </c>
      <c r="K827" s="210" t="s">
        <v>54</v>
      </c>
      <c r="L827" s="211" t="s">
        <v>60</v>
      </c>
      <c r="M827" s="211" t="s">
        <v>56</v>
      </c>
    </row>
    <row r="828" spans="1:13" x14ac:dyDescent="0.2">
      <c r="A828" s="211" t="s">
        <v>55</v>
      </c>
      <c r="B828" s="211" t="s">
        <v>58</v>
      </c>
      <c r="C828" s="211" t="s">
        <v>19</v>
      </c>
      <c r="D828" s="211" t="s">
        <v>12</v>
      </c>
      <c r="E828" s="208">
        <v>43047</v>
      </c>
      <c r="F828" s="209">
        <v>9.5</v>
      </c>
      <c r="G828" s="210" t="s">
        <v>13</v>
      </c>
      <c r="H828" s="211" t="s">
        <v>18</v>
      </c>
      <c r="I828" s="210">
        <v>1</v>
      </c>
      <c r="J828" s="210" t="s">
        <v>15</v>
      </c>
      <c r="K828" s="210" t="s">
        <v>54</v>
      </c>
      <c r="L828" s="211" t="s">
        <v>60</v>
      </c>
      <c r="M828" s="211" t="s">
        <v>17</v>
      </c>
    </row>
    <row r="829" spans="1:13" x14ac:dyDescent="0.2">
      <c r="A829" s="211" t="s">
        <v>55</v>
      </c>
      <c r="B829" s="211" t="s">
        <v>58</v>
      </c>
      <c r="C829" s="211" t="s">
        <v>19</v>
      </c>
      <c r="D829" s="211" t="s">
        <v>12</v>
      </c>
      <c r="E829" s="208">
        <v>43047</v>
      </c>
      <c r="F829" s="221">
        <v>3036.0936000000002</v>
      </c>
      <c r="G829" s="210" t="s">
        <v>16</v>
      </c>
      <c r="H829" s="211" t="s">
        <v>18</v>
      </c>
      <c r="I829" s="210">
        <v>1</v>
      </c>
      <c r="J829" s="210" t="s">
        <v>15</v>
      </c>
      <c r="K829" s="210" t="s">
        <v>54</v>
      </c>
      <c r="L829" s="211" t="s">
        <v>60</v>
      </c>
      <c r="M829" s="211" t="s">
        <v>17</v>
      </c>
    </row>
    <row r="830" spans="1:13" x14ac:dyDescent="0.2">
      <c r="A830" s="211" t="s">
        <v>55</v>
      </c>
      <c r="B830" s="211" t="s">
        <v>58</v>
      </c>
      <c r="C830" s="211" t="s">
        <v>19</v>
      </c>
      <c r="D830" s="211" t="s">
        <v>12</v>
      </c>
      <c r="E830" s="208">
        <v>43046</v>
      </c>
      <c r="F830" s="209">
        <v>10.7413691</v>
      </c>
      <c r="G830" s="210" t="s">
        <v>13</v>
      </c>
      <c r="H830" s="211" t="s">
        <v>14</v>
      </c>
      <c r="I830" s="210">
        <v>1</v>
      </c>
      <c r="J830" s="210" t="s">
        <v>15</v>
      </c>
      <c r="K830" s="210" t="s">
        <v>54</v>
      </c>
      <c r="L830" s="211" t="s">
        <v>60</v>
      </c>
      <c r="M830" s="211" t="s">
        <v>56</v>
      </c>
    </row>
    <row r="831" spans="1:13" x14ac:dyDescent="0.2">
      <c r="A831" s="211" t="s">
        <v>55</v>
      </c>
      <c r="B831" s="211" t="s">
        <v>58</v>
      </c>
      <c r="C831" s="211" t="s">
        <v>19</v>
      </c>
      <c r="D831" s="211" t="s">
        <v>12</v>
      </c>
      <c r="E831" s="208">
        <v>43046</v>
      </c>
      <c r="F831" s="221">
        <v>3493.7377250999998</v>
      </c>
      <c r="G831" s="210" t="s">
        <v>16</v>
      </c>
      <c r="H831" s="211" t="s">
        <v>14</v>
      </c>
      <c r="I831" s="210">
        <v>1</v>
      </c>
      <c r="J831" s="210" t="s">
        <v>15</v>
      </c>
      <c r="K831" s="210" t="s">
        <v>54</v>
      </c>
      <c r="L831" s="211" t="s">
        <v>60</v>
      </c>
      <c r="M831" s="211" t="s">
        <v>56</v>
      </c>
    </row>
    <row r="832" spans="1:13" x14ac:dyDescent="0.2">
      <c r="A832" s="211" t="s">
        <v>55</v>
      </c>
      <c r="B832" s="211" t="s">
        <v>58</v>
      </c>
      <c r="C832" s="211" t="s">
        <v>19</v>
      </c>
      <c r="D832" s="211" t="s">
        <v>12</v>
      </c>
      <c r="E832" s="208">
        <v>43046</v>
      </c>
      <c r="F832" s="209">
        <v>8.3800000000000008</v>
      </c>
      <c r="G832" s="210" t="s">
        <v>13</v>
      </c>
      <c r="H832" s="211" t="s">
        <v>18</v>
      </c>
      <c r="I832" s="210">
        <v>1</v>
      </c>
      <c r="J832" s="210" t="s">
        <v>15</v>
      </c>
      <c r="K832" s="210" t="s">
        <v>54</v>
      </c>
      <c r="L832" s="211" t="s">
        <v>60</v>
      </c>
      <c r="M832" s="211" t="s">
        <v>17</v>
      </c>
    </row>
    <row r="833" spans="1:13" x14ac:dyDescent="0.2">
      <c r="A833" s="211" t="s">
        <v>55</v>
      </c>
      <c r="B833" s="211" t="s">
        <v>58</v>
      </c>
      <c r="C833" s="211" t="s">
        <v>19</v>
      </c>
      <c r="D833" s="211" t="s">
        <v>12</v>
      </c>
      <c r="E833" s="208">
        <v>43046</v>
      </c>
      <c r="F833" s="221">
        <v>2587.2981840000002</v>
      </c>
      <c r="G833" s="210" t="s">
        <v>16</v>
      </c>
      <c r="H833" s="211" t="s">
        <v>18</v>
      </c>
      <c r="I833" s="210">
        <v>1</v>
      </c>
      <c r="J833" s="210" t="s">
        <v>15</v>
      </c>
      <c r="K833" s="210" t="s">
        <v>54</v>
      </c>
      <c r="L833" s="211" t="s">
        <v>60</v>
      </c>
      <c r="M833" s="211" t="s">
        <v>17</v>
      </c>
    </row>
    <row r="834" spans="1:13" x14ac:dyDescent="0.2">
      <c r="A834" s="211" t="s">
        <v>55</v>
      </c>
      <c r="B834" s="211" t="s">
        <v>58</v>
      </c>
      <c r="C834" s="211" t="s">
        <v>19</v>
      </c>
      <c r="D834" s="211" t="s">
        <v>12</v>
      </c>
      <c r="E834" s="208">
        <v>43045</v>
      </c>
      <c r="F834" s="209">
        <v>10.0579091</v>
      </c>
      <c r="G834" s="210" t="s">
        <v>13</v>
      </c>
      <c r="H834" s="211" t="s">
        <v>14</v>
      </c>
      <c r="I834" s="210">
        <v>1</v>
      </c>
      <c r="J834" s="210" t="s">
        <v>15</v>
      </c>
      <c r="K834" s="210" t="s">
        <v>54</v>
      </c>
      <c r="L834" s="211" t="s">
        <v>60</v>
      </c>
      <c r="M834" s="211" t="s">
        <v>56</v>
      </c>
    </row>
    <row r="835" spans="1:13" x14ac:dyDescent="0.2">
      <c r="A835" s="211" t="s">
        <v>55</v>
      </c>
      <c r="B835" s="211" t="s">
        <v>58</v>
      </c>
      <c r="C835" s="211" t="s">
        <v>19</v>
      </c>
      <c r="D835" s="211" t="s">
        <v>12</v>
      </c>
      <c r="E835" s="208">
        <v>43045</v>
      </c>
      <c r="F835" s="221">
        <v>3204.3291469000001</v>
      </c>
      <c r="G835" s="210" t="s">
        <v>16</v>
      </c>
      <c r="H835" s="211" t="s">
        <v>14</v>
      </c>
      <c r="I835" s="210">
        <v>1</v>
      </c>
      <c r="J835" s="210" t="s">
        <v>15</v>
      </c>
      <c r="K835" s="210" t="s">
        <v>54</v>
      </c>
      <c r="L835" s="211" t="s">
        <v>60</v>
      </c>
      <c r="M835" s="211" t="s">
        <v>56</v>
      </c>
    </row>
    <row r="836" spans="1:13" x14ac:dyDescent="0.2">
      <c r="A836" s="211" t="s">
        <v>55</v>
      </c>
      <c r="B836" s="211" t="s">
        <v>58</v>
      </c>
      <c r="C836" s="211" t="s">
        <v>19</v>
      </c>
      <c r="D836" s="211" t="s">
        <v>12</v>
      </c>
      <c r="E836" s="208">
        <v>43045</v>
      </c>
      <c r="F836" s="209">
        <v>9.3699999999999992</v>
      </c>
      <c r="G836" s="210" t="s">
        <v>13</v>
      </c>
      <c r="H836" s="211" t="s">
        <v>18</v>
      </c>
      <c r="I836" s="210">
        <v>1</v>
      </c>
      <c r="J836" s="210" t="s">
        <v>15</v>
      </c>
      <c r="K836" s="210" t="s">
        <v>54</v>
      </c>
      <c r="L836" s="211" t="s">
        <v>60</v>
      </c>
      <c r="M836" s="211" t="s">
        <v>17</v>
      </c>
    </row>
    <row r="837" spans="1:13" x14ac:dyDescent="0.2">
      <c r="A837" s="211" t="s">
        <v>55</v>
      </c>
      <c r="B837" s="211" t="s">
        <v>58</v>
      </c>
      <c r="C837" s="211" t="s">
        <v>19</v>
      </c>
      <c r="D837" s="211" t="s">
        <v>12</v>
      </c>
      <c r="E837" s="208">
        <v>43045</v>
      </c>
      <c r="F837" s="221">
        <v>3044.5603679999999</v>
      </c>
      <c r="G837" s="210" t="s">
        <v>16</v>
      </c>
      <c r="H837" s="211" t="s">
        <v>18</v>
      </c>
      <c r="I837" s="210">
        <v>1</v>
      </c>
      <c r="J837" s="210" t="s">
        <v>15</v>
      </c>
      <c r="K837" s="210" t="s">
        <v>54</v>
      </c>
      <c r="L837" s="211" t="s">
        <v>60</v>
      </c>
      <c r="M837" s="211" t="s">
        <v>17</v>
      </c>
    </row>
    <row r="838" spans="1:13" x14ac:dyDescent="0.2">
      <c r="A838" s="211" t="s">
        <v>55</v>
      </c>
      <c r="B838" s="211" t="s">
        <v>58</v>
      </c>
      <c r="C838" s="211" t="s">
        <v>19</v>
      </c>
      <c r="D838" s="211" t="s">
        <v>12</v>
      </c>
      <c r="E838" s="208">
        <v>43044</v>
      </c>
      <c r="F838" s="209">
        <v>14.4786974</v>
      </c>
      <c r="G838" s="210" t="s">
        <v>13</v>
      </c>
      <c r="H838" s="211" t="s">
        <v>14</v>
      </c>
      <c r="I838" s="210">
        <v>1</v>
      </c>
      <c r="J838" s="210" t="s">
        <v>15</v>
      </c>
      <c r="K838" s="210" t="s">
        <v>54</v>
      </c>
      <c r="L838" s="211" t="s">
        <v>60</v>
      </c>
      <c r="M838" s="211" t="s">
        <v>56</v>
      </c>
    </row>
    <row r="839" spans="1:13" x14ac:dyDescent="0.2">
      <c r="A839" s="211" t="s">
        <v>55</v>
      </c>
      <c r="B839" s="211" t="s">
        <v>58</v>
      </c>
      <c r="C839" s="211" t="s">
        <v>19</v>
      </c>
      <c r="D839" s="211" t="s">
        <v>12</v>
      </c>
      <c r="E839" s="208">
        <v>43044</v>
      </c>
      <c r="F839" s="221">
        <v>4902.5448810999997</v>
      </c>
      <c r="G839" s="210" t="s">
        <v>16</v>
      </c>
      <c r="H839" s="211" t="s">
        <v>14</v>
      </c>
      <c r="I839" s="210">
        <v>1</v>
      </c>
      <c r="J839" s="210" t="s">
        <v>15</v>
      </c>
      <c r="K839" s="210" t="s">
        <v>54</v>
      </c>
      <c r="L839" s="211" t="s">
        <v>60</v>
      </c>
      <c r="M839" s="211" t="s">
        <v>56</v>
      </c>
    </row>
    <row r="840" spans="1:13" x14ac:dyDescent="0.2">
      <c r="A840" s="211" t="s">
        <v>55</v>
      </c>
      <c r="B840" s="211" t="s">
        <v>58</v>
      </c>
      <c r="C840" s="211" t="s">
        <v>19</v>
      </c>
      <c r="D840" s="211" t="s">
        <v>12</v>
      </c>
      <c r="E840" s="208">
        <v>43044</v>
      </c>
      <c r="F840" s="209">
        <v>11.8</v>
      </c>
      <c r="G840" s="210" t="s">
        <v>13</v>
      </c>
      <c r="H840" s="211" t="s">
        <v>18</v>
      </c>
      <c r="I840" s="210">
        <v>1</v>
      </c>
      <c r="J840" s="210" t="s">
        <v>15</v>
      </c>
      <c r="K840" s="210" t="s">
        <v>54</v>
      </c>
      <c r="L840" s="211" t="s">
        <v>60</v>
      </c>
      <c r="M840" s="211" t="s">
        <v>17</v>
      </c>
    </row>
    <row r="841" spans="1:13" x14ac:dyDescent="0.2">
      <c r="A841" s="211" t="s">
        <v>55</v>
      </c>
      <c r="B841" s="211" t="s">
        <v>58</v>
      </c>
      <c r="C841" s="211" t="s">
        <v>19</v>
      </c>
      <c r="D841" s="211" t="s">
        <v>12</v>
      </c>
      <c r="E841" s="208">
        <v>43044</v>
      </c>
      <c r="F841" s="221">
        <v>3906.9564</v>
      </c>
      <c r="G841" s="210" t="s">
        <v>16</v>
      </c>
      <c r="H841" s="211" t="s">
        <v>18</v>
      </c>
      <c r="I841" s="210">
        <v>1</v>
      </c>
      <c r="J841" s="210" t="s">
        <v>15</v>
      </c>
      <c r="K841" s="210" t="s">
        <v>54</v>
      </c>
      <c r="L841" s="211" t="s">
        <v>60</v>
      </c>
      <c r="M841" s="211" t="s">
        <v>17</v>
      </c>
    </row>
    <row r="842" spans="1:13" x14ac:dyDescent="0.2">
      <c r="A842" s="211" t="s">
        <v>55</v>
      </c>
      <c r="B842" s="211" t="s">
        <v>58</v>
      </c>
      <c r="C842" s="211" t="s">
        <v>19</v>
      </c>
      <c r="D842" s="211" t="s">
        <v>12</v>
      </c>
      <c r="E842" s="208">
        <v>43043</v>
      </c>
      <c r="F842" s="209">
        <v>18.395223000000001</v>
      </c>
      <c r="G842" s="210" t="s">
        <v>13</v>
      </c>
      <c r="H842" s="211" t="s">
        <v>14</v>
      </c>
      <c r="I842" s="210">
        <v>1</v>
      </c>
      <c r="J842" s="210" t="s">
        <v>15</v>
      </c>
      <c r="K842" s="210" t="s">
        <v>54</v>
      </c>
      <c r="L842" s="211" t="s">
        <v>60</v>
      </c>
      <c r="M842" s="211" t="s">
        <v>56</v>
      </c>
    </row>
    <row r="843" spans="1:13" x14ac:dyDescent="0.2">
      <c r="A843" s="211" t="s">
        <v>55</v>
      </c>
      <c r="B843" s="211" t="s">
        <v>58</v>
      </c>
      <c r="C843" s="211" t="s">
        <v>19</v>
      </c>
      <c r="D843" s="211" t="s">
        <v>12</v>
      </c>
      <c r="E843" s="208">
        <v>43043</v>
      </c>
      <c r="F843" s="221">
        <v>6105.9631723000002</v>
      </c>
      <c r="G843" s="210" t="s">
        <v>16</v>
      </c>
      <c r="H843" s="211" t="s">
        <v>14</v>
      </c>
      <c r="I843" s="210">
        <v>1</v>
      </c>
      <c r="J843" s="210" t="s">
        <v>15</v>
      </c>
      <c r="K843" s="210" t="s">
        <v>54</v>
      </c>
      <c r="L843" s="211" t="s">
        <v>60</v>
      </c>
      <c r="M843" s="211" t="s">
        <v>56</v>
      </c>
    </row>
    <row r="844" spans="1:13" x14ac:dyDescent="0.2">
      <c r="A844" s="211" t="s">
        <v>55</v>
      </c>
      <c r="B844" s="211" t="s">
        <v>58</v>
      </c>
      <c r="C844" s="211" t="s">
        <v>19</v>
      </c>
      <c r="D844" s="211" t="s">
        <v>12</v>
      </c>
      <c r="E844" s="208">
        <v>43043</v>
      </c>
      <c r="F844" s="209">
        <v>9.98</v>
      </c>
      <c r="G844" s="210" t="s">
        <v>13</v>
      </c>
      <c r="H844" s="211" t="s">
        <v>18</v>
      </c>
      <c r="I844" s="210">
        <v>1</v>
      </c>
      <c r="J844" s="210" t="s">
        <v>15</v>
      </c>
      <c r="K844" s="210" t="s">
        <v>54</v>
      </c>
      <c r="L844" s="211" t="s">
        <v>60</v>
      </c>
      <c r="M844" s="211" t="s">
        <v>17</v>
      </c>
    </row>
    <row r="845" spans="1:13" x14ac:dyDescent="0.2">
      <c r="A845" s="211" t="s">
        <v>55</v>
      </c>
      <c r="B845" s="211" t="s">
        <v>58</v>
      </c>
      <c r="C845" s="211" t="s">
        <v>19</v>
      </c>
      <c r="D845" s="211" t="s">
        <v>12</v>
      </c>
      <c r="E845" s="208">
        <v>43043</v>
      </c>
      <c r="F845" s="221">
        <v>3237.7714799999999</v>
      </c>
      <c r="G845" s="210" t="s">
        <v>16</v>
      </c>
      <c r="H845" s="211" t="s">
        <v>18</v>
      </c>
      <c r="I845" s="210">
        <v>1</v>
      </c>
      <c r="J845" s="210" t="s">
        <v>15</v>
      </c>
      <c r="K845" s="210" t="s">
        <v>54</v>
      </c>
      <c r="L845" s="211" t="s">
        <v>60</v>
      </c>
      <c r="M845" s="211" t="s">
        <v>17</v>
      </c>
    </row>
    <row r="846" spans="1:13" x14ac:dyDescent="0.2">
      <c r="A846" s="211" t="s">
        <v>55</v>
      </c>
      <c r="B846" s="211" t="s">
        <v>58</v>
      </c>
      <c r="C846" s="211" t="s">
        <v>19</v>
      </c>
      <c r="D846" s="211" t="s">
        <v>12</v>
      </c>
      <c r="E846" s="208">
        <v>43042</v>
      </c>
      <c r="F846" s="209">
        <v>13.261266900000001</v>
      </c>
      <c r="G846" s="210" t="s">
        <v>13</v>
      </c>
      <c r="H846" s="211" t="s">
        <v>14</v>
      </c>
      <c r="I846" s="210">
        <v>1</v>
      </c>
      <c r="J846" s="210" t="s">
        <v>15</v>
      </c>
      <c r="K846" s="210" t="s">
        <v>54</v>
      </c>
      <c r="L846" s="211" t="s">
        <v>60</v>
      </c>
      <c r="M846" s="211" t="s">
        <v>56</v>
      </c>
    </row>
    <row r="847" spans="1:13" x14ac:dyDescent="0.2">
      <c r="A847" s="211" t="s">
        <v>55</v>
      </c>
      <c r="B847" s="211" t="s">
        <v>58</v>
      </c>
      <c r="C847" s="211" t="s">
        <v>19</v>
      </c>
      <c r="D847" s="211" t="s">
        <v>12</v>
      </c>
      <c r="E847" s="208">
        <v>43042</v>
      </c>
      <c r="F847" s="221">
        <v>4468.1982490999999</v>
      </c>
      <c r="G847" s="210" t="s">
        <v>16</v>
      </c>
      <c r="H847" s="211" t="s">
        <v>14</v>
      </c>
      <c r="I847" s="210">
        <v>1</v>
      </c>
      <c r="J847" s="210" t="s">
        <v>15</v>
      </c>
      <c r="K847" s="210" t="s">
        <v>54</v>
      </c>
      <c r="L847" s="211" t="s">
        <v>60</v>
      </c>
      <c r="M847" s="211" t="s">
        <v>56</v>
      </c>
    </row>
    <row r="848" spans="1:13" x14ac:dyDescent="0.2">
      <c r="A848" s="211" t="s">
        <v>55</v>
      </c>
      <c r="B848" s="211" t="s">
        <v>58</v>
      </c>
      <c r="C848" s="211" t="s">
        <v>19</v>
      </c>
      <c r="D848" s="211" t="s">
        <v>12</v>
      </c>
      <c r="E848" s="208">
        <v>43042</v>
      </c>
      <c r="F848" s="209">
        <v>10.9</v>
      </c>
      <c r="G848" s="210" t="s">
        <v>13</v>
      </c>
      <c r="H848" s="211" t="s">
        <v>18</v>
      </c>
      <c r="I848" s="210">
        <v>1</v>
      </c>
      <c r="J848" s="210" t="s">
        <v>15</v>
      </c>
      <c r="K848" s="210" t="s">
        <v>54</v>
      </c>
      <c r="L848" s="211" t="s">
        <v>60</v>
      </c>
      <c r="M848" s="211" t="s">
        <v>17</v>
      </c>
    </row>
    <row r="849" spans="1:13" x14ac:dyDescent="0.2">
      <c r="A849" s="211" t="s">
        <v>55</v>
      </c>
      <c r="B849" s="211" t="s">
        <v>58</v>
      </c>
      <c r="C849" s="211" t="s">
        <v>19</v>
      </c>
      <c r="D849" s="211" t="s">
        <v>12</v>
      </c>
      <c r="E849" s="208">
        <v>43042</v>
      </c>
      <c r="F849" s="221">
        <v>3662.6027399999998</v>
      </c>
      <c r="G849" s="210" t="s">
        <v>16</v>
      </c>
      <c r="H849" s="211" t="s">
        <v>18</v>
      </c>
      <c r="I849" s="210">
        <v>1</v>
      </c>
      <c r="J849" s="210" t="s">
        <v>15</v>
      </c>
      <c r="K849" s="210" t="s">
        <v>54</v>
      </c>
      <c r="L849" s="211" t="s">
        <v>60</v>
      </c>
      <c r="M849" s="211" t="s">
        <v>17</v>
      </c>
    </row>
    <row r="850" spans="1:13" x14ac:dyDescent="0.2">
      <c r="A850" s="211" t="s">
        <v>55</v>
      </c>
      <c r="B850" s="211" t="s">
        <v>58</v>
      </c>
      <c r="C850" s="211" t="s">
        <v>19</v>
      </c>
      <c r="D850" s="211" t="s">
        <v>12</v>
      </c>
      <c r="E850" s="208">
        <v>43041</v>
      </c>
      <c r="F850" s="209">
        <v>12.6496499</v>
      </c>
      <c r="G850" s="210" t="s">
        <v>13</v>
      </c>
      <c r="H850" s="211" t="s">
        <v>14</v>
      </c>
      <c r="I850" s="210">
        <v>1</v>
      </c>
      <c r="J850" s="210" t="s">
        <v>15</v>
      </c>
      <c r="K850" s="210" t="s">
        <v>54</v>
      </c>
      <c r="L850" s="211" t="s">
        <v>60</v>
      </c>
      <c r="M850" s="211" t="s">
        <v>56</v>
      </c>
    </row>
    <row r="851" spans="1:13" x14ac:dyDescent="0.2">
      <c r="A851" s="211" t="s">
        <v>55</v>
      </c>
      <c r="B851" s="211" t="s">
        <v>58</v>
      </c>
      <c r="C851" s="211" t="s">
        <v>19</v>
      </c>
      <c r="D851" s="211" t="s">
        <v>12</v>
      </c>
      <c r="E851" s="208">
        <v>43041</v>
      </c>
      <c r="F851" s="221">
        <v>4093.3255205999999</v>
      </c>
      <c r="G851" s="210" t="s">
        <v>16</v>
      </c>
      <c r="H851" s="211" t="s">
        <v>14</v>
      </c>
      <c r="I851" s="210">
        <v>1</v>
      </c>
      <c r="J851" s="210" t="s">
        <v>15</v>
      </c>
      <c r="K851" s="210" t="s">
        <v>54</v>
      </c>
      <c r="L851" s="211" t="s">
        <v>60</v>
      </c>
      <c r="M851" s="211" t="s">
        <v>56</v>
      </c>
    </row>
    <row r="852" spans="1:13" x14ac:dyDescent="0.2">
      <c r="A852" s="211" t="s">
        <v>55</v>
      </c>
      <c r="B852" s="211" t="s">
        <v>58</v>
      </c>
      <c r="C852" s="211" t="s">
        <v>19</v>
      </c>
      <c r="D852" s="211" t="s">
        <v>12</v>
      </c>
      <c r="E852" s="208">
        <v>43041</v>
      </c>
      <c r="F852" s="209">
        <v>8.83</v>
      </c>
      <c r="G852" s="210" t="s">
        <v>13</v>
      </c>
      <c r="H852" s="211" t="s">
        <v>18</v>
      </c>
      <c r="I852" s="210">
        <v>1</v>
      </c>
      <c r="J852" s="210" t="s">
        <v>15</v>
      </c>
      <c r="K852" s="210" t="s">
        <v>54</v>
      </c>
      <c r="L852" s="211" t="s">
        <v>60</v>
      </c>
      <c r="M852" s="211" t="s">
        <v>17</v>
      </c>
    </row>
    <row r="853" spans="1:13" x14ac:dyDescent="0.2">
      <c r="A853" s="211" t="s">
        <v>55</v>
      </c>
      <c r="B853" s="211" t="s">
        <v>58</v>
      </c>
      <c r="C853" s="211" t="s">
        <v>19</v>
      </c>
      <c r="D853" s="211" t="s">
        <v>12</v>
      </c>
      <c r="E853" s="208">
        <v>43041</v>
      </c>
      <c r="F853" s="221">
        <v>2903.7119459999999</v>
      </c>
      <c r="G853" s="210" t="s">
        <v>16</v>
      </c>
      <c r="H853" s="211" t="s">
        <v>18</v>
      </c>
      <c r="I853" s="210">
        <v>1</v>
      </c>
      <c r="J853" s="210" t="s">
        <v>15</v>
      </c>
      <c r="K853" s="210" t="s">
        <v>54</v>
      </c>
      <c r="L853" s="211" t="s">
        <v>60</v>
      </c>
      <c r="M853" s="211" t="s">
        <v>17</v>
      </c>
    </row>
    <row r="854" spans="1:13" x14ac:dyDescent="0.2">
      <c r="A854" s="211" t="s">
        <v>55</v>
      </c>
      <c r="B854" s="211" t="s">
        <v>58</v>
      </c>
      <c r="C854" s="211" t="s">
        <v>19</v>
      </c>
      <c r="D854" s="211" t="s">
        <v>12</v>
      </c>
      <c r="E854" s="208">
        <v>43040</v>
      </c>
      <c r="F854" s="209">
        <v>7.9887078999999996</v>
      </c>
      <c r="G854" s="210" t="s">
        <v>13</v>
      </c>
      <c r="H854" s="211" t="s">
        <v>14</v>
      </c>
      <c r="I854" s="210">
        <v>1</v>
      </c>
      <c r="J854" s="210" t="s">
        <v>15</v>
      </c>
      <c r="K854" s="210" t="s">
        <v>54</v>
      </c>
      <c r="L854" s="211" t="s">
        <v>60</v>
      </c>
      <c r="M854" s="211" t="s">
        <v>56</v>
      </c>
    </row>
    <row r="855" spans="1:13" x14ac:dyDescent="0.2">
      <c r="A855" s="211" t="s">
        <v>55</v>
      </c>
      <c r="B855" s="211" t="s">
        <v>58</v>
      </c>
      <c r="C855" s="211" t="s">
        <v>19</v>
      </c>
      <c r="D855" s="211" t="s">
        <v>12</v>
      </c>
      <c r="E855" s="208">
        <v>43040</v>
      </c>
      <c r="F855" s="221">
        <v>2538.4438958999999</v>
      </c>
      <c r="G855" s="210" t="s">
        <v>16</v>
      </c>
      <c r="H855" s="211" t="s">
        <v>14</v>
      </c>
      <c r="I855" s="210">
        <v>1</v>
      </c>
      <c r="J855" s="210" t="s">
        <v>15</v>
      </c>
      <c r="K855" s="210" t="s">
        <v>54</v>
      </c>
      <c r="L855" s="211" t="s">
        <v>60</v>
      </c>
      <c r="M855" s="211" t="s">
        <v>56</v>
      </c>
    </row>
    <row r="856" spans="1:13" x14ac:dyDescent="0.2">
      <c r="A856" s="211" t="s">
        <v>55</v>
      </c>
      <c r="B856" s="211" t="s">
        <v>58</v>
      </c>
      <c r="C856" s="211" t="s">
        <v>19</v>
      </c>
      <c r="D856" s="211" t="s">
        <v>12</v>
      </c>
      <c r="E856" s="208">
        <v>43040</v>
      </c>
      <c r="F856" s="209">
        <v>6.04</v>
      </c>
      <c r="G856" s="210" t="s">
        <v>13</v>
      </c>
      <c r="H856" s="211" t="s">
        <v>18</v>
      </c>
      <c r="I856" s="210">
        <v>1</v>
      </c>
      <c r="J856" s="210" t="s">
        <v>15</v>
      </c>
      <c r="K856" s="210" t="s">
        <v>54</v>
      </c>
      <c r="L856" s="211" t="s">
        <v>60</v>
      </c>
      <c r="M856" s="211" t="s">
        <v>17</v>
      </c>
    </row>
    <row r="857" spans="1:13" x14ac:dyDescent="0.2">
      <c r="A857" s="211" t="s">
        <v>55</v>
      </c>
      <c r="B857" s="211" t="s">
        <v>58</v>
      </c>
      <c r="C857" s="211" t="s">
        <v>19</v>
      </c>
      <c r="D857" s="211" t="s">
        <v>12</v>
      </c>
      <c r="E857" s="208">
        <v>43040</v>
      </c>
      <c r="F857" s="221">
        <v>1943.4134879999999</v>
      </c>
      <c r="G857" s="210" t="s">
        <v>16</v>
      </c>
      <c r="H857" s="211" t="s">
        <v>18</v>
      </c>
      <c r="I857" s="210">
        <v>1</v>
      </c>
      <c r="J857" s="210" t="s">
        <v>15</v>
      </c>
      <c r="K857" s="210" t="s">
        <v>54</v>
      </c>
      <c r="L857" s="211" t="s">
        <v>60</v>
      </c>
      <c r="M857" s="211" t="s">
        <v>17</v>
      </c>
    </row>
    <row r="858" spans="1:13" x14ac:dyDescent="0.2">
      <c r="A858" s="211" t="s">
        <v>55</v>
      </c>
      <c r="B858" s="211" t="s">
        <v>58</v>
      </c>
      <c r="C858" s="211" t="s">
        <v>19</v>
      </c>
      <c r="D858" s="211" t="s">
        <v>12</v>
      </c>
      <c r="E858" s="208">
        <v>43037</v>
      </c>
      <c r="F858" s="209">
        <v>11.1867701</v>
      </c>
      <c r="G858" s="210" t="s">
        <v>13</v>
      </c>
      <c r="H858" s="211" t="s">
        <v>14</v>
      </c>
      <c r="I858" s="210">
        <v>1</v>
      </c>
      <c r="J858" s="210" t="s">
        <v>15</v>
      </c>
      <c r="K858" s="210" t="s">
        <v>54</v>
      </c>
      <c r="L858" s="211" t="s">
        <v>60</v>
      </c>
      <c r="M858" s="211" t="s">
        <v>56</v>
      </c>
    </row>
    <row r="859" spans="1:13" x14ac:dyDescent="0.2">
      <c r="A859" s="211" t="s">
        <v>55</v>
      </c>
      <c r="B859" s="211" t="s">
        <v>58</v>
      </c>
      <c r="C859" s="211" t="s">
        <v>19</v>
      </c>
      <c r="D859" s="211" t="s">
        <v>12</v>
      </c>
      <c r="E859" s="208">
        <v>43037</v>
      </c>
      <c r="F859" s="221">
        <v>3769.2255835000001</v>
      </c>
      <c r="G859" s="210" t="s">
        <v>16</v>
      </c>
      <c r="H859" s="211" t="s">
        <v>14</v>
      </c>
      <c r="I859" s="210">
        <v>1</v>
      </c>
      <c r="J859" s="210" t="s">
        <v>15</v>
      </c>
      <c r="K859" s="210" t="s">
        <v>54</v>
      </c>
      <c r="L859" s="211" t="s">
        <v>60</v>
      </c>
      <c r="M859" s="211" t="s">
        <v>56</v>
      </c>
    </row>
    <row r="860" spans="1:13" x14ac:dyDescent="0.2">
      <c r="A860" s="211" t="s">
        <v>55</v>
      </c>
      <c r="B860" s="211" t="s">
        <v>58</v>
      </c>
      <c r="C860" s="211" t="s">
        <v>19</v>
      </c>
      <c r="D860" s="211" t="s">
        <v>12</v>
      </c>
      <c r="E860" s="208">
        <v>43037</v>
      </c>
      <c r="F860" s="209">
        <v>8.9700000000000006</v>
      </c>
      <c r="G860" s="210" t="s">
        <v>13</v>
      </c>
      <c r="H860" s="211" t="s">
        <v>18</v>
      </c>
      <c r="I860" s="210">
        <v>1</v>
      </c>
      <c r="J860" s="210" t="s">
        <v>15</v>
      </c>
      <c r="K860" s="210" t="s">
        <v>54</v>
      </c>
      <c r="L860" s="211" t="s">
        <v>60</v>
      </c>
      <c r="M860" s="211" t="s">
        <v>17</v>
      </c>
    </row>
    <row r="861" spans="1:13" x14ac:dyDescent="0.2">
      <c r="A861" s="211" t="s">
        <v>55</v>
      </c>
      <c r="B861" s="211" t="s">
        <v>58</v>
      </c>
      <c r="C861" s="211" t="s">
        <v>19</v>
      </c>
      <c r="D861" s="211" t="s">
        <v>12</v>
      </c>
      <c r="E861" s="208">
        <v>43037</v>
      </c>
      <c r="F861" s="221">
        <v>3022.31592</v>
      </c>
      <c r="G861" s="210" t="s">
        <v>16</v>
      </c>
      <c r="H861" s="211" t="s">
        <v>18</v>
      </c>
      <c r="I861" s="210">
        <v>1</v>
      </c>
      <c r="J861" s="210" t="s">
        <v>15</v>
      </c>
      <c r="K861" s="210" t="s">
        <v>54</v>
      </c>
      <c r="L861" s="211" t="s">
        <v>60</v>
      </c>
      <c r="M861" s="211" t="s">
        <v>17</v>
      </c>
    </row>
    <row r="862" spans="1:13" x14ac:dyDescent="0.2">
      <c r="A862" s="211" t="s">
        <v>55</v>
      </c>
      <c r="B862" s="211" t="s">
        <v>58</v>
      </c>
      <c r="C862" s="211" t="s">
        <v>19</v>
      </c>
      <c r="D862" s="211" t="s">
        <v>12</v>
      </c>
      <c r="E862" s="208">
        <v>43036</v>
      </c>
      <c r="F862" s="209">
        <v>10.010764699999999</v>
      </c>
      <c r="G862" s="210" t="s">
        <v>13</v>
      </c>
      <c r="H862" s="211" t="s">
        <v>14</v>
      </c>
      <c r="I862" s="210">
        <v>1</v>
      </c>
      <c r="J862" s="210" t="s">
        <v>15</v>
      </c>
      <c r="K862" s="210" t="s">
        <v>54</v>
      </c>
      <c r="L862" s="211" t="s">
        <v>60</v>
      </c>
      <c r="M862" s="211" t="s">
        <v>56</v>
      </c>
    </row>
    <row r="863" spans="1:13" x14ac:dyDescent="0.2">
      <c r="A863" s="211" t="s">
        <v>55</v>
      </c>
      <c r="B863" s="211" t="s">
        <v>58</v>
      </c>
      <c r="C863" s="211" t="s">
        <v>19</v>
      </c>
      <c r="D863" s="211" t="s">
        <v>12</v>
      </c>
      <c r="E863" s="208">
        <v>43036</v>
      </c>
      <c r="F863" s="221">
        <v>3281.1482655999998</v>
      </c>
      <c r="G863" s="210" t="s">
        <v>16</v>
      </c>
      <c r="H863" s="211" t="s">
        <v>14</v>
      </c>
      <c r="I863" s="210">
        <v>1</v>
      </c>
      <c r="J863" s="210" t="s">
        <v>15</v>
      </c>
      <c r="K863" s="210" t="s">
        <v>54</v>
      </c>
      <c r="L863" s="211" t="s">
        <v>60</v>
      </c>
      <c r="M863" s="211" t="s">
        <v>56</v>
      </c>
    </row>
    <row r="864" spans="1:13" x14ac:dyDescent="0.2">
      <c r="A864" s="211" t="s">
        <v>55</v>
      </c>
      <c r="B864" s="211" t="s">
        <v>58</v>
      </c>
      <c r="C864" s="211" t="s">
        <v>19</v>
      </c>
      <c r="D864" s="211" t="s">
        <v>12</v>
      </c>
      <c r="E864" s="208">
        <v>43036</v>
      </c>
      <c r="F864" s="209">
        <v>8.15</v>
      </c>
      <c r="G864" s="210" t="s">
        <v>13</v>
      </c>
      <c r="H864" s="211" t="s">
        <v>18</v>
      </c>
      <c r="I864" s="210">
        <v>1</v>
      </c>
      <c r="J864" s="210" t="s">
        <v>15</v>
      </c>
      <c r="K864" s="210" t="s">
        <v>54</v>
      </c>
      <c r="L864" s="211" t="s">
        <v>60</v>
      </c>
      <c r="M864" s="211" t="s">
        <v>17</v>
      </c>
    </row>
    <row r="865" spans="1:13" x14ac:dyDescent="0.2">
      <c r="A865" s="211" t="s">
        <v>55</v>
      </c>
      <c r="B865" s="211" t="s">
        <v>58</v>
      </c>
      <c r="C865" s="211" t="s">
        <v>19</v>
      </c>
      <c r="D865" s="211" t="s">
        <v>12</v>
      </c>
      <c r="E865" s="208">
        <v>43036</v>
      </c>
      <c r="F865" s="221">
        <v>2671.2602999999999</v>
      </c>
      <c r="G865" s="210" t="s">
        <v>16</v>
      </c>
      <c r="H865" s="211" t="s">
        <v>18</v>
      </c>
      <c r="I865" s="210">
        <v>1</v>
      </c>
      <c r="J865" s="210" t="s">
        <v>15</v>
      </c>
      <c r="K865" s="210" t="s">
        <v>54</v>
      </c>
      <c r="L865" s="211" t="s">
        <v>60</v>
      </c>
      <c r="M865" s="211" t="s">
        <v>17</v>
      </c>
    </row>
    <row r="866" spans="1:13" x14ac:dyDescent="0.2">
      <c r="A866" s="211" t="s">
        <v>55</v>
      </c>
      <c r="B866" s="211" t="s">
        <v>58</v>
      </c>
      <c r="C866" s="211" t="s">
        <v>19</v>
      </c>
      <c r="D866" s="211" t="s">
        <v>12</v>
      </c>
      <c r="E866" s="208">
        <v>43035</v>
      </c>
      <c r="F866" s="209">
        <v>9.9701277000000008</v>
      </c>
      <c r="G866" s="210" t="s">
        <v>13</v>
      </c>
      <c r="H866" s="211" t="s">
        <v>14</v>
      </c>
      <c r="I866" s="210">
        <v>1</v>
      </c>
      <c r="J866" s="210" t="s">
        <v>15</v>
      </c>
      <c r="K866" s="210" t="s">
        <v>54</v>
      </c>
      <c r="L866" s="211" t="s">
        <v>60</v>
      </c>
      <c r="M866" s="211" t="s">
        <v>56</v>
      </c>
    </row>
    <row r="867" spans="1:13" x14ac:dyDescent="0.2">
      <c r="A867" s="211" t="s">
        <v>55</v>
      </c>
      <c r="B867" s="211" t="s">
        <v>58</v>
      </c>
      <c r="C867" s="211" t="s">
        <v>19</v>
      </c>
      <c r="D867" s="211" t="s">
        <v>12</v>
      </c>
      <c r="E867" s="208">
        <v>43035</v>
      </c>
      <c r="F867" s="221">
        <v>3242.883761</v>
      </c>
      <c r="G867" s="210" t="s">
        <v>16</v>
      </c>
      <c r="H867" s="211" t="s">
        <v>14</v>
      </c>
      <c r="I867" s="210">
        <v>1</v>
      </c>
      <c r="J867" s="210" t="s">
        <v>15</v>
      </c>
      <c r="K867" s="210" t="s">
        <v>54</v>
      </c>
      <c r="L867" s="211" t="s">
        <v>60</v>
      </c>
      <c r="M867" s="211" t="s">
        <v>56</v>
      </c>
    </row>
    <row r="868" spans="1:13" x14ac:dyDescent="0.2">
      <c r="A868" s="211" t="s">
        <v>55</v>
      </c>
      <c r="B868" s="211" t="s">
        <v>58</v>
      </c>
      <c r="C868" s="211" t="s">
        <v>19</v>
      </c>
      <c r="D868" s="211" t="s">
        <v>12</v>
      </c>
      <c r="E868" s="208">
        <v>43035</v>
      </c>
      <c r="F868" s="209">
        <v>8.3800000000000008</v>
      </c>
      <c r="G868" s="210" t="s">
        <v>13</v>
      </c>
      <c r="H868" s="211" t="s">
        <v>18</v>
      </c>
      <c r="I868" s="210">
        <v>1</v>
      </c>
      <c r="J868" s="210" t="s">
        <v>15</v>
      </c>
      <c r="K868" s="210" t="s">
        <v>54</v>
      </c>
      <c r="L868" s="211" t="s">
        <v>60</v>
      </c>
      <c r="M868" s="211" t="s">
        <v>17</v>
      </c>
    </row>
    <row r="869" spans="1:13" x14ac:dyDescent="0.2">
      <c r="A869" s="211" t="s">
        <v>55</v>
      </c>
      <c r="B869" s="211" t="s">
        <v>58</v>
      </c>
      <c r="C869" s="211" t="s">
        <v>19</v>
      </c>
      <c r="D869" s="211" t="s">
        <v>12</v>
      </c>
      <c r="E869" s="208">
        <v>43035</v>
      </c>
      <c r="F869" s="221">
        <v>2725.6788000000001</v>
      </c>
      <c r="G869" s="210" t="s">
        <v>16</v>
      </c>
      <c r="H869" s="211" t="s">
        <v>18</v>
      </c>
      <c r="I869" s="210">
        <v>1</v>
      </c>
      <c r="J869" s="210" t="s">
        <v>15</v>
      </c>
      <c r="K869" s="210" t="s">
        <v>54</v>
      </c>
      <c r="L869" s="211" t="s">
        <v>60</v>
      </c>
      <c r="M869" s="211" t="s">
        <v>17</v>
      </c>
    </row>
    <row r="870" spans="1:13" x14ac:dyDescent="0.2">
      <c r="A870" s="211" t="s">
        <v>55</v>
      </c>
      <c r="B870" s="211" t="s">
        <v>58</v>
      </c>
      <c r="C870" s="211" t="s">
        <v>19</v>
      </c>
      <c r="D870" s="211" t="s">
        <v>12</v>
      </c>
      <c r="E870" s="208">
        <v>43034</v>
      </c>
      <c r="F870" s="209">
        <v>10.1707249</v>
      </c>
      <c r="G870" s="210" t="s">
        <v>13</v>
      </c>
      <c r="H870" s="211" t="s">
        <v>14</v>
      </c>
      <c r="I870" s="210">
        <v>1</v>
      </c>
      <c r="J870" s="210" t="s">
        <v>15</v>
      </c>
      <c r="K870" s="210" t="s">
        <v>54</v>
      </c>
      <c r="L870" s="211" t="s">
        <v>60</v>
      </c>
      <c r="M870" s="211" t="s">
        <v>56</v>
      </c>
    </row>
    <row r="871" spans="1:13" x14ac:dyDescent="0.2">
      <c r="A871" s="211" t="s">
        <v>55</v>
      </c>
      <c r="B871" s="211" t="s">
        <v>58</v>
      </c>
      <c r="C871" s="211" t="s">
        <v>19</v>
      </c>
      <c r="D871" s="211" t="s">
        <v>12</v>
      </c>
      <c r="E871" s="208">
        <v>43034</v>
      </c>
      <c r="F871" s="221">
        <v>3231.7885259</v>
      </c>
      <c r="G871" s="210" t="s">
        <v>16</v>
      </c>
      <c r="H871" s="211" t="s">
        <v>14</v>
      </c>
      <c r="I871" s="210">
        <v>1</v>
      </c>
      <c r="J871" s="210" t="s">
        <v>15</v>
      </c>
      <c r="K871" s="210" t="s">
        <v>54</v>
      </c>
      <c r="L871" s="211" t="s">
        <v>60</v>
      </c>
      <c r="M871" s="211" t="s">
        <v>56</v>
      </c>
    </row>
    <row r="872" spans="1:13" x14ac:dyDescent="0.2">
      <c r="A872" s="211" t="s">
        <v>55</v>
      </c>
      <c r="B872" s="211" t="s">
        <v>58</v>
      </c>
      <c r="C872" s="211" t="s">
        <v>19</v>
      </c>
      <c r="D872" s="211" t="s">
        <v>12</v>
      </c>
      <c r="E872" s="208">
        <v>43034</v>
      </c>
      <c r="F872" s="209">
        <v>7.5</v>
      </c>
      <c r="G872" s="210" t="s">
        <v>13</v>
      </c>
      <c r="H872" s="211" t="s">
        <v>18</v>
      </c>
      <c r="I872" s="210">
        <v>1</v>
      </c>
      <c r="J872" s="210" t="s">
        <v>15</v>
      </c>
      <c r="K872" s="210" t="s">
        <v>54</v>
      </c>
      <c r="L872" s="211" t="s">
        <v>60</v>
      </c>
      <c r="M872" s="211" t="s">
        <v>17</v>
      </c>
    </row>
    <row r="873" spans="1:13" x14ac:dyDescent="0.2">
      <c r="A873" s="211" t="s">
        <v>55</v>
      </c>
      <c r="B873" s="211" t="s">
        <v>58</v>
      </c>
      <c r="C873" s="211" t="s">
        <v>19</v>
      </c>
      <c r="D873" s="211" t="s">
        <v>12</v>
      </c>
      <c r="E873" s="208">
        <v>43034</v>
      </c>
      <c r="F873" s="221">
        <v>2383.1550000000002</v>
      </c>
      <c r="G873" s="210" t="s">
        <v>16</v>
      </c>
      <c r="H873" s="211" t="s">
        <v>18</v>
      </c>
      <c r="I873" s="210">
        <v>1</v>
      </c>
      <c r="J873" s="210" t="s">
        <v>15</v>
      </c>
      <c r="K873" s="210" t="s">
        <v>54</v>
      </c>
      <c r="L873" s="211" t="s">
        <v>60</v>
      </c>
      <c r="M873" s="211" t="s">
        <v>17</v>
      </c>
    </row>
    <row r="874" spans="1:13" x14ac:dyDescent="0.2">
      <c r="A874" s="211" t="s">
        <v>55</v>
      </c>
      <c r="B874" s="211" t="s">
        <v>58</v>
      </c>
      <c r="C874" s="211" t="s">
        <v>19</v>
      </c>
      <c r="D874" s="211" t="s">
        <v>12</v>
      </c>
      <c r="E874" s="208">
        <v>43033</v>
      </c>
      <c r="F874" s="209">
        <v>8.4825133000000008</v>
      </c>
      <c r="G874" s="210" t="s">
        <v>13</v>
      </c>
      <c r="H874" s="211" t="s">
        <v>14</v>
      </c>
      <c r="I874" s="210">
        <v>1</v>
      </c>
      <c r="J874" s="210" t="s">
        <v>15</v>
      </c>
      <c r="K874" s="210" t="s">
        <v>54</v>
      </c>
      <c r="L874" s="211" t="s">
        <v>60</v>
      </c>
      <c r="M874" s="211" t="s">
        <v>56</v>
      </c>
    </row>
    <row r="875" spans="1:13" x14ac:dyDescent="0.2">
      <c r="A875" s="211" t="s">
        <v>55</v>
      </c>
      <c r="B875" s="211" t="s">
        <v>58</v>
      </c>
      <c r="C875" s="211" t="s">
        <v>19</v>
      </c>
      <c r="D875" s="211" t="s">
        <v>12</v>
      </c>
      <c r="E875" s="208">
        <v>43033</v>
      </c>
      <c r="F875" s="221">
        <v>2702.4269519999998</v>
      </c>
      <c r="G875" s="210" t="s">
        <v>16</v>
      </c>
      <c r="H875" s="211" t="s">
        <v>14</v>
      </c>
      <c r="I875" s="210">
        <v>1</v>
      </c>
      <c r="J875" s="210" t="s">
        <v>15</v>
      </c>
      <c r="K875" s="210" t="s">
        <v>54</v>
      </c>
      <c r="L875" s="211" t="s">
        <v>60</v>
      </c>
      <c r="M875" s="211" t="s">
        <v>56</v>
      </c>
    </row>
    <row r="876" spans="1:13" x14ac:dyDescent="0.2">
      <c r="A876" s="211" t="s">
        <v>55</v>
      </c>
      <c r="B876" s="211" t="s">
        <v>58</v>
      </c>
      <c r="C876" s="211" t="s">
        <v>19</v>
      </c>
      <c r="D876" s="211" t="s">
        <v>12</v>
      </c>
      <c r="E876" s="208">
        <v>43033</v>
      </c>
      <c r="F876" s="209">
        <v>6.79</v>
      </c>
      <c r="G876" s="210" t="s">
        <v>13</v>
      </c>
      <c r="H876" s="211" t="s">
        <v>18</v>
      </c>
      <c r="I876" s="210">
        <v>1</v>
      </c>
      <c r="J876" s="210" t="s">
        <v>15</v>
      </c>
      <c r="K876" s="210" t="s">
        <v>54</v>
      </c>
      <c r="L876" s="211" t="s">
        <v>60</v>
      </c>
      <c r="M876" s="211" t="s">
        <v>17</v>
      </c>
    </row>
    <row r="877" spans="1:13" x14ac:dyDescent="0.2">
      <c r="A877" s="211" t="s">
        <v>55</v>
      </c>
      <c r="B877" s="211" t="s">
        <v>58</v>
      </c>
      <c r="C877" s="211" t="s">
        <v>19</v>
      </c>
      <c r="D877" s="211" t="s">
        <v>12</v>
      </c>
      <c r="E877" s="208">
        <v>43033</v>
      </c>
      <c r="F877" s="221">
        <v>2163.21252</v>
      </c>
      <c r="G877" s="210" t="s">
        <v>16</v>
      </c>
      <c r="H877" s="211" t="s">
        <v>18</v>
      </c>
      <c r="I877" s="210">
        <v>1</v>
      </c>
      <c r="J877" s="210" t="s">
        <v>15</v>
      </c>
      <c r="K877" s="210" t="s">
        <v>54</v>
      </c>
      <c r="L877" s="211" t="s">
        <v>60</v>
      </c>
      <c r="M877" s="211" t="s">
        <v>17</v>
      </c>
    </row>
    <row r="878" spans="1:13" x14ac:dyDescent="0.2">
      <c r="A878" s="211" t="s">
        <v>55</v>
      </c>
      <c r="B878" s="211" t="s">
        <v>58</v>
      </c>
      <c r="C878" s="211" t="s">
        <v>19</v>
      </c>
      <c r="D878" s="211" t="s">
        <v>12</v>
      </c>
      <c r="E878" s="208">
        <v>43032</v>
      </c>
      <c r="F878" s="209">
        <v>7.6272383000000001</v>
      </c>
      <c r="G878" s="210" t="s">
        <v>13</v>
      </c>
      <c r="H878" s="211" t="s">
        <v>14</v>
      </c>
      <c r="I878" s="210">
        <v>1</v>
      </c>
      <c r="J878" s="210" t="s">
        <v>15</v>
      </c>
      <c r="K878" s="210" t="s">
        <v>54</v>
      </c>
      <c r="L878" s="211" t="s">
        <v>60</v>
      </c>
      <c r="M878" s="211" t="s">
        <v>56</v>
      </c>
    </row>
    <row r="879" spans="1:13" x14ac:dyDescent="0.2">
      <c r="A879" s="211" t="s">
        <v>55</v>
      </c>
      <c r="B879" s="211" t="s">
        <v>58</v>
      </c>
      <c r="C879" s="211" t="s">
        <v>19</v>
      </c>
      <c r="D879" s="211" t="s">
        <v>12</v>
      </c>
      <c r="E879" s="208">
        <v>43032</v>
      </c>
      <c r="F879" s="221">
        <v>2461.7521901</v>
      </c>
      <c r="G879" s="210" t="s">
        <v>16</v>
      </c>
      <c r="H879" s="211" t="s">
        <v>14</v>
      </c>
      <c r="I879" s="210">
        <v>1</v>
      </c>
      <c r="J879" s="210" t="s">
        <v>15</v>
      </c>
      <c r="K879" s="210" t="s">
        <v>54</v>
      </c>
      <c r="L879" s="211" t="s">
        <v>60</v>
      </c>
      <c r="M879" s="211" t="s">
        <v>56</v>
      </c>
    </row>
    <row r="880" spans="1:13" x14ac:dyDescent="0.2">
      <c r="A880" s="211" t="s">
        <v>55</v>
      </c>
      <c r="B880" s="211" t="s">
        <v>58</v>
      </c>
      <c r="C880" s="211" t="s">
        <v>19</v>
      </c>
      <c r="D880" s="211" t="s">
        <v>12</v>
      </c>
      <c r="E880" s="208">
        <v>43032</v>
      </c>
      <c r="F880" s="209">
        <v>7.71</v>
      </c>
      <c r="G880" s="210" t="s">
        <v>13</v>
      </c>
      <c r="H880" s="211" t="s">
        <v>18</v>
      </c>
      <c r="I880" s="210">
        <v>1</v>
      </c>
      <c r="J880" s="210" t="s">
        <v>15</v>
      </c>
      <c r="K880" s="210" t="s">
        <v>54</v>
      </c>
      <c r="L880" s="211" t="s">
        <v>60</v>
      </c>
      <c r="M880" s="211" t="s">
        <v>17</v>
      </c>
    </row>
    <row r="881" spans="1:13" x14ac:dyDescent="0.2">
      <c r="A881" s="211" t="s">
        <v>55</v>
      </c>
      <c r="B881" s="211" t="s">
        <v>58</v>
      </c>
      <c r="C881" s="211" t="s">
        <v>19</v>
      </c>
      <c r="D881" s="211" t="s">
        <v>12</v>
      </c>
      <c r="E881" s="208">
        <v>43032</v>
      </c>
      <c r="F881" s="221">
        <v>2488.4641799999999</v>
      </c>
      <c r="G881" s="210" t="s">
        <v>16</v>
      </c>
      <c r="H881" s="211" t="s">
        <v>18</v>
      </c>
      <c r="I881" s="210">
        <v>1</v>
      </c>
      <c r="J881" s="210" t="s">
        <v>15</v>
      </c>
      <c r="K881" s="210" t="s">
        <v>54</v>
      </c>
      <c r="L881" s="211" t="s">
        <v>60</v>
      </c>
      <c r="M881" s="211" t="s">
        <v>17</v>
      </c>
    </row>
    <row r="882" spans="1:13" x14ac:dyDescent="0.2">
      <c r="A882" s="211" t="s">
        <v>55</v>
      </c>
      <c r="B882" s="211" t="s">
        <v>58</v>
      </c>
      <c r="C882" s="211" t="s">
        <v>19</v>
      </c>
      <c r="D882" s="211" t="s">
        <v>12</v>
      </c>
      <c r="E882" s="208">
        <v>43031</v>
      </c>
      <c r="F882" s="209">
        <v>5.4903614000000003</v>
      </c>
      <c r="G882" s="210" t="s">
        <v>13</v>
      </c>
      <c r="H882" s="211" t="s">
        <v>14</v>
      </c>
      <c r="I882" s="210">
        <v>1</v>
      </c>
      <c r="J882" s="210" t="s">
        <v>15</v>
      </c>
      <c r="K882" s="210" t="s">
        <v>54</v>
      </c>
      <c r="L882" s="211" t="s">
        <v>60</v>
      </c>
      <c r="M882" s="211" t="s">
        <v>56</v>
      </c>
    </row>
    <row r="883" spans="1:13" x14ac:dyDescent="0.2">
      <c r="A883" s="211" t="s">
        <v>55</v>
      </c>
      <c r="B883" s="211" t="s">
        <v>58</v>
      </c>
      <c r="C883" s="211" t="s">
        <v>19</v>
      </c>
      <c r="D883" s="211" t="s">
        <v>12</v>
      </c>
      <c r="E883" s="208">
        <v>43031</v>
      </c>
      <c r="F883" s="221">
        <v>1817.8477084000001</v>
      </c>
      <c r="G883" s="210" t="s">
        <v>16</v>
      </c>
      <c r="H883" s="211" t="s">
        <v>14</v>
      </c>
      <c r="I883" s="210">
        <v>1</v>
      </c>
      <c r="J883" s="210" t="s">
        <v>15</v>
      </c>
      <c r="K883" s="210" t="s">
        <v>54</v>
      </c>
      <c r="L883" s="211" t="s">
        <v>60</v>
      </c>
      <c r="M883" s="211" t="s">
        <v>56</v>
      </c>
    </row>
    <row r="884" spans="1:13" x14ac:dyDescent="0.2">
      <c r="A884" s="211" t="s">
        <v>55</v>
      </c>
      <c r="B884" s="211" t="s">
        <v>58</v>
      </c>
      <c r="C884" s="211" t="s">
        <v>19</v>
      </c>
      <c r="D884" s="211" t="s">
        <v>12</v>
      </c>
      <c r="E884" s="208">
        <v>43031</v>
      </c>
      <c r="F884" s="209">
        <v>6.57</v>
      </c>
      <c r="G884" s="210" t="s">
        <v>13</v>
      </c>
      <c r="H884" s="211" t="s">
        <v>18</v>
      </c>
      <c r="I884" s="210">
        <v>1</v>
      </c>
      <c r="J884" s="210" t="s">
        <v>15</v>
      </c>
      <c r="K884" s="210" t="s">
        <v>54</v>
      </c>
      <c r="L884" s="211" t="s">
        <v>60</v>
      </c>
      <c r="M884" s="211" t="s">
        <v>17</v>
      </c>
    </row>
    <row r="885" spans="1:13" x14ac:dyDescent="0.2">
      <c r="A885" s="211" t="s">
        <v>55</v>
      </c>
      <c r="B885" s="211" t="s">
        <v>58</v>
      </c>
      <c r="C885" s="211" t="s">
        <v>19</v>
      </c>
      <c r="D885" s="211" t="s">
        <v>12</v>
      </c>
      <c r="E885" s="208">
        <v>43031</v>
      </c>
      <c r="F885" s="221">
        <v>2175.3138600000002</v>
      </c>
      <c r="G885" s="210" t="s">
        <v>16</v>
      </c>
      <c r="H885" s="211" t="s">
        <v>18</v>
      </c>
      <c r="I885" s="210">
        <v>1</v>
      </c>
      <c r="J885" s="210" t="s">
        <v>15</v>
      </c>
      <c r="K885" s="210" t="s">
        <v>54</v>
      </c>
      <c r="L885" s="211" t="s">
        <v>60</v>
      </c>
      <c r="M885" s="211" t="s">
        <v>17</v>
      </c>
    </row>
    <row r="886" spans="1:13" x14ac:dyDescent="0.2">
      <c r="A886" s="211" t="s">
        <v>55</v>
      </c>
      <c r="B886" s="211" t="s">
        <v>58</v>
      </c>
      <c r="C886" s="211" t="s">
        <v>19</v>
      </c>
      <c r="D886" s="211" t="s">
        <v>12</v>
      </c>
      <c r="E886" s="208">
        <v>43030</v>
      </c>
      <c r="F886" s="209">
        <v>4.1568135000000002</v>
      </c>
      <c r="G886" s="210" t="s">
        <v>13</v>
      </c>
      <c r="H886" s="211" t="s">
        <v>14</v>
      </c>
      <c r="I886" s="210">
        <v>1</v>
      </c>
      <c r="J886" s="210" t="s">
        <v>15</v>
      </c>
      <c r="K886" s="210" t="s">
        <v>54</v>
      </c>
      <c r="L886" s="211" t="s">
        <v>60</v>
      </c>
      <c r="M886" s="211" t="s">
        <v>56</v>
      </c>
    </row>
    <row r="887" spans="1:13" x14ac:dyDescent="0.2">
      <c r="A887" s="211" t="s">
        <v>55</v>
      </c>
      <c r="B887" s="211" t="s">
        <v>58</v>
      </c>
      <c r="C887" s="211" t="s">
        <v>19</v>
      </c>
      <c r="D887" s="211" t="s">
        <v>12</v>
      </c>
      <c r="E887" s="208">
        <v>43030</v>
      </c>
      <c r="F887" s="221">
        <v>1480.3161126</v>
      </c>
      <c r="G887" s="210" t="s">
        <v>16</v>
      </c>
      <c r="H887" s="211" t="s">
        <v>14</v>
      </c>
      <c r="I887" s="210">
        <v>1</v>
      </c>
      <c r="J887" s="210" t="s">
        <v>15</v>
      </c>
      <c r="K887" s="210" t="s">
        <v>54</v>
      </c>
      <c r="L887" s="211" t="s">
        <v>60</v>
      </c>
      <c r="M887" s="211" t="s">
        <v>56</v>
      </c>
    </row>
    <row r="888" spans="1:13" x14ac:dyDescent="0.2">
      <c r="A888" s="211" t="s">
        <v>55</v>
      </c>
      <c r="B888" s="211" t="s">
        <v>58</v>
      </c>
      <c r="C888" s="211" t="s">
        <v>19</v>
      </c>
      <c r="D888" s="211" t="s">
        <v>12</v>
      </c>
      <c r="E888" s="208">
        <v>43030</v>
      </c>
      <c r="F888" s="209">
        <v>8.1199999999999992</v>
      </c>
      <c r="G888" s="210" t="s">
        <v>13</v>
      </c>
      <c r="H888" s="211" t="s">
        <v>18</v>
      </c>
      <c r="I888" s="210">
        <v>1</v>
      </c>
      <c r="J888" s="210" t="s">
        <v>15</v>
      </c>
      <c r="K888" s="210" t="s">
        <v>54</v>
      </c>
      <c r="L888" s="211" t="s">
        <v>60</v>
      </c>
      <c r="M888" s="211" t="s">
        <v>17</v>
      </c>
    </row>
    <row r="889" spans="1:13" x14ac:dyDescent="0.2">
      <c r="A889" s="211" t="s">
        <v>55</v>
      </c>
      <c r="B889" s="211" t="s">
        <v>58</v>
      </c>
      <c r="C889" s="211" t="s">
        <v>19</v>
      </c>
      <c r="D889" s="211" t="s">
        <v>12</v>
      </c>
      <c r="E889" s="208">
        <v>43030</v>
      </c>
      <c r="F889" s="221">
        <v>2891.6781599999999</v>
      </c>
      <c r="G889" s="210" t="s">
        <v>16</v>
      </c>
      <c r="H889" s="211" t="s">
        <v>18</v>
      </c>
      <c r="I889" s="210">
        <v>1</v>
      </c>
      <c r="J889" s="210" t="s">
        <v>15</v>
      </c>
      <c r="K889" s="210" t="s">
        <v>54</v>
      </c>
      <c r="L889" s="211" t="s">
        <v>60</v>
      </c>
      <c r="M889" s="211" t="s">
        <v>17</v>
      </c>
    </row>
    <row r="890" spans="1:13" x14ac:dyDescent="0.2">
      <c r="A890" s="211" t="s">
        <v>55</v>
      </c>
      <c r="B890" s="211" t="s">
        <v>58</v>
      </c>
      <c r="C890" s="211" t="s">
        <v>19</v>
      </c>
      <c r="D890" s="211" t="s">
        <v>12</v>
      </c>
      <c r="E890" s="208">
        <v>43029</v>
      </c>
      <c r="F890" s="209">
        <v>6.7156374999999997</v>
      </c>
      <c r="G890" s="210" t="s">
        <v>13</v>
      </c>
      <c r="H890" s="211" t="s">
        <v>14</v>
      </c>
      <c r="I890" s="210">
        <v>1</v>
      </c>
      <c r="J890" s="210" t="s">
        <v>15</v>
      </c>
      <c r="K890" s="210" t="s">
        <v>54</v>
      </c>
      <c r="L890" s="211" t="s">
        <v>60</v>
      </c>
      <c r="M890" s="211" t="s">
        <v>56</v>
      </c>
    </row>
    <row r="891" spans="1:13" x14ac:dyDescent="0.2">
      <c r="A891" s="211" t="s">
        <v>55</v>
      </c>
      <c r="B891" s="211" t="s">
        <v>58</v>
      </c>
      <c r="C891" s="211" t="s">
        <v>19</v>
      </c>
      <c r="D891" s="211" t="s">
        <v>12</v>
      </c>
      <c r="E891" s="208">
        <v>43029</v>
      </c>
      <c r="F891" s="221">
        <v>2240.3366700000001</v>
      </c>
      <c r="G891" s="210" t="s">
        <v>16</v>
      </c>
      <c r="H891" s="211" t="s">
        <v>14</v>
      </c>
      <c r="I891" s="210">
        <v>1</v>
      </c>
      <c r="J891" s="210" t="s">
        <v>15</v>
      </c>
      <c r="K891" s="210" t="s">
        <v>54</v>
      </c>
      <c r="L891" s="211" t="s">
        <v>60</v>
      </c>
      <c r="M891" s="211" t="s">
        <v>56</v>
      </c>
    </row>
    <row r="892" spans="1:13" x14ac:dyDescent="0.2">
      <c r="A892" s="211" t="s">
        <v>55</v>
      </c>
      <c r="B892" s="211" t="s">
        <v>58</v>
      </c>
      <c r="C892" s="211" t="s">
        <v>19</v>
      </c>
      <c r="D892" s="211" t="s">
        <v>12</v>
      </c>
      <c r="E892" s="208">
        <v>43029</v>
      </c>
      <c r="F892" s="209">
        <v>8.83</v>
      </c>
      <c r="G892" s="210" t="s">
        <v>13</v>
      </c>
      <c r="H892" s="211" t="s">
        <v>18</v>
      </c>
      <c r="I892" s="210">
        <v>1</v>
      </c>
      <c r="J892" s="210" t="s">
        <v>15</v>
      </c>
      <c r="K892" s="210" t="s">
        <v>54</v>
      </c>
      <c r="L892" s="211" t="s">
        <v>60</v>
      </c>
      <c r="M892" s="211" t="s">
        <v>17</v>
      </c>
    </row>
    <row r="893" spans="1:13" x14ac:dyDescent="0.2">
      <c r="A893" s="211" t="s">
        <v>55</v>
      </c>
      <c r="B893" s="211" t="s">
        <v>58</v>
      </c>
      <c r="C893" s="211" t="s">
        <v>19</v>
      </c>
      <c r="D893" s="211" t="s">
        <v>12</v>
      </c>
      <c r="E893" s="208">
        <v>43029</v>
      </c>
      <c r="F893" s="221">
        <v>2945.6880000000001</v>
      </c>
      <c r="G893" s="210" t="s">
        <v>16</v>
      </c>
      <c r="H893" s="211" t="s">
        <v>18</v>
      </c>
      <c r="I893" s="210">
        <v>1</v>
      </c>
      <c r="J893" s="210" t="s">
        <v>15</v>
      </c>
      <c r="K893" s="210" t="s">
        <v>54</v>
      </c>
      <c r="L893" s="211" t="s">
        <v>60</v>
      </c>
      <c r="M893" s="211" t="s">
        <v>17</v>
      </c>
    </row>
    <row r="894" spans="1:13" x14ac:dyDescent="0.2">
      <c r="A894" s="211" t="s">
        <v>55</v>
      </c>
      <c r="B894" s="211" t="s">
        <v>58</v>
      </c>
      <c r="C894" s="211" t="s">
        <v>19</v>
      </c>
      <c r="D894" s="211" t="s">
        <v>12</v>
      </c>
      <c r="E894" s="208">
        <v>43028</v>
      </c>
      <c r="F894" s="209">
        <v>8.9721246000000008</v>
      </c>
      <c r="G894" s="210" t="s">
        <v>13</v>
      </c>
      <c r="H894" s="211" t="s">
        <v>14</v>
      </c>
      <c r="I894" s="210">
        <v>1</v>
      </c>
      <c r="J894" s="210" t="s">
        <v>15</v>
      </c>
      <c r="K894" s="210" t="s">
        <v>54</v>
      </c>
      <c r="L894" s="211" t="s">
        <v>60</v>
      </c>
      <c r="M894" s="211" t="s">
        <v>56</v>
      </c>
    </row>
    <row r="895" spans="1:13" x14ac:dyDescent="0.2">
      <c r="A895" s="211" t="s">
        <v>55</v>
      </c>
      <c r="B895" s="211" t="s">
        <v>58</v>
      </c>
      <c r="C895" s="211" t="s">
        <v>19</v>
      </c>
      <c r="D895" s="211" t="s">
        <v>12</v>
      </c>
      <c r="E895" s="208">
        <v>43028</v>
      </c>
      <c r="F895" s="221">
        <v>2686.3079505000001</v>
      </c>
      <c r="G895" s="210" t="s">
        <v>16</v>
      </c>
      <c r="H895" s="211" t="s">
        <v>14</v>
      </c>
      <c r="I895" s="210">
        <v>1</v>
      </c>
      <c r="J895" s="210" t="s">
        <v>15</v>
      </c>
      <c r="K895" s="210" t="s">
        <v>54</v>
      </c>
      <c r="L895" s="211" t="s">
        <v>60</v>
      </c>
      <c r="M895" s="211" t="s">
        <v>56</v>
      </c>
    </row>
    <row r="896" spans="1:13" x14ac:dyDescent="0.2">
      <c r="A896" s="211" t="s">
        <v>55</v>
      </c>
      <c r="B896" s="211" t="s">
        <v>58</v>
      </c>
      <c r="C896" s="211" t="s">
        <v>19</v>
      </c>
      <c r="D896" s="211" t="s">
        <v>12</v>
      </c>
      <c r="E896" s="208">
        <v>43028</v>
      </c>
      <c r="F896" s="209">
        <v>8.67</v>
      </c>
      <c r="G896" s="210" t="s">
        <v>13</v>
      </c>
      <c r="H896" s="211" t="s">
        <v>18</v>
      </c>
      <c r="I896" s="210">
        <v>1</v>
      </c>
      <c r="J896" s="210" t="s">
        <v>15</v>
      </c>
      <c r="K896" s="210" t="s">
        <v>54</v>
      </c>
      <c r="L896" s="211" t="s">
        <v>60</v>
      </c>
      <c r="M896" s="211" t="s">
        <v>17</v>
      </c>
    </row>
    <row r="897" spans="1:13" x14ac:dyDescent="0.2">
      <c r="A897" s="211" t="s">
        <v>55</v>
      </c>
      <c r="B897" s="211" t="s">
        <v>58</v>
      </c>
      <c r="C897" s="211" t="s">
        <v>19</v>
      </c>
      <c r="D897" s="211" t="s">
        <v>12</v>
      </c>
      <c r="E897" s="208">
        <v>43028</v>
      </c>
      <c r="F897" s="221">
        <v>2595.8500199999999</v>
      </c>
      <c r="G897" s="210" t="s">
        <v>16</v>
      </c>
      <c r="H897" s="211" t="s">
        <v>18</v>
      </c>
      <c r="I897" s="210">
        <v>1</v>
      </c>
      <c r="J897" s="210" t="s">
        <v>15</v>
      </c>
      <c r="K897" s="210" t="s">
        <v>54</v>
      </c>
      <c r="L897" s="211" t="s">
        <v>60</v>
      </c>
      <c r="M897" s="211" t="s">
        <v>17</v>
      </c>
    </row>
    <row r="898" spans="1:13" x14ac:dyDescent="0.2">
      <c r="A898" s="211" t="s">
        <v>55</v>
      </c>
      <c r="B898" s="211" t="s">
        <v>58</v>
      </c>
      <c r="C898" s="211" t="s">
        <v>19</v>
      </c>
      <c r="D898" s="211" t="s">
        <v>12</v>
      </c>
      <c r="E898" s="208">
        <v>43027</v>
      </c>
      <c r="F898" s="209">
        <v>8.3223131000000006</v>
      </c>
      <c r="G898" s="210" t="s">
        <v>13</v>
      </c>
      <c r="H898" s="211" t="s">
        <v>14</v>
      </c>
      <c r="I898" s="210">
        <v>1</v>
      </c>
      <c r="J898" s="210" t="s">
        <v>15</v>
      </c>
      <c r="K898" s="210" t="s">
        <v>54</v>
      </c>
      <c r="L898" s="211" t="s">
        <v>60</v>
      </c>
      <c r="M898" s="211" t="s">
        <v>56</v>
      </c>
    </row>
    <row r="899" spans="1:13" x14ac:dyDescent="0.2">
      <c r="A899" s="211" t="s">
        <v>55</v>
      </c>
      <c r="B899" s="211" t="s">
        <v>58</v>
      </c>
      <c r="C899" s="211" t="s">
        <v>19</v>
      </c>
      <c r="D899" s="211" t="s">
        <v>12</v>
      </c>
      <c r="E899" s="208">
        <v>43027</v>
      </c>
      <c r="F899" s="221">
        <v>2089.1835655999998</v>
      </c>
      <c r="G899" s="210" t="s">
        <v>16</v>
      </c>
      <c r="H899" s="211" t="s">
        <v>14</v>
      </c>
      <c r="I899" s="210">
        <v>1</v>
      </c>
      <c r="J899" s="210" t="s">
        <v>15</v>
      </c>
      <c r="K899" s="210" t="s">
        <v>54</v>
      </c>
      <c r="L899" s="211" t="s">
        <v>60</v>
      </c>
      <c r="M899" s="211" t="s">
        <v>56</v>
      </c>
    </row>
    <row r="900" spans="1:13" x14ac:dyDescent="0.2">
      <c r="A900" s="211" t="s">
        <v>55</v>
      </c>
      <c r="B900" s="211" t="s">
        <v>58</v>
      </c>
      <c r="C900" s="211" t="s">
        <v>19</v>
      </c>
      <c r="D900" s="211" t="s">
        <v>12</v>
      </c>
      <c r="E900" s="208">
        <v>43027</v>
      </c>
      <c r="F900" s="209">
        <v>7.25</v>
      </c>
      <c r="G900" s="210" t="s">
        <v>13</v>
      </c>
      <c r="H900" s="211" t="s">
        <v>18</v>
      </c>
      <c r="I900" s="210">
        <v>1</v>
      </c>
      <c r="J900" s="210" t="s">
        <v>15</v>
      </c>
      <c r="K900" s="210" t="s">
        <v>54</v>
      </c>
      <c r="L900" s="211" t="s">
        <v>60</v>
      </c>
      <c r="M900" s="211" t="s">
        <v>17</v>
      </c>
    </row>
    <row r="901" spans="1:13" x14ac:dyDescent="0.2">
      <c r="A901" s="211" t="s">
        <v>55</v>
      </c>
      <c r="B901" s="211" t="s">
        <v>58</v>
      </c>
      <c r="C901" s="211" t="s">
        <v>19</v>
      </c>
      <c r="D901" s="211" t="s">
        <v>12</v>
      </c>
      <c r="E901" s="208">
        <v>43027</v>
      </c>
      <c r="F901" s="221">
        <v>1819.9965</v>
      </c>
      <c r="G901" s="210" t="s">
        <v>16</v>
      </c>
      <c r="H901" s="211" t="s">
        <v>18</v>
      </c>
      <c r="I901" s="210">
        <v>1</v>
      </c>
      <c r="J901" s="210" t="s">
        <v>15</v>
      </c>
      <c r="K901" s="210" t="s">
        <v>54</v>
      </c>
      <c r="L901" s="211" t="s">
        <v>60</v>
      </c>
      <c r="M901" s="211" t="s">
        <v>17</v>
      </c>
    </row>
    <row r="902" spans="1:13" x14ac:dyDescent="0.2">
      <c r="A902" s="211" t="s">
        <v>55</v>
      </c>
      <c r="B902" s="211" t="s">
        <v>58</v>
      </c>
      <c r="C902" s="211" t="s">
        <v>19</v>
      </c>
      <c r="D902" s="211" t="s">
        <v>12</v>
      </c>
      <c r="E902" s="208">
        <v>43026</v>
      </c>
      <c r="F902" s="209">
        <v>8.5559522999999995</v>
      </c>
      <c r="G902" s="210" t="s">
        <v>13</v>
      </c>
      <c r="H902" s="211" t="s">
        <v>14</v>
      </c>
      <c r="I902" s="210">
        <v>1</v>
      </c>
      <c r="J902" s="210" t="s">
        <v>15</v>
      </c>
      <c r="K902" s="210" t="s">
        <v>54</v>
      </c>
      <c r="L902" s="211" t="s">
        <v>60</v>
      </c>
      <c r="M902" s="211" t="s">
        <v>56</v>
      </c>
    </row>
    <row r="903" spans="1:13" x14ac:dyDescent="0.2">
      <c r="A903" s="211" t="s">
        <v>55</v>
      </c>
      <c r="B903" s="211" t="s">
        <v>58</v>
      </c>
      <c r="C903" s="211" t="s">
        <v>19</v>
      </c>
      <c r="D903" s="211" t="s">
        <v>12</v>
      </c>
      <c r="E903" s="208">
        <v>43026</v>
      </c>
      <c r="F903" s="221">
        <v>2183.5132546</v>
      </c>
      <c r="G903" s="210" t="s">
        <v>16</v>
      </c>
      <c r="H903" s="211" t="s">
        <v>14</v>
      </c>
      <c r="I903" s="210">
        <v>1</v>
      </c>
      <c r="J903" s="210" t="s">
        <v>15</v>
      </c>
      <c r="K903" s="210" t="s">
        <v>54</v>
      </c>
      <c r="L903" s="211" t="s">
        <v>60</v>
      </c>
      <c r="M903" s="211" t="s">
        <v>56</v>
      </c>
    </row>
    <row r="904" spans="1:13" x14ac:dyDescent="0.2">
      <c r="A904" s="211" t="s">
        <v>55</v>
      </c>
      <c r="B904" s="211" t="s">
        <v>58</v>
      </c>
      <c r="C904" s="211" t="s">
        <v>19</v>
      </c>
      <c r="D904" s="211" t="s">
        <v>12</v>
      </c>
      <c r="E904" s="208">
        <v>43026</v>
      </c>
      <c r="F904" s="209">
        <v>6.69</v>
      </c>
      <c r="G904" s="210" t="s">
        <v>13</v>
      </c>
      <c r="H904" s="211" t="s">
        <v>18</v>
      </c>
      <c r="I904" s="210">
        <v>1</v>
      </c>
      <c r="J904" s="210" t="s">
        <v>15</v>
      </c>
      <c r="K904" s="210" t="s">
        <v>54</v>
      </c>
      <c r="L904" s="211" t="s">
        <v>60</v>
      </c>
      <c r="M904" s="211" t="s">
        <v>17</v>
      </c>
    </row>
    <row r="905" spans="1:13" x14ac:dyDescent="0.2">
      <c r="A905" s="211" t="s">
        <v>55</v>
      </c>
      <c r="B905" s="211" t="s">
        <v>58</v>
      </c>
      <c r="C905" s="211" t="s">
        <v>19</v>
      </c>
      <c r="D905" s="211" t="s">
        <v>12</v>
      </c>
      <c r="E905" s="208">
        <v>43026</v>
      </c>
      <c r="F905" s="221">
        <v>1707.31476</v>
      </c>
      <c r="G905" s="210" t="s">
        <v>16</v>
      </c>
      <c r="H905" s="211" t="s">
        <v>18</v>
      </c>
      <c r="I905" s="210">
        <v>1</v>
      </c>
      <c r="J905" s="210" t="s">
        <v>15</v>
      </c>
      <c r="K905" s="210" t="s">
        <v>54</v>
      </c>
      <c r="L905" s="211" t="s">
        <v>60</v>
      </c>
      <c r="M905" s="211" t="s">
        <v>17</v>
      </c>
    </row>
    <row r="906" spans="1:13" x14ac:dyDescent="0.2">
      <c r="A906" s="211" t="s">
        <v>55</v>
      </c>
      <c r="B906" s="211" t="s">
        <v>58</v>
      </c>
      <c r="C906" s="211" t="s">
        <v>19</v>
      </c>
      <c r="D906" s="211" t="s">
        <v>12</v>
      </c>
      <c r="E906" s="208">
        <v>43025</v>
      </c>
      <c r="F906" s="209">
        <v>10.419826199999999</v>
      </c>
      <c r="G906" s="210" t="s">
        <v>13</v>
      </c>
      <c r="H906" s="211" t="s">
        <v>14</v>
      </c>
      <c r="I906" s="210">
        <v>1</v>
      </c>
      <c r="J906" s="210" t="s">
        <v>15</v>
      </c>
      <c r="K906" s="210" t="s">
        <v>54</v>
      </c>
      <c r="L906" s="211" t="s">
        <v>60</v>
      </c>
      <c r="M906" s="211" t="s">
        <v>56</v>
      </c>
    </row>
    <row r="907" spans="1:13" x14ac:dyDescent="0.2">
      <c r="A907" s="211" t="s">
        <v>55</v>
      </c>
      <c r="B907" s="211" t="s">
        <v>58</v>
      </c>
      <c r="C907" s="211" t="s">
        <v>19</v>
      </c>
      <c r="D907" s="211" t="s">
        <v>12</v>
      </c>
      <c r="E907" s="208">
        <v>43025</v>
      </c>
      <c r="F907" s="221">
        <v>3232.7302638000001</v>
      </c>
      <c r="G907" s="210" t="s">
        <v>16</v>
      </c>
      <c r="H907" s="211" t="s">
        <v>14</v>
      </c>
      <c r="I907" s="210">
        <v>1</v>
      </c>
      <c r="J907" s="210" t="s">
        <v>15</v>
      </c>
      <c r="K907" s="210" t="s">
        <v>54</v>
      </c>
      <c r="L907" s="211" t="s">
        <v>60</v>
      </c>
      <c r="M907" s="211" t="s">
        <v>56</v>
      </c>
    </row>
    <row r="908" spans="1:13" x14ac:dyDescent="0.2">
      <c r="A908" s="211" t="s">
        <v>55</v>
      </c>
      <c r="B908" s="211" t="s">
        <v>58</v>
      </c>
      <c r="C908" s="211" t="s">
        <v>19</v>
      </c>
      <c r="D908" s="211" t="s">
        <v>12</v>
      </c>
      <c r="E908" s="208">
        <v>43025</v>
      </c>
      <c r="F908" s="209">
        <v>6.84</v>
      </c>
      <c r="G908" s="210" t="s">
        <v>13</v>
      </c>
      <c r="H908" s="211" t="s">
        <v>18</v>
      </c>
      <c r="I908" s="210">
        <v>1</v>
      </c>
      <c r="J908" s="210" t="s">
        <v>15</v>
      </c>
      <c r="K908" s="210" t="s">
        <v>54</v>
      </c>
      <c r="L908" s="211" t="s">
        <v>60</v>
      </c>
      <c r="M908" s="211" t="s">
        <v>17</v>
      </c>
    </row>
    <row r="909" spans="1:13" x14ac:dyDescent="0.2">
      <c r="A909" s="211" t="s">
        <v>55</v>
      </c>
      <c r="B909" s="211" t="s">
        <v>58</v>
      </c>
      <c r="C909" s="211" t="s">
        <v>19</v>
      </c>
      <c r="D909" s="211" t="s">
        <v>12</v>
      </c>
      <c r="E909" s="208">
        <v>43025</v>
      </c>
      <c r="F909" s="221">
        <v>2122.0963200000001</v>
      </c>
      <c r="G909" s="210" t="s">
        <v>16</v>
      </c>
      <c r="H909" s="211" t="s">
        <v>18</v>
      </c>
      <c r="I909" s="210">
        <v>1</v>
      </c>
      <c r="J909" s="210" t="s">
        <v>15</v>
      </c>
      <c r="K909" s="210" t="s">
        <v>54</v>
      </c>
      <c r="L909" s="211" t="s">
        <v>60</v>
      </c>
      <c r="M909" s="211" t="s">
        <v>17</v>
      </c>
    </row>
    <row r="910" spans="1:13" x14ac:dyDescent="0.2">
      <c r="A910" s="211" t="s">
        <v>55</v>
      </c>
      <c r="B910" s="211" t="s">
        <v>58</v>
      </c>
      <c r="C910" s="211" t="s">
        <v>19</v>
      </c>
      <c r="D910" s="211" t="s">
        <v>12</v>
      </c>
      <c r="E910" s="208">
        <v>43024</v>
      </c>
      <c r="F910" s="209">
        <v>5.4162011000000003</v>
      </c>
      <c r="G910" s="210" t="s">
        <v>13</v>
      </c>
      <c r="H910" s="211" t="s">
        <v>14</v>
      </c>
      <c r="I910" s="210">
        <v>1</v>
      </c>
      <c r="J910" s="210" t="s">
        <v>15</v>
      </c>
      <c r="K910" s="210" t="s">
        <v>54</v>
      </c>
      <c r="L910" s="211" t="s">
        <v>60</v>
      </c>
      <c r="M910" s="211" t="s">
        <v>56</v>
      </c>
    </row>
    <row r="911" spans="1:13" x14ac:dyDescent="0.2">
      <c r="A911" s="211" t="s">
        <v>55</v>
      </c>
      <c r="B911" s="211" t="s">
        <v>58</v>
      </c>
      <c r="C911" s="211" t="s">
        <v>19</v>
      </c>
      <c r="D911" s="211" t="s">
        <v>12</v>
      </c>
      <c r="E911" s="208">
        <v>43024</v>
      </c>
      <c r="F911" s="221">
        <v>1617.126</v>
      </c>
      <c r="G911" s="210" t="s">
        <v>16</v>
      </c>
      <c r="H911" s="211" t="s">
        <v>14</v>
      </c>
      <c r="I911" s="210">
        <v>1</v>
      </c>
      <c r="J911" s="210" t="s">
        <v>15</v>
      </c>
      <c r="K911" s="210" t="s">
        <v>54</v>
      </c>
      <c r="L911" s="211" t="s">
        <v>60</v>
      </c>
      <c r="M911" s="211" t="s">
        <v>56</v>
      </c>
    </row>
    <row r="912" spans="1:13" x14ac:dyDescent="0.2">
      <c r="A912" s="211" t="s">
        <v>55</v>
      </c>
      <c r="B912" s="211" t="s">
        <v>58</v>
      </c>
      <c r="C912" s="211" t="s">
        <v>19</v>
      </c>
      <c r="D912" s="211" t="s">
        <v>12</v>
      </c>
      <c r="E912" s="208">
        <v>43024</v>
      </c>
      <c r="F912" s="209">
        <v>6.24</v>
      </c>
      <c r="G912" s="210" t="s">
        <v>13</v>
      </c>
      <c r="H912" s="211" t="s">
        <v>18</v>
      </c>
      <c r="I912" s="210">
        <v>1</v>
      </c>
      <c r="J912" s="210" t="s">
        <v>15</v>
      </c>
      <c r="K912" s="210" t="s">
        <v>54</v>
      </c>
      <c r="L912" s="211" t="s">
        <v>60</v>
      </c>
      <c r="M912" s="211" t="s">
        <v>17</v>
      </c>
    </row>
    <row r="913" spans="1:13" x14ac:dyDescent="0.2">
      <c r="A913" s="211" t="s">
        <v>55</v>
      </c>
      <c r="B913" s="211" t="s">
        <v>58</v>
      </c>
      <c r="C913" s="211" t="s">
        <v>19</v>
      </c>
      <c r="D913" s="211" t="s">
        <v>12</v>
      </c>
      <c r="E913" s="208">
        <v>43024</v>
      </c>
      <c r="F913" s="221">
        <v>1863.0892799999999</v>
      </c>
      <c r="G913" s="210" t="s">
        <v>16</v>
      </c>
      <c r="H913" s="211" t="s">
        <v>18</v>
      </c>
      <c r="I913" s="210">
        <v>1</v>
      </c>
      <c r="J913" s="210" t="s">
        <v>15</v>
      </c>
      <c r="K913" s="210" t="s">
        <v>54</v>
      </c>
      <c r="L913" s="211" t="s">
        <v>60</v>
      </c>
      <c r="M913" s="211" t="s">
        <v>17</v>
      </c>
    </row>
    <row r="914" spans="1:13" x14ac:dyDescent="0.2">
      <c r="A914" s="211" t="s">
        <v>55</v>
      </c>
      <c r="B914" s="211" t="s">
        <v>58</v>
      </c>
      <c r="C914" s="211" t="s">
        <v>19</v>
      </c>
      <c r="D914" s="211" t="s">
        <v>12</v>
      </c>
      <c r="E914" s="208">
        <v>43023</v>
      </c>
      <c r="F914" s="209">
        <v>9.0222551000000006</v>
      </c>
      <c r="G914" s="210" t="s">
        <v>13</v>
      </c>
      <c r="H914" s="211" t="s">
        <v>14</v>
      </c>
      <c r="I914" s="210">
        <v>1</v>
      </c>
      <c r="J914" s="210" t="s">
        <v>15</v>
      </c>
      <c r="K914" s="210" t="s">
        <v>54</v>
      </c>
      <c r="L914" s="211" t="s">
        <v>60</v>
      </c>
      <c r="M914" s="211" t="s">
        <v>56</v>
      </c>
    </row>
    <row r="915" spans="1:13" x14ac:dyDescent="0.2">
      <c r="A915" s="211" t="s">
        <v>55</v>
      </c>
      <c r="B915" s="211" t="s">
        <v>58</v>
      </c>
      <c r="C915" s="211" t="s">
        <v>19</v>
      </c>
      <c r="D915" s="211" t="s">
        <v>12</v>
      </c>
      <c r="E915" s="208">
        <v>43023</v>
      </c>
      <c r="F915" s="221">
        <v>2949.6278160000002</v>
      </c>
      <c r="G915" s="210" t="s">
        <v>16</v>
      </c>
      <c r="H915" s="211" t="s">
        <v>14</v>
      </c>
      <c r="I915" s="210">
        <v>1</v>
      </c>
      <c r="J915" s="210" t="s">
        <v>15</v>
      </c>
      <c r="K915" s="210" t="s">
        <v>54</v>
      </c>
      <c r="L915" s="211" t="s">
        <v>60</v>
      </c>
      <c r="M915" s="211" t="s">
        <v>56</v>
      </c>
    </row>
    <row r="916" spans="1:13" x14ac:dyDescent="0.2">
      <c r="A916" s="211" t="s">
        <v>55</v>
      </c>
      <c r="B916" s="211" t="s">
        <v>58</v>
      </c>
      <c r="C916" s="211" t="s">
        <v>19</v>
      </c>
      <c r="D916" s="211" t="s">
        <v>12</v>
      </c>
      <c r="E916" s="208">
        <v>43023</v>
      </c>
      <c r="F916" s="209">
        <v>5.13</v>
      </c>
      <c r="G916" s="210" t="s">
        <v>13</v>
      </c>
      <c r="H916" s="211" t="s">
        <v>18</v>
      </c>
      <c r="I916" s="210">
        <v>1</v>
      </c>
      <c r="J916" s="210" t="s">
        <v>15</v>
      </c>
      <c r="K916" s="210" t="s">
        <v>54</v>
      </c>
      <c r="L916" s="211" t="s">
        <v>60</v>
      </c>
      <c r="M916" s="211" t="s">
        <v>17</v>
      </c>
    </row>
    <row r="917" spans="1:13" x14ac:dyDescent="0.2">
      <c r="A917" s="211" t="s">
        <v>55</v>
      </c>
      <c r="B917" s="211" t="s">
        <v>58</v>
      </c>
      <c r="C917" s="211" t="s">
        <v>19</v>
      </c>
      <c r="D917" s="211" t="s">
        <v>12</v>
      </c>
      <c r="E917" s="208">
        <v>43023</v>
      </c>
      <c r="F917" s="221">
        <v>1677.1406400000001</v>
      </c>
      <c r="G917" s="210" t="s">
        <v>16</v>
      </c>
      <c r="H917" s="211" t="s">
        <v>18</v>
      </c>
      <c r="I917" s="210">
        <v>1</v>
      </c>
      <c r="J917" s="210" t="s">
        <v>15</v>
      </c>
      <c r="K917" s="210" t="s">
        <v>54</v>
      </c>
      <c r="L917" s="211" t="s">
        <v>60</v>
      </c>
      <c r="M917" s="211" t="s">
        <v>17</v>
      </c>
    </row>
    <row r="918" spans="1:13" x14ac:dyDescent="0.2">
      <c r="A918" s="211" t="s">
        <v>55</v>
      </c>
      <c r="B918" s="211" t="s">
        <v>58</v>
      </c>
      <c r="C918" s="211" t="s">
        <v>19</v>
      </c>
      <c r="D918" s="211" t="s">
        <v>12</v>
      </c>
      <c r="E918" s="208">
        <v>43022</v>
      </c>
      <c r="F918" s="209">
        <v>8.2145778000000007</v>
      </c>
      <c r="G918" s="210" t="s">
        <v>13</v>
      </c>
      <c r="H918" s="211" t="s">
        <v>14</v>
      </c>
      <c r="I918" s="210">
        <v>1</v>
      </c>
      <c r="J918" s="210" t="s">
        <v>15</v>
      </c>
      <c r="K918" s="210" t="s">
        <v>54</v>
      </c>
      <c r="L918" s="211" t="s">
        <v>60</v>
      </c>
      <c r="M918" s="211" t="s">
        <v>56</v>
      </c>
    </row>
    <row r="919" spans="1:13" x14ac:dyDescent="0.2">
      <c r="A919" s="211" t="s">
        <v>55</v>
      </c>
      <c r="B919" s="211" t="s">
        <v>58</v>
      </c>
      <c r="C919" s="211" t="s">
        <v>19</v>
      </c>
      <c r="D919" s="211" t="s">
        <v>12</v>
      </c>
      <c r="E919" s="208">
        <v>43022</v>
      </c>
      <c r="F919" s="221">
        <v>2904.8061539999999</v>
      </c>
      <c r="G919" s="210" t="s">
        <v>16</v>
      </c>
      <c r="H919" s="211" t="s">
        <v>14</v>
      </c>
      <c r="I919" s="210">
        <v>1</v>
      </c>
      <c r="J919" s="210" t="s">
        <v>15</v>
      </c>
      <c r="K919" s="210" t="s">
        <v>54</v>
      </c>
      <c r="L919" s="211" t="s">
        <v>60</v>
      </c>
      <c r="M919" s="211" t="s">
        <v>56</v>
      </c>
    </row>
    <row r="920" spans="1:13" x14ac:dyDescent="0.2">
      <c r="A920" s="211" t="s">
        <v>55</v>
      </c>
      <c r="B920" s="211" t="s">
        <v>58</v>
      </c>
      <c r="C920" s="211" t="s">
        <v>19</v>
      </c>
      <c r="D920" s="211" t="s">
        <v>12</v>
      </c>
      <c r="E920" s="208">
        <v>43022</v>
      </c>
      <c r="F920" s="209">
        <v>7.16</v>
      </c>
      <c r="G920" s="210" t="s">
        <v>13</v>
      </c>
      <c r="H920" s="211" t="s">
        <v>18</v>
      </c>
      <c r="I920" s="210">
        <v>1</v>
      </c>
      <c r="J920" s="210" t="s">
        <v>15</v>
      </c>
      <c r="K920" s="210" t="s">
        <v>54</v>
      </c>
      <c r="L920" s="211" t="s">
        <v>60</v>
      </c>
      <c r="M920" s="211" t="s">
        <v>17</v>
      </c>
    </row>
    <row r="921" spans="1:13" x14ac:dyDescent="0.2">
      <c r="A921" s="211" t="s">
        <v>55</v>
      </c>
      <c r="B921" s="211" t="s">
        <v>58</v>
      </c>
      <c r="C921" s="211" t="s">
        <v>19</v>
      </c>
      <c r="D921" s="211" t="s">
        <v>12</v>
      </c>
      <c r="E921" s="208">
        <v>43022</v>
      </c>
      <c r="F921" s="221">
        <v>2531.8905599999998</v>
      </c>
      <c r="G921" s="210" t="s">
        <v>16</v>
      </c>
      <c r="H921" s="211" t="s">
        <v>18</v>
      </c>
      <c r="I921" s="210">
        <v>1</v>
      </c>
      <c r="J921" s="210" t="s">
        <v>15</v>
      </c>
      <c r="K921" s="210" t="s">
        <v>54</v>
      </c>
      <c r="L921" s="211" t="s">
        <v>60</v>
      </c>
      <c r="M921" s="211" t="s">
        <v>17</v>
      </c>
    </row>
    <row r="922" spans="1:13" x14ac:dyDescent="0.2">
      <c r="A922" s="211" t="s">
        <v>55</v>
      </c>
      <c r="B922" s="211" t="s">
        <v>58</v>
      </c>
      <c r="C922" s="211" t="s">
        <v>19</v>
      </c>
      <c r="D922" s="211" t="s">
        <v>12</v>
      </c>
      <c r="E922" s="208">
        <v>43021</v>
      </c>
      <c r="F922" s="209">
        <v>10.3422546</v>
      </c>
      <c r="G922" s="210" t="s">
        <v>13</v>
      </c>
      <c r="H922" s="211" t="s">
        <v>14</v>
      </c>
      <c r="I922" s="210">
        <v>1</v>
      </c>
      <c r="J922" s="210" t="s">
        <v>15</v>
      </c>
      <c r="K922" s="210" t="s">
        <v>54</v>
      </c>
      <c r="L922" s="211" t="s">
        <v>60</v>
      </c>
      <c r="M922" s="211" t="s">
        <v>56</v>
      </c>
    </row>
    <row r="923" spans="1:13" x14ac:dyDescent="0.2">
      <c r="A923" s="211" t="s">
        <v>55</v>
      </c>
      <c r="B923" s="211" t="s">
        <v>58</v>
      </c>
      <c r="C923" s="211" t="s">
        <v>19</v>
      </c>
      <c r="D923" s="211" t="s">
        <v>12</v>
      </c>
      <c r="E923" s="208">
        <v>43021</v>
      </c>
      <c r="F923" s="221">
        <v>3251.7910200000001</v>
      </c>
      <c r="G923" s="210" t="s">
        <v>16</v>
      </c>
      <c r="H923" s="211" t="s">
        <v>14</v>
      </c>
      <c r="I923" s="210">
        <v>1</v>
      </c>
      <c r="J923" s="210" t="s">
        <v>15</v>
      </c>
      <c r="K923" s="210" t="s">
        <v>54</v>
      </c>
      <c r="L923" s="211" t="s">
        <v>60</v>
      </c>
      <c r="M923" s="211" t="s">
        <v>56</v>
      </c>
    </row>
    <row r="924" spans="1:13" x14ac:dyDescent="0.2">
      <c r="A924" s="211" t="s">
        <v>55</v>
      </c>
      <c r="B924" s="211" t="s">
        <v>58</v>
      </c>
      <c r="C924" s="211" t="s">
        <v>19</v>
      </c>
      <c r="D924" s="211" t="s">
        <v>12</v>
      </c>
      <c r="E924" s="208">
        <v>43021</v>
      </c>
      <c r="F924" s="209">
        <v>8.91</v>
      </c>
      <c r="G924" s="210" t="s">
        <v>13</v>
      </c>
      <c r="H924" s="211" t="s">
        <v>18</v>
      </c>
      <c r="I924" s="210">
        <v>1</v>
      </c>
      <c r="J924" s="210" t="s">
        <v>15</v>
      </c>
      <c r="K924" s="210" t="s">
        <v>54</v>
      </c>
      <c r="L924" s="211" t="s">
        <v>60</v>
      </c>
      <c r="M924" s="211" t="s">
        <v>17</v>
      </c>
    </row>
    <row r="925" spans="1:13" x14ac:dyDescent="0.2">
      <c r="A925" s="211" t="s">
        <v>55</v>
      </c>
      <c r="B925" s="211" t="s">
        <v>58</v>
      </c>
      <c r="C925" s="211" t="s">
        <v>19</v>
      </c>
      <c r="D925" s="211" t="s">
        <v>12</v>
      </c>
      <c r="E925" s="208">
        <v>43021</v>
      </c>
      <c r="F925" s="221">
        <v>2801.4643799999999</v>
      </c>
      <c r="G925" s="210" t="s">
        <v>16</v>
      </c>
      <c r="H925" s="211" t="s">
        <v>18</v>
      </c>
      <c r="I925" s="210">
        <v>1</v>
      </c>
      <c r="J925" s="210" t="s">
        <v>15</v>
      </c>
      <c r="K925" s="210" t="s">
        <v>54</v>
      </c>
      <c r="L925" s="211" t="s">
        <v>60</v>
      </c>
      <c r="M925" s="211" t="s">
        <v>17</v>
      </c>
    </row>
    <row r="926" spans="1:13" x14ac:dyDescent="0.2">
      <c r="A926" s="211" t="s">
        <v>55</v>
      </c>
      <c r="B926" s="211" t="s">
        <v>58</v>
      </c>
      <c r="C926" s="211" t="s">
        <v>19</v>
      </c>
      <c r="D926" s="211" t="s">
        <v>12</v>
      </c>
      <c r="E926" s="208">
        <v>43020</v>
      </c>
      <c r="F926" s="209">
        <v>16.737322800000001</v>
      </c>
      <c r="G926" s="210" t="s">
        <v>13</v>
      </c>
      <c r="H926" s="211" t="s">
        <v>14</v>
      </c>
      <c r="I926" s="210">
        <v>1</v>
      </c>
      <c r="J926" s="210" t="s">
        <v>15</v>
      </c>
      <c r="K926" s="210" t="s">
        <v>54</v>
      </c>
      <c r="L926" s="211" t="s">
        <v>60</v>
      </c>
      <c r="M926" s="211" t="s">
        <v>56</v>
      </c>
    </row>
    <row r="927" spans="1:13" x14ac:dyDescent="0.2">
      <c r="A927" s="211" t="s">
        <v>55</v>
      </c>
      <c r="B927" s="211" t="s">
        <v>58</v>
      </c>
      <c r="C927" s="211" t="s">
        <v>19</v>
      </c>
      <c r="D927" s="211" t="s">
        <v>12</v>
      </c>
      <c r="E927" s="208">
        <v>43020</v>
      </c>
      <c r="F927" s="221">
        <v>5318.3512799999999</v>
      </c>
      <c r="G927" s="210" t="s">
        <v>16</v>
      </c>
      <c r="H927" s="211" t="s">
        <v>14</v>
      </c>
      <c r="I927" s="210">
        <v>1</v>
      </c>
      <c r="J927" s="210" t="s">
        <v>15</v>
      </c>
      <c r="K927" s="210" t="s">
        <v>54</v>
      </c>
      <c r="L927" s="211" t="s">
        <v>60</v>
      </c>
      <c r="M927" s="211" t="s">
        <v>56</v>
      </c>
    </row>
    <row r="928" spans="1:13" x14ac:dyDescent="0.2">
      <c r="A928" s="211" t="s">
        <v>55</v>
      </c>
      <c r="B928" s="211" t="s">
        <v>58</v>
      </c>
      <c r="C928" s="211" t="s">
        <v>19</v>
      </c>
      <c r="D928" s="211" t="s">
        <v>12</v>
      </c>
      <c r="E928" s="208">
        <v>43020</v>
      </c>
      <c r="F928" s="209">
        <v>6.49</v>
      </c>
      <c r="G928" s="210" t="s">
        <v>13</v>
      </c>
      <c r="H928" s="211" t="s">
        <v>18</v>
      </c>
      <c r="I928" s="210">
        <v>1</v>
      </c>
      <c r="J928" s="210" t="s">
        <v>15</v>
      </c>
      <c r="K928" s="210" t="s">
        <v>54</v>
      </c>
      <c r="L928" s="211" t="s">
        <v>60</v>
      </c>
      <c r="M928" s="211" t="s">
        <v>17</v>
      </c>
    </row>
    <row r="929" spans="1:13" x14ac:dyDescent="0.2">
      <c r="A929" s="211" t="s">
        <v>55</v>
      </c>
      <c r="B929" s="211" t="s">
        <v>58</v>
      </c>
      <c r="C929" s="211" t="s">
        <v>19</v>
      </c>
      <c r="D929" s="211" t="s">
        <v>12</v>
      </c>
      <c r="E929" s="208">
        <v>43020</v>
      </c>
      <c r="F929" s="221">
        <v>2062.2234600000002</v>
      </c>
      <c r="G929" s="210" t="s">
        <v>16</v>
      </c>
      <c r="H929" s="211" t="s">
        <v>18</v>
      </c>
      <c r="I929" s="210">
        <v>1</v>
      </c>
      <c r="J929" s="210" t="s">
        <v>15</v>
      </c>
      <c r="K929" s="210" t="s">
        <v>54</v>
      </c>
      <c r="L929" s="211" t="s">
        <v>60</v>
      </c>
      <c r="M929" s="211" t="s">
        <v>17</v>
      </c>
    </row>
    <row r="930" spans="1:13" x14ac:dyDescent="0.2">
      <c r="A930" s="211" t="s">
        <v>55</v>
      </c>
      <c r="B930" s="211" t="s">
        <v>58</v>
      </c>
      <c r="C930" s="211" t="s">
        <v>19</v>
      </c>
      <c r="D930" s="211" t="s">
        <v>12</v>
      </c>
      <c r="E930" s="208">
        <v>43019</v>
      </c>
      <c r="F930" s="209">
        <v>10.1493333</v>
      </c>
      <c r="G930" s="210" t="s">
        <v>13</v>
      </c>
      <c r="H930" s="211" t="s">
        <v>14</v>
      </c>
      <c r="I930" s="210">
        <v>1</v>
      </c>
      <c r="J930" s="210" t="s">
        <v>15</v>
      </c>
      <c r="K930" s="210" t="s">
        <v>54</v>
      </c>
      <c r="L930" s="211" t="s">
        <v>60</v>
      </c>
      <c r="M930" s="211" t="s">
        <v>56</v>
      </c>
    </row>
    <row r="931" spans="1:13" x14ac:dyDescent="0.2">
      <c r="A931" s="211" t="s">
        <v>55</v>
      </c>
      <c r="B931" s="211" t="s">
        <v>58</v>
      </c>
      <c r="C931" s="211" t="s">
        <v>19</v>
      </c>
      <c r="D931" s="211" t="s">
        <v>12</v>
      </c>
      <c r="E931" s="208">
        <v>43019</v>
      </c>
      <c r="F931" s="221">
        <v>3301.1721600000001</v>
      </c>
      <c r="G931" s="210" t="s">
        <v>16</v>
      </c>
      <c r="H931" s="211" t="s">
        <v>14</v>
      </c>
      <c r="I931" s="210">
        <v>1</v>
      </c>
      <c r="J931" s="210" t="s">
        <v>15</v>
      </c>
      <c r="K931" s="210" t="s">
        <v>54</v>
      </c>
      <c r="L931" s="211" t="s">
        <v>60</v>
      </c>
      <c r="M931" s="211" t="s">
        <v>56</v>
      </c>
    </row>
    <row r="932" spans="1:13" x14ac:dyDescent="0.2">
      <c r="A932" s="211" t="s">
        <v>55</v>
      </c>
      <c r="B932" s="211" t="s">
        <v>58</v>
      </c>
      <c r="C932" s="211" t="s">
        <v>19</v>
      </c>
      <c r="D932" s="211" t="s">
        <v>12</v>
      </c>
      <c r="E932" s="208">
        <v>43019</v>
      </c>
      <c r="F932" s="209">
        <v>4.5599999999999996</v>
      </c>
      <c r="G932" s="210" t="s">
        <v>13</v>
      </c>
      <c r="H932" s="211" t="s">
        <v>18</v>
      </c>
      <c r="I932" s="210">
        <v>1</v>
      </c>
      <c r="J932" s="210" t="s">
        <v>15</v>
      </c>
      <c r="K932" s="210" t="s">
        <v>54</v>
      </c>
      <c r="L932" s="211" t="s">
        <v>60</v>
      </c>
      <c r="M932" s="211" t="s">
        <v>17</v>
      </c>
    </row>
    <row r="933" spans="1:13" x14ac:dyDescent="0.2">
      <c r="A933" s="211" t="s">
        <v>55</v>
      </c>
      <c r="B933" s="211" t="s">
        <v>58</v>
      </c>
      <c r="C933" s="211" t="s">
        <v>19</v>
      </c>
      <c r="D933" s="211" t="s">
        <v>12</v>
      </c>
      <c r="E933" s="208">
        <v>43019</v>
      </c>
      <c r="F933" s="221">
        <v>1483.1856</v>
      </c>
      <c r="G933" s="210" t="s">
        <v>16</v>
      </c>
      <c r="H933" s="211" t="s">
        <v>18</v>
      </c>
      <c r="I933" s="210">
        <v>1</v>
      </c>
      <c r="J933" s="210" t="s">
        <v>15</v>
      </c>
      <c r="K933" s="210" t="s">
        <v>54</v>
      </c>
      <c r="L933" s="211" t="s">
        <v>60</v>
      </c>
      <c r="M933" s="211" t="s">
        <v>17</v>
      </c>
    </row>
    <row r="934" spans="1:13" x14ac:dyDescent="0.2">
      <c r="A934" s="211" t="s">
        <v>55</v>
      </c>
      <c r="B934" s="211" t="s">
        <v>58</v>
      </c>
      <c r="C934" s="211" t="s">
        <v>19</v>
      </c>
      <c r="D934" s="211" t="s">
        <v>12</v>
      </c>
      <c r="E934" s="208">
        <v>43018</v>
      </c>
      <c r="F934" s="209">
        <v>9.8292693999999994</v>
      </c>
      <c r="G934" s="210" t="s">
        <v>13</v>
      </c>
      <c r="H934" s="211" t="s">
        <v>14</v>
      </c>
      <c r="I934" s="210">
        <v>1</v>
      </c>
      <c r="J934" s="210" t="s">
        <v>15</v>
      </c>
      <c r="K934" s="210" t="s">
        <v>54</v>
      </c>
      <c r="L934" s="211" t="s">
        <v>60</v>
      </c>
      <c r="M934" s="211" t="s">
        <v>56</v>
      </c>
    </row>
    <row r="935" spans="1:13" x14ac:dyDescent="0.2">
      <c r="A935" s="211" t="s">
        <v>55</v>
      </c>
      <c r="B935" s="211" t="s">
        <v>58</v>
      </c>
      <c r="C935" s="211" t="s">
        <v>19</v>
      </c>
      <c r="D935" s="211" t="s">
        <v>12</v>
      </c>
      <c r="E935" s="208">
        <v>43018</v>
      </c>
      <c r="F935" s="221">
        <v>3590.55348</v>
      </c>
      <c r="G935" s="210" t="s">
        <v>16</v>
      </c>
      <c r="H935" s="211" t="s">
        <v>14</v>
      </c>
      <c r="I935" s="210">
        <v>1</v>
      </c>
      <c r="J935" s="210" t="s">
        <v>15</v>
      </c>
      <c r="K935" s="210" t="s">
        <v>54</v>
      </c>
      <c r="L935" s="211" t="s">
        <v>60</v>
      </c>
      <c r="M935" s="211" t="s">
        <v>56</v>
      </c>
    </row>
    <row r="936" spans="1:13" x14ac:dyDescent="0.2">
      <c r="A936" s="211" t="s">
        <v>55</v>
      </c>
      <c r="B936" s="211" t="s">
        <v>58</v>
      </c>
      <c r="C936" s="211" t="s">
        <v>19</v>
      </c>
      <c r="D936" s="211" t="s">
        <v>12</v>
      </c>
      <c r="E936" s="208">
        <v>43018</v>
      </c>
      <c r="F936" s="209">
        <v>6.26</v>
      </c>
      <c r="G936" s="210" t="s">
        <v>13</v>
      </c>
      <c r="H936" s="211" t="s">
        <v>18</v>
      </c>
      <c r="I936" s="210">
        <v>1</v>
      </c>
      <c r="J936" s="210" t="s">
        <v>15</v>
      </c>
      <c r="K936" s="210" t="s">
        <v>54</v>
      </c>
      <c r="L936" s="211" t="s">
        <v>60</v>
      </c>
      <c r="M936" s="211" t="s">
        <v>17</v>
      </c>
    </row>
    <row r="937" spans="1:13" x14ac:dyDescent="0.2">
      <c r="A937" s="211" t="s">
        <v>55</v>
      </c>
      <c r="B937" s="211" t="s">
        <v>58</v>
      </c>
      <c r="C937" s="211" t="s">
        <v>19</v>
      </c>
      <c r="D937" s="211" t="s">
        <v>12</v>
      </c>
      <c r="E937" s="208">
        <v>43018</v>
      </c>
      <c r="F937" s="221">
        <v>2286.7279199999998</v>
      </c>
      <c r="G937" s="210" t="s">
        <v>16</v>
      </c>
      <c r="H937" s="211" t="s">
        <v>18</v>
      </c>
      <c r="I937" s="210">
        <v>1</v>
      </c>
      <c r="J937" s="210" t="s">
        <v>15</v>
      </c>
      <c r="K937" s="210" t="s">
        <v>54</v>
      </c>
      <c r="L937" s="211" t="s">
        <v>60</v>
      </c>
      <c r="M937" s="211" t="s">
        <v>17</v>
      </c>
    </row>
    <row r="938" spans="1:13" x14ac:dyDescent="0.2">
      <c r="A938" s="211" t="s">
        <v>55</v>
      </c>
      <c r="B938" s="211" t="s">
        <v>58</v>
      </c>
      <c r="C938" s="211" t="s">
        <v>19</v>
      </c>
      <c r="D938" s="211" t="s">
        <v>12</v>
      </c>
      <c r="E938" s="208">
        <v>43017</v>
      </c>
      <c r="F938" s="209">
        <v>10.4448837</v>
      </c>
      <c r="G938" s="210" t="s">
        <v>13</v>
      </c>
      <c r="H938" s="211" t="s">
        <v>14</v>
      </c>
      <c r="I938" s="210">
        <v>1</v>
      </c>
      <c r="J938" s="210" t="s">
        <v>15</v>
      </c>
      <c r="K938" s="210" t="s">
        <v>54</v>
      </c>
      <c r="L938" s="211" t="s">
        <v>60</v>
      </c>
      <c r="M938" s="211" t="s">
        <v>56</v>
      </c>
    </row>
    <row r="939" spans="1:13" x14ac:dyDescent="0.2">
      <c r="A939" s="211" t="s">
        <v>55</v>
      </c>
      <c r="B939" s="211" t="s">
        <v>58</v>
      </c>
      <c r="C939" s="211" t="s">
        <v>19</v>
      </c>
      <c r="D939" s="211" t="s">
        <v>12</v>
      </c>
      <c r="E939" s="208">
        <v>43017</v>
      </c>
      <c r="F939" s="221">
        <v>2996.5953599999998</v>
      </c>
      <c r="G939" s="210" t="s">
        <v>16</v>
      </c>
      <c r="H939" s="211" t="s">
        <v>14</v>
      </c>
      <c r="I939" s="210">
        <v>1</v>
      </c>
      <c r="J939" s="210" t="s">
        <v>15</v>
      </c>
      <c r="K939" s="210" t="s">
        <v>54</v>
      </c>
      <c r="L939" s="211" t="s">
        <v>60</v>
      </c>
      <c r="M939" s="211" t="s">
        <v>56</v>
      </c>
    </row>
    <row r="940" spans="1:13" x14ac:dyDescent="0.2">
      <c r="A940" s="211" t="s">
        <v>55</v>
      </c>
      <c r="B940" s="211" t="s">
        <v>58</v>
      </c>
      <c r="C940" s="211" t="s">
        <v>19</v>
      </c>
      <c r="D940" s="211" t="s">
        <v>12</v>
      </c>
      <c r="E940" s="208">
        <v>43017</v>
      </c>
      <c r="F940" s="209">
        <v>5.59</v>
      </c>
      <c r="G940" s="210" t="s">
        <v>13</v>
      </c>
      <c r="H940" s="211" t="s">
        <v>18</v>
      </c>
      <c r="I940" s="210">
        <v>1</v>
      </c>
      <c r="J940" s="210" t="s">
        <v>15</v>
      </c>
      <c r="K940" s="210" t="s">
        <v>54</v>
      </c>
      <c r="L940" s="211" t="s">
        <v>60</v>
      </c>
      <c r="M940" s="211" t="s">
        <v>17</v>
      </c>
    </row>
    <row r="941" spans="1:13" x14ac:dyDescent="0.2">
      <c r="A941" s="211" t="s">
        <v>55</v>
      </c>
      <c r="B941" s="211" t="s">
        <v>58</v>
      </c>
      <c r="C941" s="211" t="s">
        <v>19</v>
      </c>
      <c r="D941" s="211" t="s">
        <v>12</v>
      </c>
      <c r="E941" s="208">
        <v>43017</v>
      </c>
      <c r="F941" s="221">
        <v>1603.74864</v>
      </c>
      <c r="G941" s="210" t="s">
        <v>16</v>
      </c>
      <c r="H941" s="211" t="s">
        <v>18</v>
      </c>
      <c r="I941" s="210">
        <v>1</v>
      </c>
      <c r="J941" s="210" t="s">
        <v>15</v>
      </c>
      <c r="K941" s="210" t="s">
        <v>54</v>
      </c>
      <c r="L941" s="211" t="s">
        <v>60</v>
      </c>
      <c r="M941" s="211" t="s">
        <v>17</v>
      </c>
    </row>
    <row r="942" spans="1:13" x14ac:dyDescent="0.2">
      <c r="A942" s="211" t="s">
        <v>55</v>
      </c>
      <c r="B942" s="211" t="s">
        <v>58</v>
      </c>
      <c r="C942" s="211" t="s">
        <v>19</v>
      </c>
      <c r="D942" s="211" t="s">
        <v>12</v>
      </c>
      <c r="E942" s="208">
        <v>43016</v>
      </c>
      <c r="F942" s="209">
        <v>9.0815792999999996</v>
      </c>
      <c r="G942" s="210" t="s">
        <v>13</v>
      </c>
      <c r="H942" s="211" t="s">
        <v>14</v>
      </c>
      <c r="I942" s="210">
        <v>1</v>
      </c>
      <c r="J942" s="210" t="s">
        <v>15</v>
      </c>
      <c r="K942" s="210" t="s">
        <v>54</v>
      </c>
      <c r="L942" s="211" t="s">
        <v>60</v>
      </c>
      <c r="M942" s="211" t="s">
        <v>56</v>
      </c>
    </row>
    <row r="943" spans="1:13" x14ac:dyDescent="0.2">
      <c r="A943" s="211" t="s">
        <v>55</v>
      </c>
      <c r="B943" s="211" t="s">
        <v>58</v>
      </c>
      <c r="C943" s="211" t="s">
        <v>19</v>
      </c>
      <c r="D943" s="211" t="s">
        <v>12</v>
      </c>
      <c r="E943" s="208">
        <v>43016</v>
      </c>
      <c r="F943" s="221">
        <v>2719.079358</v>
      </c>
      <c r="G943" s="210" t="s">
        <v>16</v>
      </c>
      <c r="H943" s="211" t="s">
        <v>14</v>
      </c>
      <c r="I943" s="210">
        <v>1</v>
      </c>
      <c r="J943" s="210" t="s">
        <v>15</v>
      </c>
      <c r="K943" s="210" t="s">
        <v>54</v>
      </c>
      <c r="L943" s="211" t="s">
        <v>60</v>
      </c>
      <c r="M943" s="211" t="s">
        <v>56</v>
      </c>
    </row>
    <row r="944" spans="1:13" x14ac:dyDescent="0.2">
      <c r="A944" s="211" t="s">
        <v>55</v>
      </c>
      <c r="B944" s="211" t="s">
        <v>58</v>
      </c>
      <c r="C944" s="211" t="s">
        <v>19</v>
      </c>
      <c r="D944" s="211" t="s">
        <v>12</v>
      </c>
      <c r="E944" s="208">
        <v>43016</v>
      </c>
      <c r="F944" s="209">
        <v>5.43</v>
      </c>
      <c r="G944" s="210" t="s">
        <v>13</v>
      </c>
      <c r="H944" s="211" t="s">
        <v>18</v>
      </c>
      <c r="I944" s="210">
        <v>1</v>
      </c>
      <c r="J944" s="210" t="s">
        <v>15</v>
      </c>
      <c r="K944" s="210" t="s">
        <v>54</v>
      </c>
      <c r="L944" s="211" t="s">
        <v>60</v>
      </c>
      <c r="M944" s="211" t="s">
        <v>17</v>
      </c>
    </row>
    <row r="945" spans="1:13" x14ac:dyDescent="0.2">
      <c r="A945" s="211" t="s">
        <v>55</v>
      </c>
      <c r="B945" s="211" t="s">
        <v>58</v>
      </c>
      <c r="C945" s="211" t="s">
        <v>19</v>
      </c>
      <c r="D945" s="211" t="s">
        <v>12</v>
      </c>
      <c r="E945" s="208">
        <v>43016</v>
      </c>
      <c r="F945" s="221">
        <v>1625.77458</v>
      </c>
      <c r="G945" s="210" t="s">
        <v>16</v>
      </c>
      <c r="H945" s="211" t="s">
        <v>18</v>
      </c>
      <c r="I945" s="210">
        <v>1</v>
      </c>
      <c r="J945" s="210" t="s">
        <v>15</v>
      </c>
      <c r="K945" s="210" t="s">
        <v>54</v>
      </c>
      <c r="L945" s="211" t="s">
        <v>60</v>
      </c>
      <c r="M945" s="211" t="s">
        <v>17</v>
      </c>
    </row>
    <row r="946" spans="1:13" x14ac:dyDescent="0.2">
      <c r="A946" s="211" t="s">
        <v>55</v>
      </c>
      <c r="B946" s="211" t="s">
        <v>58</v>
      </c>
      <c r="C946" s="211" t="s">
        <v>19</v>
      </c>
      <c r="D946" s="211" t="s">
        <v>12</v>
      </c>
      <c r="E946" s="208">
        <v>43015</v>
      </c>
      <c r="F946" s="209">
        <v>9.5311897999999999</v>
      </c>
      <c r="G946" s="210" t="s">
        <v>13</v>
      </c>
      <c r="H946" s="211" t="s">
        <v>14</v>
      </c>
      <c r="I946" s="210">
        <v>1</v>
      </c>
      <c r="J946" s="210" t="s">
        <v>15</v>
      </c>
      <c r="K946" s="210" t="s">
        <v>54</v>
      </c>
      <c r="L946" s="211" t="s">
        <v>60</v>
      </c>
      <c r="M946" s="211" t="s">
        <v>56</v>
      </c>
    </row>
    <row r="947" spans="1:13" x14ac:dyDescent="0.2">
      <c r="A947" s="211" t="s">
        <v>55</v>
      </c>
      <c r="B947" s="211" t="s">
        <v>58</v>
      </c>
      <c r="C947" s="211" t="s">
        <v>19</v>
      </c>
      <c r="D947" s="211" t="s">
        <v>12</v>
      </c>
      <c r="E947" s="208">
        <v>43015</v>
      </c>
      <c r="F947" s="221">
        <v>3139.85988</v>
      </c>
      <c r="G947" s="210" t="s">
        <v>16</v>
      </c>
      <c r="H947" s="211" t="s">
        <v>14</v>
      </c>
      <c r="I947" s="210">
        <v>1</v>
      </c>
      <c r="J947" s="210" t="s">
        <v>15</v>
      </c>
      <c r="K947" s="210" t="s">
        <v>54</v>
      </c>
      <c r="L947" s="211" t="s">
        <v>60</v>
      </c>
      <c r="M947" s="211" t="s">
        <v>56</v>
      </c>
    </row>
    <row r="948" spans="1:13" x14ac:dyDescent="0.2">
      <c r="A948" s="211" t="s">
        <v>55</v>
      </c>
      <c r="B948" s="211" t="s">
        <v>58</v>
      </c>
      <c r="C948" s="211" t="s">
        <v>19</v>
      </c>
      <c r="D948" s="211" t="s">
        <v>12</v>
      </c>
      <c r="E948" s="208">
        <v>43015</v>
      </c>
      <c r="F948" s="209">
        <v>5.6</v>
      </c>
      <c r="G948" s="210" t="s">
        <v>13</v>
      </c>
      <c r="H948" s="211" t="s">
        <v>18</v>
      </c>
      <c r="I948" s="210">
        <v>1</v>
      </c>
      <c r="J948" s="210" t="s">
        <v>15</v>
      </c>
      <c r="K948" s="210" t="s">
        <v>54</v>
      </c>
      <c r="L948" s="211" t="s">
        <v>60</v>
      </c>
      <c r="M948" s="211" t="s">
        <v>17</v>
      </c>
    </row>
    <row r="949" spans="1:13" x14ac:dyDescent="0.2">
      <c r="A949" s="211" t="s">
        <v>55</v>
      </c>
      <c r="B949" s="211" t="s">
        <v>58</v>
      </c>
      <c r="C949" s="211" t="s">
        <v>19</v>
      </c>
      <c r="D949" s="211" t="s">
        <v>12</v>
      </c>
      <c r="E949" s="208">
        <v>43015</v>
      </c>
      <c r="F949" s="221">
        <v>1844.808</v>
      </c>
      <c r="G949" s="210" t="s">
        <v>16</v>
      </c>
      <c r="H949" s="211" t="s">
        <v>18</v>
      </c>
      <c r="I949" s="210">
        <v>1</v>
      </c>
      <c r="J949" s="210" t="s">
        <v>15</v>
      </c>
      <c r="K949" s="210" t="s">
        <v>54</v>
      </c>
      <c r="L949" s="211" t="s">
        <v>60</v>
      </c>
      <c r="M949" s="211" t="s">
        <v>17</v>
      </c>
    </row>
    <row r="950" spans="1:13" x14ac:dyDescent="0.2">
      <c r="A950" s="211" t="s">
        <v>55</v>
      </c>
      <c r="B950" s="211" t="s">
        <v>58</v>
      </c>
      <c r="C950" s="211" t="s">
        <v>19</v>
      </c>
      <c r="D950" s="211" t="s">
        <v>12</v>
      </c>
      <c r="E950" s="208">
        <v>43014</v>
      </c>
      <c r="F950" s="209">
        <v>9.7471061999999993</v>
      </c>
      <c r="G950" s="210" t="s">
        <v>13</v>
      </c>
      <c r="H950" s="211" t="s">
        <v>14</v>
      </c>
      <c r="I950" s="210">
        <v>1</v>
      </c>
      <c r="J950" s="210" t="s">
        <v>15</v>
      </c>
      <c r="K950" s="210" t="s">
        <v>54</v>
      </c>
      <c r="L950" s="211" t="s">
        <v>60</v>
      </c>
      <c r="M950" s="211" t="s">
        <v>56</v>
      </c>
    </row>
    <row r="951" spans="1:13" x14ac:dyDescent="0.2">
      <c r="A951" s="211" t="s">
        <v>55</v>
      </c>
      <c r="B951" s="211" t="s">
        <v>58</v>
      </c>
      <c r="C951" s="211" t="s">
        <v>19</v>
      </c>
      <c r="D951" s="211" t="s">
        <v>12</v>
      </c>
      <c r="E951" s="208">
        <v>43014</v>
      </c>
      <c r="F951" s="221">
        <v>3365.4418679999999</v>
      </c>
      <c r="G951" s="210" t="s">
        <v>16</v>
      </c>
      <c r="H951" s="211" t="s">
        <v>14</v>
      </c>
      <c r="I951" s="210">
        <v>1</v>
      </c>
      <c r="J951" s="210" t="s">
        <v>15</v>
      </c>
      <c r="K951" s="210" t="s">
        <v>54</v>
      </c>
      <c r="L951" s="211" t="s">
        <v>60</v>
      </c>
      <c r="M951" s="211" t="s">
        <v>56</v>
      </c>
    </row>
    <row r="952" spans="1:13" x14ac:dyDescent="0.2">
      <c r="A952" s="211" t="s">
        <v>55</v>
      </c>
      <c r="B952" s="211" t="s">
        <v>58</v>
      </c>
      <c r="C952" s="211" t="s">
        <v>19</v>
      </c>
      <c r="D952" s="211" t="s">
        <v>12</v>
      </c>
      <c r="E952" s="208">
        <v>43014</v>
      </c>
      <c r="F952" s="209">
        <v>5.85</v>
      </c>
      <c r="G952" s="210" t="s">
        <v>13</v>
      </c>
      <c r="H952" s="211" t="s">
        <v>18</v>
      </c>
      <c r="I952" s="210">
        <v>1</v>
      </c>
      <c r="J952" s="210" t="s">
        <v>15</v>
      </c>
      <c r="K952" s="210" t="s">
        <v>54</v>
      </c>
      <c r="L952" s="211" t="s">
        <v>60</v>
      </c>
      <c r="M952" s="211" t="s">
        <v>17</v>
      </c>
    </row>
    <row r="953" spans="1:13" x14ac:dyDescent="0.2">
      <c r="A953" s="211" t="s">
        <v>55</v>
      </c>
      <c r="B953" s="211" t="s">
        <v>58</v>
      </c>
      <c r="C953" s="211" t="s">
        <v>19</v>
      </c>
      <c r="D953" s="211" t="s">
        <v>12</v>
      </c>
      <c r="E953" s="208">
        <v>43014</v>
      </c>
      <c r="F953" s="221">
        <v>2019.8646000000001</v>
      </c>
      <c r="G953" s="210" t="s">
        <v>16</v>
      </c>
      <c r="H953" s="211" t="s">
        <v>18</v>
      </c>
      <c r="I953" s="210">
        <v>1</v>
      </c>
      <c r="J953" s="210" t="s">
        <v>15</v>
      </c>
      <c r="K953" s="210" t="s">
        <v>54</v>
      </c>
      <c r="L953" s="211" t="s">
        <v>60</v>
      </c>
      <c r="M953" s="211" t="s">
        <v>17</v>
      </c>
    </row>
    <row r="954" spans="1:13" x14ac:dyDescent="0.2">
      <c r="A954" s="211" t="s">
        <v>55</v>
      </c>
      <c r="B954" s="211" t="s">
        <v>58</v>
      </c>
      <c r="C954" s="211" t="s">
        <v>19</v>
      </c>
      <c r="D954" s="211" t="s">
        <v>12</v>
      </c>
      <c r="E954" s="208">
        <v>43013</v>
      </c>
      <c r="F954" s="209">
        <v>9.2441034999999996</v>
      </c>
      <c r="G954" s="210" t="s">
        <v>13</v>
      </c>
      <c r="H954" s="211" t="s">
        <v>14</v>
      </c>
      <c r="I954" s="210">
        <v>1</v>
      </c>
      <c r="J954" s="210" t="s">
        <v>15</v>
      </c>
      <c r="K954" s="210" t="s">
        <v>54</v>
      </c>
      <c r="L954" s="211" t="s">
        <v>60</v>
      </c>
      <c r="M954" s="211" t="s">
        <v>56</v>
      </c>
    </row>
    <row r="955" spans="1:13" x14ac:dyDescent="0.2">
      <c r="A955" s="211" t="s">
        <v>55</v>
      </c>
      <c r="B955" s="211" t="s">
        <v>58</v>
      </c>
      <c r="C955" s="211" t="s">
        <v>19</v>
      </c>
      <c r="D955" s="211" t="s">
        <v>12</v>
      </c>
      <c r="E955" s="208">
        <v>43013</v>
      </c>
      <c r="F955" s="221">
        <v>2829.4167240000002</v>
      </c>
      <c r="G955" s="210" t="s">
        <v>16</v>
      </c>
      <c r="H955" s="211" t="s">
        <v>14</v>
      </c>
      <c r="I955" s="210">
        <v>1</v>
      </c>
      <c r="J955" s="210" t="s">
        <v>15</v>
      </c>
      <c r="K955" s="210" t="s">
        <v>54</v>
      </c>
      <c r="L955" s="211" t="s">
        <v>60</v>
      </c>
      <c r="M955" s="211" t="s">
        <v>56</v>
      </c>
    </row>
    <row r="956" spans="1:13" x14ac:dyDescent="0.2">
      <c r="A956" s="211" t="s">
        <v>55</v>
      </c>
      <c r="B956" s="211" t="s">
        <v>58</v>
      </c>
      <c r="C956" s="211" t="s">
        <v>19</v>
      </c>
      <c r="D956" s="211" t="s">
        <v>12</v>
      </c>
      <c r="E956" s="208">
        <v>43013</v>
      </c>
      <c r="F956" s="209">
        <v>5.42</v>
      </c>
      <c r="G956" s="210" t="s">
        <v>13</v>
      </c>
      <c r="H956" s="211" t="s">
        <v>18</v>
      </c>
      <c r="I956" s="210">
        <v>1</v>
      </c>
      <c r="J956" s="210" t="s">
        <v>15</v>
      </c>
      <c r="K956" s="210" t="s">
        <v>54</v>
      </c>
      <c r="L956" s="211" t="s">
        <v>60</v>
      </c>
      <c r="M956" s="211" t="s">
        <v>17</v>
      </c>
    </row>
    <row r="957" spans="1:13" x14ac:dyDescent="0.2">
      <c r="A957" s="211" t="s">
        <v>55</v>
      </c>
      <c r="B957" s="211" t="s">
        <v>58</v>
      </c>
      <c r="C957" s="211" t="s">
        <v>19</v>
      </c>
      <c r="D957" s="211" t="s">
        <v>12</v>
      </c>
      <c r="E957" s="208">
        <v>43013</v>
      </c>
      <c r="F957" s="221">
        <v>1658.9427599999999</v>
      </c>
      <c r="G957" s="210" t="s">
        <v>16</v>
      </c>
      <c r="H957" s="211" t="s">
        <v>18</v>
      </c>
      <c r="I957" s="210">
        <v>1</v>
      </c>
      <c r="J957" s="210" t="s">
        <v>15</v>
      </c>
      <c r="K957" s="210" t="s">
        <v>54</v>
      </c>
      <c r="L957" s="211" t="s">
        <v>60</v>
      </c>
      <c r="M957" s="211" t="s">
        <v>17</v>
      </c>
    </row>
    <row r="958" spans="1:13" x14ac:dyDescent="0.2">
      <c r="A958" s="211" t="s">
        <v>55</v>
      </c>
      <c r="B958" s="211" t="s">
        <v>58</v>
      </c>
      <c r="C958" s="211" t="s">
        <v>19</v>
      </c>
      <c r="D958" s="211" t="s">
        <v>12</v>
      </c>
      <c r="E958" s="208">
        <v>43012</v>
      </c>
      <c r="F958" s="209">
        <v>8.5400776999999994</v>
      </c>
      <c r="G958" s="210" t="s">
        <v>13</v>
      </c>
      <c r="H958" s="211" t="s">
        <v>14</v>
      </c>
      <c r="I958" s="210">
        <v>1</v>
      </c>
      <c r="J958" s="210" t="s">
        <v>15</v>
      </c>
      <c r="K958" s="210" t="s">
        <v>54</v>
      </c>
      <c r="L958" s="211" t="s">
        <v>60</v>
      </c>
      <c r="M958" s="211" t="s">
        <v>56</v>
      </c>
    </row>
    <row r="959" spans="1:13" x14ac:dyDescent="0.2">
      <c r="A959" s="211" t="s">
        <v>55</v>
      </c>
      <c r="B959" s="211" t="s">
        <v>58</v>
      </c>
      <c r="C959" s="211" t="s">
        <v>19</v>
      </c>
      <c r="D959" s="211" t="s">
        <v>12</v>
      </c>
      <c r="E959" s="208">
        <v>43012</v>
      </c>
      <c r="F959" s="221">
        <v>2749.2559799999999</v>
      </c>
      <c r="G959" s="210" t="s">
        <v>16</v>
      </c>
      <c r="H959" s="211" t="s">
        <v>14</v>
      </c>
      <c r="I959" s="210">
        <v>1</v>
      </c>
      <c r="J959" s="210" t="s">
        <v>15</v>
      </c>
      <c r="K959" s="210" t="s">
        <v>54</v>
      </c>
      <c r="L959" s="211" t="s">
        <v>60</v>
      </c>
      <c r="M959" s="211" t="s">
        <v>56</v>
      </c>
    </row>
    <row r="960" spans="1:13" x14ac:dyDescent="0.2">
      <c r="A960" s="211" t="s">
        <v>55</v>
      </c>
      <c r="B960" s="211" t="s">
        <v>58</v>
      </c>
      <c r="C960" s="211" t="s">
        <v>19</v>
      </c>
      <c r="D960" s="211" t="s">
        <v>12</v>
      </c>
      <c r="E960" s="208">
        <v>43012</v>
      </c>
      <c r="F960" s="209">
        <v>6.4</v>
      </c>
      <c r="G960" s="210" t="s">
        <v>13</v>
      </c>
      <c r="H960" s="211" t="s">
        <v>18</v>
      </c>
      <c r="I960" s="210">
        <v>1</v>
      </c>
      <c r="J960" s="210" t="s">
        <v>15</v>
      </c>
      <c r="K960" s="210" t="s">
        <v>54</v>
      </c>
      <c r="L960" s="211" t="s">
        <v>60</v>
      </c>
      <c r="M960" s="211" t="s">
        <v>17</v>
      </c>
    </row>
    <row r="961" spans="1:13" x14ac:dyDescent="0.2">
      <c r="A961" s="211" t="s">
        <v>55</v>
      </c>
      <c r="B961" s="211" t="s">
        <v>58</v>
      </c>
      <c r="C961" s="211" t="s">
        <v>19</v>
      </c>
      <c r="D961" s="211" t="s">
        <v>12</v>
      </c>
      <c r="E961" s="208">
        <v>43012</v>
      </c>
      <c r="F961" s="221">
        <v>2060.3136</v>
      </c>
      <c r="G961" s="210" t="s">
        <v>16</v>
      </c>
      <c r="H961" s="211" t="s">
        <v>18</v>
      </c>
      <c r="I961" s="210">
        <v>1</v>
      </c>
      <c r="J961" s="210" t="s">
        <v>15</v>
      </c>
      <c r="K961" s="210" t="s">
        <v>54</v>
      </c>
      <c r="L961" s="211" t="s">
        <v>60</v>
      </c>
      <c r="M961" s="211" t="s">
        <v>17</v>
      </c>
    </row>
    <row r="962" spans="1:13" x14ac:dyDescent="0.2">
      <c r="A962" s="211" t="s">
        <v>55</v>
      </c>
      <c r="B962" s="211" t="s">
        <v>58</v>
      </c>
      <c r="C962" s="211" t="s">
        <v>19</v>
      </c>
      <c r="D962" s="211" t="s">
        <v>12</v>
      </c>
      <c r="E962" s="208">
        <v>43011</v>
      </c>
      <c r="F962" s="209">
        <v>11.161904699999999</v>
      </c>
      <c r="G962" s="210" t="s">
        <v>13</v>
      </c>
      <c r="H962" s="211" t="s">
        <v>14</v>
      </c>
      <c r="I962" s="210">
        <v>1</v>
      </c>
      <c r="J962" s="210" t="s">
        <v>15</v>
      </c>
      <c r="K962" s="210" t="s">
        <v>54</v>
      </c>
      <c r="L962" s="211" t="s">
        <v>60</v>
      </c>
      <c r="M962" s="211" t="s">
        <v>56</v>
      </c>
    </row>
    <row r="963" spans="1:13" x14ac:dyDescent="0.2">
      <c r="A963" s="211" t="s">
        <v>55</v>
      </c>
      <c r="B963" s="211" t="s">
        <v>58</v>
      </c>
      <c r="C963" s="211" t="s">
        <v>19</v>
      </c>
      <c r="D963" s="211" t="s">
        <v>12</v>
      </c>
      <c r="E963" s="208">
        <v>43011</v>
      </c>
      <c r="F963" s="221">
        <v>3714.3024</v>
      </c>
      <c r="G963" s="210" t="s">
        <v>16</v>
      </c>
      <c r="H963" s="211" t="s">
        <v>14</v>
      </c>
      <c r="I963" s="210">
        <v>1</v>
      </c>
      <c r="J963" s="210" t="s">
        <v>15</v>
      </c>
      <c r="K963" s="210" t="s">
        <v>54</v>
      </c>
      <c r="L963" s="211" t="s">
        <v>60</v>
      </c>
      <c r="M963" s="211" t="s">
        <v>56</v>
      </c>
    </row>
    <row r="964" spans="1:13" x14ac:dyDescent="0.2">
      <c r="A964" s="211" t="s">
        <v>55</v>
      </c>
      <c r="B964" s="211" t="s">
        <v>58</v>
      </c>
      <c r="C964" s="211" t="s">
        <v>19</v>
      </c>
      <c r="D964" s="211" t="s">
        <v>12</v>
      </c>
      <c r="E964" s="208">
        <v>43011</v>
      </c>
      <c r="F964" s="209">
        <v>8.57</v>
      </c>
      <c r="G964" s="210" t="s">
        <v>13</v>
      </c>
      <c r="H964" s="211" t="s">
        <v>18</v>
      </c>
      <c r="I964" s="210">
        <v>1</v>
      </c>
      <c r="J964" s="210" t="s">
        <v>15</v>
      </c>
      <c r="K964" s="210" t="s">
        <v>54</v>
      </c>
      <c r="L964" s="211" t="s">
        <v>60</v>
      </c>
      <c r="M964" s="211" t="s">
        <v>17</v>
      </c>
    </row>
    <row r="965" spans="1:13" x14ac:dyDescent="0.2">
      <c r="A965" s="211" t="s">
        <v>55</v>
      </c>
      <c r="B965" s="211" t="s">
        <v>58</v>
      </c>
      <c r="C965" s="211" t="s">
        <v>19</v>
      </c>
      <c r="D965" s="211" t="s">
        <v>12</v>
      </c>
      <c r="E965" s="208">
        <v>43011</v>
      </c>
      <c r="F965" s="221">
        <v>2851.8046199999999</v>
      </c>
      <c r="G965" s="210" t="s">
        <v>16</v>
      </c>
      <c r="H965" s="211" t="s">
        <v>18</v>
      </c>
      <c r="I965" s="210">
        <v>1</v>
      </c>
      <c r="J965" s="210" t="s">
        <v>15</v>
      </c>
      <c r="K965" s="210" t="s">
        <v>54</v>
      </c>
      <c r="L965" s="211" t="s">
        <v>60</v>
      </c>
      <c r="M965" s="211" t="s">
        <v>17</v>
      </c>
    </row>
    <row r="966" spans="1:13" x14ac:dyDescent="0.2">
      <c r="A966" s="211" t="s">
        <v>55</v>
      </c>
      <c r="B966" s="211" t="s">
        <v>58</v>
      </c>
      <c r="C966" s="211" t="s">
        <v>19</v>
      </c>
      <c r="D966" s="211" t="s">
        <v>12</v>
      </c>
      <c r="E966" s="208">
        <v>43010</v>
      </c>
      <c r="F966" s="209">
        <v>11.7616912</v>
      </c>
      <c r="G966" s="210" t="s">
        <v>13</v>
      </c>
      <c r="H966" s="211" t="s">
        <v>14</v>
      </c>
      <c r="I966" s="210">
        <v>1</v>
      </c>
      <c r="J966" s="210" t="s">
        <v>15</v>
      </c>
      <c r="K966" s="210" t="s">
        <v>54</v>
      </c>
      <c r="L966" s="211" t="s">
        <v>60</v>
      </c>
      <c r="M966" s="211" t="s">
        <v>56</v>
      </c>
    </row>
    <row r="967" spans="1:13" x14ac:dyDescent="0.2">
      <c r="A967" s="211" t="s">
        <v>55</v>
      </c>
      <c r="B967" s="211" t="s">
        <v>58</v>
      </c>
      <c r="C967" s="211" t="s">
        <v>19</v>
      </c>
      <c r="D967" s="211" t="s">
        <v>12</v>
      </c>
      <c r="E967" s="208">
        <v>43010</v>
      </c>
      <c r="F967" s="221">
        <v>3560.7579200999999</v>
      </c>
      <c r="G967" s="210" t="s">
        <v>16</v>
      </c>
      <c r="H967" s="211" t="s">
        <v>14</v>
      </c>
      <c r="I967" s="210">
        <v>1</v>
      </c>
      <c r="J967" s="210" t="s">
        <v>15</v>
      </c>
      <c r="K967" s="210" t="s">
        <v>54</v>
      </c>
      <c r="L967" s="211" t="s">
        <v>60</v>
      </c>
      <c r="M967" s="211" t="s">
        <v>56</v>
      </c>
    </row>
    <row r="968" spans="1:13" x14ac:dyDescent="0.2">
      <c r="A968" s="211" t="s">
        <v>55</v>
      </c>
      <c r="B968" s="211" t="s">
        <v>58</v>
      </c>
      <c r="C968" s="211" t="s">
        <v>19</v>
      </c>
      <c r="D968" s="211" t="s">
        <v>12</v>
      </c>
      <c r="E968" s="208">
        <v>43010</v>
      </c>
      <c r="F968" s="209">
        <v>7.25</v>
      </c>
      <c r="G968" s="210" t="s">
        <v>13</v>
      </c>
      <c r="H968" s="211" t="s">
        <v>18</v>
      </c>
      <c r="I968" s="210">
        <v>1</v>
      </c>
      <c r="J968" s="210" t="s">
        <v>15</v>
      </c>
      <c r="K968" s="210" t="s">
        <v>54</v>
      </c>
      <c r="L968" s="211" t="s">
        <v>60</v>
      </c>
      <c r="M968" s="211" t="s">
        <v>17</v>
      </c>
    </row>
    <row r="969" spans="1:13" x14ac:dyDescent="0.2">
      <c r="A969" s="211" t="s">
        <v>55</v>
      </c>
      <c r="B969" s="211" t="s">
        <v>58</v>
      </c>
      <c r="C969" s="211" t="s">
        <v>19</v>
      </c>
      <c r="D969" s="211" t="s">
        <v>12</v>
      </c>
      <c r="E969" s="208">
        <v>43010</v>
      </c>
      <c r="F969" s="221">
        <v>2194.8795</v>
      </c>
      <c r="G969" s="210" t="s">
        <v>16</v>
      </c>
      <c r="H969" s="211" t="s">
        <v>18</v>
      </c>
      <c r="I969" s="210">
        <v>1</v>
      </c>
      <c r="J969" s="210" t="s">
        <v>15</v>
      </c>
      <c r="K969" s="210" t="s">
        <v>54</v>
      </c>
      <c r="L969" s="211" t="s">
        <v>60</v>
      </c>
      <c r="M969" s="211" t="s">
        <v>17</v>
      </c>
    </row>
    <row r="970" spans="1:13" x14ac:dyDescent="0.2">
      <c r="A970" s="211" t="s">
        <v>55</v>
      </c>
      <c r="B970" s="211" t="s">
        <v>58</v>
      </c>
      <c r="C970" s="211" t="s">
        <v>19</v>
      </c>
      <c r="D970" s="211" t="s">
        <v>12</v>
      </c>
      <c r="E970" s="208">
        <v>43009</v>
      </c>
      <c r="F970" s="209">
        <v>10.8620962</v>
      </c>
      <c r="G970" s="210" t="s">
        <v>13</v>
      </c>
      <c r="H970" s="211" t="s">
        <v>14</v>
      </c>
      <c r="I970" s="210">
        <v>1</v>
      </c>
      <c r="J970" s="210" t="s">
        <v>15</v>
      </c>
      <c r="K970" s="210" t="s">
        <v>54</v>
      </c>
      <c r="L970" s="211" t="s">
        <v>60</v>
      </c>
      <c r="M970" s="211" t="s">
        <v>56</v>
      </c>
    </row>
    <row r="971" spans="1:13" x14ac:dyDescent="0.2">
      <c r="A971" s="211" t="s">
        <v>55</v>
      </c>
      <c r="B971" s="211" t="s">
        <v>58</v>
      </c>
      <c r="C971" s="211" t="s">
        <v>19</v>
      </c>
      <c r="D971" s="211" t="s">
        <v>12</v>
      </c>
      <c r="E971" s="208">
        <v>43009</v>
      </c>
      <c r="F971" s="221">
        <v>3270.2947539000002</v>
      </c>
      <c r="G971" s="210" t="s">
        <v>16</v>
      </c>
      <c r="H971" s="211" t="s">
        <v>14</v>
      </c>
      <c r="I971" s="210">
        <v>1</v>
      </c>
      <c r="J971" s="210" t="s">
        <v>15</v>
      </c>
      <c r="K971" s="210" t="s">
        <v>54</v>
      </c>
      <c r="L971" s="211" t="s">
        <v>60</v>
      </c>
      <c r="M971" s="211" t="s">
        <v>56</v>
      </c>
    </row>
    <row r="972" spans="1:13" x14ac:dyDescent="0.2">
      <c r="A972" s="211" t="s">
        <v>55</v>
      </c>
      <c r="B972" s="211" t="s">
        <v>58</v>
      </c>
      <c r="C972" s="211" t="s">
        <v>19</v>
      </c>
      <c r="D972" s="211" t="s">
        <v>12</v>
      </c>
      <c r="E972" s="208">
        <v>43009</v>
      </c>
      <c r="F972" s="209">
        <v>8.24</v>
      </c>
      <c r="G972" s="210" t="s">
        <v>13</v>
      </c>
      <c r="H972" s="211" t="s">
        <v>18</v>
      </c>
      <c r="I972" s="210">
        <v>1</v>
      </c>
      <c r="J972" s="210" t="s">
        <v>15</v>
      </c>
      <c r="K972" s="210" t="s">
        <v>54</v>
      </c>
      <c r="L972" s="211" t="s">
        <v>60</v>
      </c>
      <c r="M972" s="211" t="s">
        <v>17</v>
      </c>
    </row>
    <row r="973" spans="1:13" x14ac:dyDescent="0.2">
      <c r="A973" s="211" t="s">
        <v>55</v>
      </c>
      <c r="B973" s="211" t="s">
        <v>58</v>
      </c>
      <c r="C973" s="211" t="s">
        <v>19</v>
      </c>
      <c r="D973" s="211" t="s">
        <v>12</v>
      </c>
      <c r="E973" s="208">
        <v>43009</v>
      </c>
      <c r="F973" s="221">
        <v>2480.8497600000001</v>
      </c>
      <c r="G973" s="210" t="s">
        <v>16</v>
      </c>
      <c r="H973" s="211" t="s">
        <v>18</v>
      </c>
      <c r="I973" s="210">
        <v>1</v>
      </c>
      <c r="J973" s="210" t="s">
        <v>15</v>
      </c>
      <c r="K973" s="210" t="s">
        <v>54</v>
      </c>
      <c r="L973" s="211" t="s">
        <v>60</v>
      </c>
      <c r="M973" s="211" t="s">
        <v>17</v>
      </c>
    </row>
    <row r="974" spans="1:13" x14ac:dyDescent="0.2">
      <c r="A974" s="211" t="s">
        <v>55</v>
      </c>
      <c r="B974" s="211" t="s">
        <v>58</v>
      </c>
      <c r="C974" s="211" t="s">
        <v>19</v>
      </c>
      <c r="D974" s="211" t="s">
        <v>12</v>
      </c>
      <c r="E974" s="208">
        <v>43008</v>
      </c>
      <c r="F974" s="209">
        <v>11.4082311</v>
      </c>
      <c r="G974" s="210" t="s">
        <v>13</v>
      </c>
      <c r="H974" s="211" t="s">
        <v>14</v>
      </c>
      <c r="I974" s="210">
        <v>1</v>
      </c>
      <c r="J974" s="210" t="s">
        <v>15</v>
      </c>
      <c r="K974" s="210" t="s">
        <v>54</v>
      </c>
      <c r="L974" s="211" t="s">
        <v>60</v>
      </c>
      <c r="M974" s="211" t="s">
        <v>56</v>
      </c>
    </row>
    <row r="975" spans="1:13" x14ac:dyDescent="0.2">
      <c r="A975" s="211" t="s">
        <v>55</v>
      </c>
      <c r="B975" s="211" t="s">
        <v>58</v>
      </c>
      <c r="C975" s="211" t="s">
        <v>19</v>
      </c>
      <c r="D975" s="211" t="s">
        <v>12</v>
      </c>
      <c r="E975" s="208">
        <v>43008</v>
      </c>
      <c r="F975" s="221">
        <v>3415.6928699999999</v>
      </c>
      <c r="G975" s="210" t="s">
        <v>16</v>
      </c>
      <c r="H975" s="211" t="s">
        <v>14</v>
      </c>
      <c r="I975" s="210">
        <v>1</v>
      </c>
      <c r="J975" s="210" t="s">
        <v>15</v>
      </c>
      <c r="K975" s="210" t="s">
        <v>54</v>
      </c>
      <c r="L975" s="211" t="s">
        <v>60</v>
      </c>
      <c r="M975" s="211" t="s">
        <v>56</v>
      </c>
    </row>
    <row r="976" spans="1:13" x14ac:dyDescent="0.2">
      <c r="A976" s="211" t="s">
        <v>55</v>
      </c>
      <c r="B976" s="211" t="s">
        <v>58</v>
      </c>
      <c r="C976" s="211" t="s">
        <v>19</v>
      </c>
      <c r="D976" s="211" t="s">
        <v>12</v>
      </c>
      <c r="E976" s="208">
        <v>43008</v>
      </c>
      <c r="F976" s="209">
        <v>7.31</v>
      </c>
      <c r="G976" s="210" t="s">
        <v>13</v>
      </c>
      <c r="H976" s="211" t="s">
        <v>18</v>
      </c>
      <c r="I976" s="210">
        <v>1</v>
      </c>
      <c r="J976" s="210" t="s">
        <v>15</v>
      </c>
      <c r="K976" s="210" t="s">
        <v>54</v>
      </c>
      <c r="L976" s="211" t="s">
        <v>60</v>
      </c>
      <c r="M976" s="211" t="s">
        <v>17</v>
      </c>
    </row>
    <row r="977" spans="1:13" x14ac:dyDescent="0.2">
      <c r="A977" s="211" t="s">
        <v>55</v>
      </c>
      <c r="B977" s="211" t="s">
        <v>58</v>
      </c>
      <c r="C977" s="211" t="s">
        <v>19</v>
      </c>
      <c r="D977" s="211" t="s">
        <v>12</v>
      </c>
      <c r="E977" s="208">
        <v>43008</v>
      </c>
      <c r="F977" s="221">
        <v>2188.6578599999998</v>
      </c>
      <c r="G977" s="210" t="s">
        <v>16</v>
      </c>
      <c r="H977" s="211" t="s">
        <v>18</v>
      </c>
      <c r="I977" s="210">
        <v>1</v>
      </c>
      <c r="J977" s="210" t="s">
        <v>15</v>
      </c>
      <c r="K977" s="210" t="s">
        <v>54</v>
      </c>
      <c r="L977" s="211" t="s">
        <v>60</v>
      </c>
      <c r="M977" s="211" t="s">
        <v>17</v>
      </c>
    </row>
    <row r="978" spans="1:13" x14ac:dyDescent="0.2">
      <c r="A978" s="211" t="s">
        <v>55</v>
      </c>
      <c r="B978" s="211" t="s">
        <v>58</v>
      </c>
      <c r="C978" s="211" t="s">
        <v>19</v>
      </c>
      <c r="D978" s="211" t="s">
        <v>12</v>
      </c>
      <c r="E978" s="208">
        <v>43007</v>
      </c>
      <c r="F978" s="209">
        <v>9.7288511</v>
      </c>
      <c r="G978" s="210" t="s">
        <v>13</v>
      </c>
      <c r="H978" s="211" t="s">
        <v>14</v>
      </c>
      <c r="I978" s="210">
        <v>1</v>
      </c>
      <c r="J978" s="210" t="s">
        <v>15</v>
      </c>
      <c r="K978" s="210" t="s">
        <v>54</v>
      </c>
      <c r="L978" s="211" t="s">
        <v>60</v>
      </c>
      <c r="M978" s="211" t="s">
        <v>56</v>
      </c>
    </row>
    <row r="979" spans="1:13" x14ac:dyDescent="0.2">
      <c r="A979" s="211" t="s">
        <v>55</v>
      </c>
      <c r="B979" s="211" t="s">
        <v>58</v>
      </c>
      <c r="C979" s="211" t="s">
        <v>19</v>
      </c>
      <c r="D979" s="211" t="s">
        <v>12</v>
      </c>
      <c r="E979" s="208">
        <v>43007</v>
      </c>
      <c r="F979" s="221">
        <v>2791.1684700000001</v>
      </c>
      <c r="G979" s="210" t="s">
        <v>16</v>
      </c>
      <c r="H979" s="211" t="s">
        <v>14</v>
      </c>
      <c r="I979" s="210">
        <v>1</v>
      </c>
      <c r="J979" s="210" t="s">
        <v>15</v>
      </c>
      <c r="K979" s="210" t="s">
        <v>54</v>
      </c>
      <c r="L979" s="211" t="s">
        <v>60</v>
      </c>
      <c r="M979" s="211" t="s">
        <v>56</v>
      </c>
    </row>
    <row r="980" spans="1:13" x14ac:dyDescent="0.2">
      <c r="A980" s="211" t="s">
        <v>55</v>
      </c>
      <c r="B980" s="211" t="s">
        <v>58</v>
      </c>
      <c r="C980" s="211" t="s">
        <v>19</v>
      </c>
      <c r="D980" s="211" t="s">
        <v>12</v>
      </c>
      <c r="E980" s="208">
        <v>43007</v>
      </c>
      <c r="F980" s="209">
        <v>8.0399999999999991</v>
      </c>
      <c r="G980" s="210" t="s">
        <v>13</v>
      </c>
      <c r="H980" s="211" t="s">
        <v>18</v>
      </c>
      <c r="I980" s="210">
        <v>1</v>
      </c>
      <c r="J980" s="210" t="s">
        <v>15</v>
      </c>
      <c r="K980" s="210" t="s">
        <v>54</v>
      </c>
      <c r="L980" s="211" t="s">
        <v>60</v>
      </c>
      <c r="M980" s="211" t="s">
        <v>17</v>
      </c>
    </row>
    <row r="981" spans="1:13" x14ac:dyDescent="0.2">
      <c r="A981" s="211" t="s">
        <v>55</v>
      </c>
      <c r="B981" s="211" t="s">
        <v>58</v>
      </c>
      <c r="C981" s="211" t="s">
        <v>19</v>
      </c>
      <c r="D981" s="211" t="s">
        <v>12</v>
      </c>
      <c r="E981" s="208">
        <v>43007</v>
      </c>
      <c r="F981" s="221">
        <v>2306.6438400000002</v>
      </c>
      <c r="G981" s="210" t="s">
        <v>16</v>
      </c>
      <c r="H981" s="211" t="s">
        <v>18</v>
      </c>
      <c r="I981" s="210">
        <v>1</v>
      </c>
      <c r="J981" s="210" t="s">
        <v>15</v>
      </c>
      <c r="K981" s="210" t="s">
        <v>54</v>
      </c>
      <c r="L981" s="211" t="s">
        <v>60</v>
      </c>
      <c r="M981" s="211" t="s">
        <v>17</v>
      </c>
    </row>
    <row r="982" spans="1:13" x14ac:dyDescent="0.2">
      <c r="A982" s="211" t="s">
        <v>55</v>
      </c>
      <c r="B982" s="211" t="s">
        <v>58</v>
      </c>
      <c r="C982" s="211" t="s">
        <v>19</v>
      </c>
      <c r="D982" s="211" t="s">
        <v>12</v>
      </c>
      <c r="E982" s="208">
        <v>43006</v>
      </c>
      <c r="F982" s="209">
        <v>10.5726721</v>
      </c>
      <c r="G982" s="210" t="s">
        <v>13</v>
      </c>
      <c r="H982" s="211" t="s">
        <v>14</v>
      </c>
      <c r="I982" s="210">
        <v>1</v>
      </c>
      <c r="J982" s="210" t="s">
        <v>15</v>
      </c>
      <c r="K982" s="210" t="s">
        <v>54</v>
      </c>
      <c r="L982" s="211" t="s">
        <v>60</v>
      </c>
      <c r="M982" s="211" t="s">
        <v>56</v>
      </c>
    </row>
    <row r="983" spans="1:13" x14ac:dyDescent="0.2">
      <c r="A983" s="211" t="s">
        <v>55</v>
      </c>
      <c r="B983" s="211" t="s">
        <v>58</v>
      </c>
      <c r="C983" s="211" t="s">
        <v>19</v>
      </c>
      <c r="D983" s="211" t="s">
        <v>12</v>
      </c>
      <c r="E983" s="208">
        <v>43006</v>
      </c>
      <c r="F983" s="221">
        <v>3174.3390752</v>
      </c>
      <c r="G983" s="210" t="s">
        <v>16</v>
      </c>
      <c r="H983" s="211" t="s">
        <v>14</v>
      </c>
      <c r="I983" s="210">
        <v>1</v>
      </c>
      <c r="J983" s="210" t="s">
        <v>15</v>
      </c>
      <c r="K983" s="210" t="s">
        <v>54</v>
      </c>
      <c r="L983" s="211" t="s">
        <v>60</v>
      </c>
      <c r="M983" s="211" t="s">
        <v>56</v>
      </c>
    </row>
    <row r="984" spans="1:13" x14ac:dyDescent="0.2">
      <c r="A984" s="211" t="s">
        <v>55</v>
      </c>
      <c r="B984" s="211" t="s">
        <v>58</v>
      </c>
      <c r="C984" s="211" t="s">
        <v>19</v>
      </c>
      <c r="D984" s="211" t="s">
        <v>12</v>
      </c>
      <c r="E984" s="208">
        <v>43006</v>
      </c>
      <c r="F984" s="209">
        <v>7.43</v>
      </c>
      <c r="G984" s="210" t="s">
        <v>13</v>
      </c>
      <c r="H984" s="211" t="s">
        <v>18</v>
      </c>
      <c r="I984" s="210">
        <v>1</v>
      </c>
      <c r="J984" s="210" t="s">
        <v>15</v>
      </c>
      <c r="K984" s="210" t="s">
        <v>54</v>
      </c>
      <c r="L984" s="211" t="s">
        <v>60</v>
      </c>
      <c r="M984" s="211" t="s">
        <v>17</v>
      </c>
    </row>
    <row r="985" spans="1:13" x14ac:dyDescent="0.2">
      <c r="A985" s="211" t="s">
        <v>55</v>
      </c>
      <c r="B985" s="211" t="s">
        <v>58</v>
      </c>
      <c r="C985" s="211" t="s">
        <v>19</v>
      </c>
      <c r="D985" s="211" t="s">
        <v>12</v>
      </c>
      <c r="E985" s="208">
        <v>43006</v>
      </c>
      <c r="F985" s="221">
        <v>2230.7831999999999</v>
      </c>
      <c r="G985" s="210" t="s">
        <v>16</v>
      </c>
      <c r="H985" s="211" t="s">
        <v>18</v>
      </c>
      <c r="I985" s="210">
        <v>1</v>
      </c>
      <c r="J985" s="210" t="s">
        <v>15</v>
      </c>
      <c r="K985" s="210" t="s">
        <v>54</v>
      </c>
      <c r="L985" s="211" t="s">
        <v>60</v>
      </c>
      <c r="M985" s="211" t="s">
        <v>17</v>
      </c>
    </row>
    <row r="986" spans="1:13" x14ac:dyDescent="0.2">
      <c r="A986" s="211" t="s">
        <v>55</v>
      </c>
      <c r="B986" s="211" t="s">
        <v>58</v>
      </c>
      <c r="C986" s="211" t="s">
        <v>19</v>
      </c>
      <c r="D986" s="211" t="s">
        <v>12</v>
      </c>
      <c r="E986" s="208">
        <v>43005</v>
      </c>
      <c r="F986" s="209">
        <v>10.284894899999999</v>
      </c>
      <c r="G986" s="210" t="s">
        <v>13</v>
      </c>
      <c r="H986" s="211" t="s">
        <v>14</v>
      </c>
      <c r="I986" s="210">
        <v>1</v>
      </c>
      <c r="J986" s="210" t="s">
        <v>15</v>
      </c>
      <c r="K986" s="210" t="s">
        <v>54</v>
      </c>
      <c r="L986" s="211" t="s">
        <v>60</v>
      </c>
      <c r="M986" s="211" t="s">
        <v>56</v>
      </c>
    </row>
    <row r="987" spans="1:13" x14ac:dyDescent="0.2">
      <c r="A987" s="211" t="s">
        <v>55</v>
      </c>
      <c r="B987" s="211" t="s">
        <v>58</v>
      </c>
      <c r="C987" s="211" t="s">
        <v>19</v>
      </c>
      <c r="D987" s="211" t="s">
        <v>12</v>
      </c>
      <c r="E987" s="208">
        <v>43005</v>
      </c>
      <c r="F987" s="221">
        <v>3087.9368493000002</v>
      </c>
      <c r="G987" s="210" t="s">
        <v>16</v>
      </c>
      <c r="H987" s="211" t="s">
        <v>14</v>
      </c>
      <c r="I987" s="210">
        <v>1</v>
      </c>
      <c r="J987" s="210" t="s">
        <v>15</v>
      </c>
      <c r="K987" s="210" t="s">
        <v>54</v>
      </c>
      <c r="L987" s="211" t="s">
        <v>60</v>
      </c>
      <c r="M987" s="211" t="s">
        <v>56</v>
      </c>
    </row>
    <row r="988" spans="1:13" x14ac:dyDescent="0.2">
      <c r="A988" s="211" t="s">
        <v>55</v>
      </c>
      <c r="B988" s="211" t="s">
        <v>58</v>
      </c>
      <c r="C988" s="211" t="s">
        <v>19</v>
      </c>
      <c r="D988" s="211" t="s">
        <v>12</v>
      </c>
      <c r="E988" s="208">
        <v>43005</v>
      </c>
      <c r="F988" s="209">
        <v>7.4</v>
      </c>
      <c r="G988" s="210" t="s">
        <v>13</v>
      </c>
      <c r="H988" s="211" t="s">
        <v>18</v>
      </c>
      <c r="I988" s="210">
        <v>1</v>
      </c>
      <c r="J988" s="210" t="s">
        <v>15</v>
      </c>
      <c r="K988" s="210" t="s">
        <v>54</v>
      </c>
      <c r="L988" s="211" t="s">
        <v>60</v>
      </c>
      <c r="M988" s="211" t="s">
        <v>17</v>
      </c>
    </row>
    <row r="989" spans="1:13" x14ac:dyDescent="0.2">
      <c r="A989" s="211" t="s">
        <v>55</v>
      </c>
      <c r="B989" s="211" t="s">
        <v>58</v>
      </c>
      <c r="C989" s="211" t="s">
        <v>19</v>
      </c>
      <c r="D989" s="211" t="s">
        <v>12</v>
      </c>
      <c r="E989" s="208">
        <v>43005</v>
      </c>
      <c r="F989" s="221">
        <v>2221.7759999999998</v>
      </c>
      <c r="G989" s="210" t="s">
        <v>16</v>
      </c>
      <c r="H989" s="211" t="s">
        <v>18</v>
      </c>
      <c r="I989" s="210">
        <v>1</v>
      </c>
      <c r="J989" s="210" t="s">
        <v>15</v>
      </c>
      <c r="K989" s="210" t="s">
        <v>54</v>
      </c>
      <c r="L989" s="211" t="s">
        <v>60</v>
      </c>
      <c r="M989" s="211" t="s">
        <v>17</v>
      </c>
    </row>
    <row r="990" spans="1:13" x14ac:dyDescent="0.2">
      <c r="A990" s="211" t="s">
        <v>55</v>
      </c>
      <c r="B990" s="211" t="s">
        <v>58</v>
      </c>
      <c r="C990" s="211" t="s">
        <v>19</v>
      </c>
      <c r="D990" s="211" t="s">
        <v>12</v>
      </c>
      <c r="E990" s="208">
        <v>43004</v>
      </c>
      <c r="F990" s="209">
        <v>11.0140995</v>
      </c>
      <c r="G990" s="210" t="s">
        <v>13</v>
      </c>
      <c r="H990" s="211" t="s">
        <v>14</v>
      </c>
      <c r="I990" s="210">
        <v>1</v>
      </c>
      <c r="J990" s="210" t="s">
        <v>15</v>
      </c>
      <c r="K990" s="210" t="s">
        <v>54</v>
      </c>
      <c r="L990" s="211" t="s">
        <v>60</v>
      </c>
      <c r="M990" s="211" t="s">
        <v>56</v>
      </c>
    </row>
    <row r="991" spans="1:13" x14ac:dyDescent="0.2">
      <c r="A991" s="211" t="s">
        <v>55</v>
      </c>
      <c r="B991" s="211" t="s">
        <v>58</v>
      </c>
      <c r="C991" s="211" t="s">
        <v>19</v>
      </c>
      <c r="D991" s="211" t="s">
        <v>12</v>
      </c>
      <c r="E991" s="208">
        <v>43004</v>
      </c>
      <c r="F991" s="221">
        <v>3380.3593095000001</v>
      </c>
      <c r="G991" s="210" t="s">
        <v>16</v>
      </c>
      <c r="H991" s="211" t="s">
        <v>14</v>
      </c>
      <c r="I991" s="210">
        <v>1</v>
      </c>
      <c r="J991" s="210" t="s">
        <v>15</v>
      </c>
      <c r="K991" s="210" t="s">
        <v>54</v>
      </c>
      <c r="L991" s="211" t="s">
        <v>60</v>
      </c>
      <c r="M991" s="211" t="s">
        <v>56</v>
      </c>
    </row>
    <row r="992" spans="1:13" x14ac:dyDescent="0.2">
      <c r="A992" s="211" t="s">
        <v>55</v>
      </c>
      <c r="B992" s="211" t="s">
        <v>58</v>
      </c>
      <c r="C992" s="211" t="s">
        <v>19</v>
      </c>
      <c r="D992" s="211" t="s">
        <v>12</v>
      </c>
      <c r="E992" s="208">
        <v>43004</v>
      </c>
      <c r="F992" s="209">
        <v>7.71</v>
      </c>
      <c r="G992" s="210" t="s">
        <v>13</v>
      </c>
      <c r="H992" s="211" t="s">
        <v>18</v>
      </c>
      <c r="I992" s="210">
        <v>1</v>
      </c>
      <c r="J992" s="210" t="s">
        <v>15</v>
      </c>
      <c r="K992" s="210" t="s">
        <v>54</v>
      </c>
      <c r="L992" s="211" t="s">
        <v>60</v>
      </c>
      <c r="M992" s="211" t="s">
        <v>17</v>
      </c>
    </row>
    <row r="993" spans="1:13" x14ac:dyDescent="0.2">
      <c r="A993" s="211" t="s">
        <v>55</v>
      </c>
      <c r="B993" s="211" t="s">
        <v>58</v>
      </c>
      <c r="C993" s="211" t="s">
        <v>19</v>
      </c>
      <c r="D993" s="211" t="s">
        <v>12</v>
      </c>
      <c r="E993" s="208">
        <v>43004</v>
      </c>
      <c r="F993" s="221">
        <v>2366.2915200000002</v>
      </c>
      <c r="G993" s="210" t="s">
        <v>16</v>
      </c>
      <c r="H993" s="211" t="s">
        <v>18</v>
      </c>
      <c r="I993" s="210">
        <v>1</v>
      </c>
      <c r="J993" s="210" t="s">
        <v>15</v>
      </c>
      <c r="K993" s="210" t="s">
        <v>54</v>
      </c>
      <c r="L993" s="211" t="s">
        <v>60</v>
      </c>
      <c r="M993" s="211" t="s">
        <v>17</v>
      </c>
    </row>
    <row r="994" spans="1:13" x14ac:dyDescent="0.2">
      <c r="A994" s="211" t="s">
        <v>55</v>
      </c>
      <c r="B994" s="211" t="s">
        <v>58</v>
      </c>
      <c r="C994" s="211" t="s">
        <v>19</v>
      </c>
      <c r="D994" s="211" t="s">
        <v>12</v>
      </c>
      <c r="E994" s="208">
        <v>43003</v>
      </c>
      <c r="F994" s="209">
        <v>9.6940244999999994</v>
      </c>
      <c r="G994" s="210" t="s">
        <v>13</v>
      </c>
      <c r="H994" s="211" t="s">
        <v>14</v>
      </c>
      <c r="I994" s="210">
        <v>1</v>
      </c>
      <c r="J994" s="210" t="s">
        <v>15</v>
      </c>
      <c r="K994" s="210" t="s">
        <v>54</v>
      </c>
      <c r="L994" s="211" t="s">
        <v>60</v>
      </c>
      <c r="M994" s="211" t="s">
        <v>56</v>
      </c>
    </row>
    <row r="995" spans="1:13" x14ac:dyDescent="0.2">
      <c r="A995" s="211" t="s">
        <v>55</v>
      </c>
      <c r="B995" s="211" t="s">
        <v>58</v>
      </c>
      <c r="C995" s="211" t="s">
        <v>19</v>
      </c>
      <c r="D995" s="211" t="s">
        <v>12</v>
      </c>
      <c r="E995" s="208">
        <v>43003</v>
      </c>
      <c r="F995" s="221">
        <v>3080.3150774999999</v>
      </c>
      <c r="G995" s="210" t="s">
        <v>16</v>
      </c>
      <c r="H995" s="211" t="s">
        <v>14</v>
      </c>
      <c r="I995" s="210">
        <v>1</v>
      </c>
      <c r="J995" s="210" t="s">
        <v>15</v>
      </c>
      <c r="K995" s="210" t="s">
        <v>54</v>
      </c>
      <c r="L995" s="211" t="s">
        <v>60</v>
      </c>
      <c r="M995" s="211" t="s">
        <v>56</v>
      </c>
    </row>
    <row r="996" spans="1:13" x14ac:dyDescent="0.2">
      <c r="A996" s="211" t="s">
        <v>55</v>
      </c>
      <c r="B996" s="211" t="s">
        <v>58</v>
      </c>
      <c r="C996" s="211" t="s">
        <v>19</v>
      </c>
      <c r="D996" s="211" t="s">
        <v>12</v>
      </c>
      <c r="E996" s="208">
        <v>43003</v>
      </c>
      <c r="F996" s="209">
        <v>8.82</v>
      </c>
      <c r="G996" s="210" t="s">
        <v>13</v>
      </c>
      <c r="H996" s="211" t="s">
        <v>18</v>
      </c>
      <c r="I996" s="210">
        <v>1</v>
      </c>
      <c r="J996" s="210" t="s">
        <v>15</v>
      </c>
      <c r="K996" s="210" t="s">
        <v>54</v>
      </c>
      <c r="L996" s="211" t="s">
        <v>60</v>
      </c>
      <c r="M996" s="211" t="s">
        <v>17</v>
      </c>
    </row>
    <row r="997" spans="1:13" x14ac:dyDescent="0.2">
      <c r="A997" s="211" t="s">
        <v>55</v>
      </c>
      <c r="B997" s="211" t="s">
        <v>58</v>
      </c>
      <c r="C997" s="211" t="s">
        <v>19</v>
      </c>
      <c r="D997" s="211" t="s">
        <v>12</v>
      </c>
      <c r="E997" s="208">
        <v>43003</v>
      </c>
      <c r="F997" s="221">
        <v>2802.5902799999999</v>
      </c>
      <c r="G997" s="210" t="s">
        <v>16</v>
      </c>
      <c r="H997" s="211" t="s">
        <v>18</v>
      </c>
      <c r="I997" s="210">
        <v>1</v>
      </c>
      <c r="J997" s="210" t="s">
        <v>15</v>
      </c>
      <c r="K997" s="210" t="s">
        <v>54</v>
      </c>
      <c r="L997" s="211" t="s">
        <v>60</v>
      </c>
      <c r="M997" s="211" t="s">
        <v>17</v>
      </c>
    </row>
    <row r="998" spans="1:13" x14ac:dyDescent="0.2">
      <c r="A998" s="211" t="s">
        <v>55</v>
      </c>
      <c r="B998" s="211" t="s">
        <v>58</v>
      </c>
      <c r="C998" s="211" t="s">
        <v>19</v>
      </c>
      <c r="D998" s="211" t="s">
        <v>12</v>
      </c>
      <c r="E998" s="208">
        <v>43002</v>
      </c>
      <c r="F998" s="209">
        <v>1.9336990999999999</v>
      </c>
      <c r="G998" s="210" t="s">
        <v>13</v>
      </c>
      <c r="H998" s="211" t="s">
        <v>14</v>
      </c>
      <c r="I998" s="210">
        <v>1</v>
      </c>
      <c r="J998" s="210" t="s">
        <v>15</v>
      </c>
      <c r="K998" s="210" t="s">
        <v>54</v>
      </c>
      <c r="L998" s="211" t="s">
        <v>60</v>
      </c>
      <c r="M998" s="211" t="s">
        <v>56</v>
      </c>
    </row>
    <row r="999" spans="1:13" x14ac:dyDescent="0.2">
      <c r="A999" s="211" t="s">
        <v>55</v>
      </c>
      <c r="B999" s="211" t="s">
        <v>58</v>
      </c>
      <c r="C999" s="211" t="s">
        <v>19</v>
      </c>
      <c r="D999" s="211" t="s">
        <v>12</v>
      </c>
      <c r="E999" s="208">
        <v>43002</v>
      </c>
      <c r="F999" s="221">
        <v>598.31359199999997</v>
      </c>
      <c r="G999" s="210" t="s">
        <v>16</v>
      </c>
      <c r="H999" s="211" t="s">
        <v>14</v>
      </c>
      <c r="I999" s="210">
        <v>1</v>
      </c>
      <c r="J999" s="210" t="s">
        <v>15</v>
      </c>
      <c r="K999" s="210" t="s">
        <v>54</v>
      </c>
      <c r="L999" s="211" t="s">
        <v>60</v>
      </c>
      <c r="M999" s="211" t="s">
        <v>56</v>
      </c>
    </row>
    <row r="1000" spans="1:13" x14ac:dyDescent="0.2">
      <c r="A1000" s="211" t="s">
        <v>55</v>
      </c>
      <c r="B1000" s="211" t="s">
        <v>58</v>
      </c>
      <c r="C1000" s="211" t="s">
        <v>19</v>
      </c>
      <c r="D1000" s="211" t="s">
        <v>12</v>
      </c>
      <c r="E1000" s="208">
        <v>43002</v>
      </c>
      <c r="F1000" s="209">
        <v>8.61</v>
      </c>
      <c r="G1000" s="210" t="s">
        <v>13</v>
      </c>
      <c r="H1000" s="211" t="s">
        <v>18</v>
      </c>
      <c r="I1000" s="210">
        <v>1</v>
      </c>
      <c r="J1000" s="210" t="s">
        <v>15</v>
      </c>
      <c r="K1000" s="210" t="s">
        <v>54</v>
      </c>
      <c r="L1000" s="211" t="s">
        <v>60</v>
      </c>
      <c r="M1000" s="211" t="s">
        <v>17</v>
      </c>
    </row>
    <row r="1001" spans="1:13" x14ac:dyDescent="0.2">
      <c r="A1001" s="211" t="s">
        <v>55</v>
      </c>
      <c r="B1001" s="211" t="s">
        <v>58</v>
      </c>
      <c r="C1001" s="211" t="s">
        <v>19</v>
      </c>
      <c r="D1001" s="211" t="s">
        <v>12</v>
      </c>
      <c r="E1001" s="208">
        <v>43002</v>
      </c>
      <c r="F1001" s="221">
        <v>2664.0545400000001</v>
      </c>
      <c r="G1001" s="210" t="s">
        <v>16</v>
      </c>
      <c r="H1001" s="211" t="s">
        <v>18</v>
      </c>
      <c r="I1001" s="210">
        <v>1</v>
      </c>
      <c r="J1001" s="210" t="s">
        <v>15</v>
      </c>
      <c r="K1001" s="210" t="s">
        <v>54</v>
      </c>
      <c r="L1001" s="211" t="s">
        <v>60</v>
      </c>
      <c r="M1001" s="211" t="s">
        <v>17</v>
      </c>
    </row>
    <row r="1002" spans="1:13" x14ac:dyDescent="0.2">
      <c r="A1002" s="211" t="s">
        <v>55</v>
      </c>
      <c r="B1002" s="211" t="s">
        <v>58</v>
      </c>
      <c r="C1002" s="211" t="s">
        <v>19</v>
      </c>
      <c r="D1002" s="211" t="s">
        <v>12</v>
      </c>
      <c r="E1002" s="208">
        <v>43001</v>
      </c>
      <c r="F1002" s="209">
        <v>14.2249113</v>
      </c>
      <c r="G1002" s="210" t="s">
        <v>13</v>
      </c>
      <c r="H1002" s="211" t="s">
        <v>14</v>
      </c>
      <c r="I1002" s="210">
        <v>1</v>
      </c>
      <c r="J1002" s="210" t="s">
        <v>15</v>
      </c>
      <c r="K1002" s="210" t="s">
        <v>54</v>
      </c>
      <c r="L1002" s="211" t="s">
        <v>60</v>
      </c>
      <c r="M1002" s="211" t="s">
        <v>56</v>
      </c>
    </row>
    <row r="1003" spans="1:13" x14ac:dyDescent="0.2">
      <c r="A1003" s="211" t="s">
        <v>55</v>
      </c>
      <c r="B1003" s="211" t="s">
        <v>58</v>
      </c>
      <c r="C1003" s="211" t="s">
        <v>19</v>
      </c>
      <c r="D1003" s="211" t="s">
        <v>12</v>
      </c>
      <c r="E1003" s="208">
        <v>43001</v>
      </c>
      <c r="F1003" s="221">
        <v>4175.9787743999996</v>
      </c>
      <c r="G1003" s="210" t="s">
        <v>16</v>
      </c>
      <c r="H1003" s="211" t="s">
        <v>14</v>
      </c>
      <c r="I1003" s="210">
        <v>1</v>
      </c>
      <c r="J1003" s="210" t="s">
        <v>15</v>
      </c>
      <c r="K1003" s="210" t="s">
        <v>54</v>
      </c>
      <c r="L1003" s="211" t="s">
        <v>60</v>
      </c>
      <c r="M1003" s="211" t="s">
        <v>56</v>
      </c>
    </row>
    <row r="1004" spans="1:13" x14ac:dyDescent="0.2">
      <c r="A1004" s="211" t="s">
        <v>55</v>
      </c>
      <c r="B1004" s="211" t="s">
        <v>58</v>
      </c>
      <c r="C1004" s="211" t="s">
        <v>19</v>
      </c>
      <c r="D1004" s="211" t="s">
        <v>12</v>
      </c>
      <c r="E1004" s="208">
        <v>43001</v>
      </c>
      <c r="F1004" s="209">
        <v>7.63</v>
      </c>
      <c r="G1004" s="210" t="s">
        <v>13</v>
      </c>
      <c r="H1004" s="211" t="s">
        <v>18</v>
      </c>
      <c r="I1004" s="210">
        <v>1</v>
      </c>
      <c r="J1004" s="210" t="s">
        <v>15</v>
      </c>
      <c r="K1004" s="210" t="s">
        <v>54</v>
      </c>
      <c r="L1004" s="211" t="s">
        <v>60</v>
      </c>
      <c r="M1004" s="211" t="s">
        <v>17</v>
      </c>
    </row>
    <row r="1005" spans="1:13" x14ac:dyDescent="0.2">
      <c r="A1005" s="211" t="s">
        <v>55</v>
      </c>
      <c r="B1005" s="211" t="s">
        <v>58</v>
      </c>
      <c r="C1005" s="211" t="s">
        <v>19</v>
      </c>
      <c r="D1005" s="211" t="s">
        <v>12</v>
      </c>
      <c r="E1005" s="208">
        <v>43001</v>
      </c>
      <c r="F1005" s="221">
        <v>2239.9238399999999</v>
      </c>
      <c r="G1005" s="210" t="s">
        <v>16</v>
      </c>
      <c r="H1005" s="211" t="s">
        <v>18</v>
      </c>
      <c r="I1005" s="210">
        <v>1</v>
      </c>
      <c r="J1005" s="210" t="s">
        <v>15</v>
      </c>
      <c r="K1005" s="210" t="s">
        <v>54</v>
      </c>
      <c r="L1005" s="211" t="s">
        <v>60</v>
      </c>
      <c r="M1005" s="211" t="s">
        <v>17</v>
      </c>
    </row>
    <row r="1006" spans="1:13" x14ac:dyDescent="0.2">
      <c r="A1006" s="211" t="s">
        <v>55</v>
      </c>
      <c r="B1006" s="211" t="s">
        <v>58</v>
      </c>
      <c r="C1006" s="211" t="s">
        <v>19</v>
      </c>
      <c r="D1006" s="211" t="s">
        <v>12</v>
      </c>
      <c r="E1006" s="208">
        <v>43000</v>
      </c>
      <c r="F1006" s="209">
        <v>10.3219309</v>
      </c>
      <c r="G1006" s="210" t="s">
        <v>13</v>
      </c>
      <c r="H1006" s="211" t="s">
        <v>14</v>
      </c>
      <c r="I1006" s="210">
        <v>1</v>
      </c>
      <c r="J1006" s="210" t="s">
        <v>15</v>
      </c>
      <c r="K1006" s="210" t="s">
        <v>54</v>
      </c>
      <c r="L1006" s="211" t="s">
        <v>60</v>
      </c>
      <c r="M1006" s="211" t="s">
        <v>56</v>
      </c>
    </row>
    <row r="1007" spans="1:13" x14ac:dyDescent="0.2">
      <c r="A1007" s="211" t="s">
        <v>55</v>
      </c>
      <c r="B1007" s="211" t="s">
        <v>58</v>
      </c>
      <c r="C1007" s="211" t="s">
        <v>19</v>
      </c>
      <c r="D1007" s="211" t="s">
        <v>12</v>
      </c>
      <c r="E1007" s="208">
        <v>43000</v>
      </c>
      <c r="F1007" s="221">
        <v>2987.1461640000002</v>
      </c>
      <c r="G1007" s="210" t="s">
        <v>16</v>
      </c>
      <c r="H1007" s="211" t="s">
        <v>14</v>
      </c>
      <c r="I1007" s="210">
        <v>1</v>
      </c>
      <c r="J1007" s="210" t="s">
        <v>15</v>
      </c>
      <c r="K1007" s="210" t="s">
        <v>54</v>
      </c>
      <c r="L1007" s="211" t="s">
        <v>60</v>
      </c>
      <c r="M1007" s="211" t="s">
        <v>56</v>
      </c>
    </row>
    <row r="1008" spans="1:13" x14ac:dyDescent="0.2">
      <c r="A1008" s="211" t="s">
        <v>55</v>
      </c>
      <c r="B1008" s="211" t="s">
        <v>58</v>
      </c>
      <c r="C1008" s="211" t="s">
        <v>19</v>
      </c>
      <c r="D1008" s="211" t="s">
        <v>12</v>
      </c>
      <c r="E1008" s="208">
        <v>43000</v>
      </c>
      <c r="F1008" s="209">
        <v>7.59</v>
      </c>
      <c r="G1008" s="210" t="s">
        <v>13</v>
      </c>
      <c r="H1008" s="211" t="s">
        <v>18</v>
      </c>
      <c r="I1008" s="210">
        <v>1</v>
      </c>
      <c r="J1008" s="210" t="s">
        <v>15</v>
      </c>
      <c r="K1008" s="210" t="s">
        <v>54</v>
      </c>
      <c r="L1008" s="211" t="s">
        <v>60</v>
      </c>
      <c r="M1008" s="211" t="s">
        <v>17</v>
      </c>
    </row>
    <row r="1009" spans="1:13" x14ac:dyDescent="0.2">
      <c r="A1009" s="211" t="s">
        <v>55</v>
      </c>
      <c r="B1009" s="211" t="s">
        <v>58</v>
      </c>
      <c r="C1009" s="211" t="s">
        <v>19</v>
      </c>
      <c r="D1009" s="211" t="s">
        <v>12</v>
      </c>
      <c r="E1009" s="208">
        <v>43000</v>
      </c>
      <c r="F1009" s="221">
        <v>2196.5308199999999</v>
      </c>
      <c r="G1009" s="210" t="s">
        <v>16</v>
      </c>
      <c r="H1009" s="211" t="s">
        <v>18</v>
      </c>
      <c r="I1009" s="210">
        <v>1</v>
      </c>
      <c r="J1009" s="210" t="s">
        <v>15</v>
      </c>
      <c r="K1009" s="210" t="s">
        <v>54</v>
      </c>
      <c r="L1009" s="211" t="s">
        <v>60</v>
      </c>
      <c r="M1009" s="211" t="s">
        <v>17</v>
      </c>
    </row>
    <row r="1010" spans="1:13" x14ac:dyDescent="0.2">
      <c r="A1010" s="211" t="s">
        <v>55</v>
      </c>
      <c r="B1010" s="211" t="s">
        <v>58</v>
      </c>
      <c r="C1010" s="211" t="s">
        <v>19</v>
      </c>
      <c r="D1010" s="211" t="s">
        <v>12</v>
      </c>
      <c r="E1010" s="208">
        <v>42999</v>
      </c>
      <c r="F1010" s="209">
        <v>9.2424408000000007</v>
      </c>
      <c r="G1010" s="210" t="s">
        <v>13</v>
      </c>
      <c r="H1010" s="211" t="s">
        <v>14</v>
      </c>
      <c r="I1010" s="210">
        <v>1</v>
      </c>
      <c r="J1010" s="210" t="s">
        <v>15</v>
      </c>
      <c r="K1010" s="210" t="s">
        <v>54</v>
      </c>
      <c r="L1010" s="211" t="s">
        <v>60</v>
      </c>
      <c r="M1010" s="211" t="s">
        <v>56</v>
      </c>
    </row>
    <row r="1011" spans="1:13" x14ac:dyDescent="0.2">
      <c r="A1011" s="211" t="s">
        <v>55</v>
      </c>
      <c r="B1011" s="211" t="s">
        <v>58</v>
      </c>
      <c r="C1011" s="211" t="s">
        <v>19</v>
      </c>
      <c r="D1011" s="211" t="s">
        <v>12</v>
      </c>
      <c r="E1011" s="208">
        <v>42999</v>
      </c>
      <c r="F1011" s="221">
        <v>2813.4914184999998</v>
      </c>
      <c r="G1011" s="210" t="s">
        <v>16</v>
      </c>
      <c r="H1011" s="211" t="s">
        <v>14</v>
      </c>
      <c r="I1011" s="210">
        <v>1</v>
      </c>
      <c r="J1011" s="210" t="s">
        <v>15</v>
      </c>
      <c r="K1011" s="210" t="s">
        <v>54</v>
      </c>
      <c r="L1011" s="211" t="s">
        <v>60</v>
      </c>
      <c r="M1011" s="211" t="s">
        <v>56</v>
      </c>
    </row>
    <row r="1012" spans="1:13" x14ac:dyDescent="0.2">
      <c r="A1012" s="211" t="s">
        <v>55</v>
      </c>
      <c r="B1012" s="211" t="s">
        <v>58</v>
      </c>
      <c r="C1012" s="211" t="s">
        <v>19</v>
      </c>
      <c r="D1012" s="211" t="s">
        <v>12</v>
      </c>
      <c r="E1012" s="208">
        <v>42999</v>
      </c>
      <c r="F1012" s="209">
        <v>7.58</v>
      </c>
      <c r="G1012" s="210" t="s">
        <v>13</v>
      </c>
      <c r="H1012" s="211" t="s">
        <v>18</v>
      </c>
      <c r="I1012" s="210">
        <v>1</v>
      </c>
      <c r="J1012" s="210" t="s">
        <v>15</v>
      </c>
      <c r="K1012" s="210" t="s">
        <v>54</v>
      </c>
      <c r="L1012" s="211" t="s">
        <v>60</v>
      </c>
      <c r="M1012" s="211" t="s">
        <v>17</v>
      </c>
    </row>
    <row r="1013" spans="1:13" x14ac:dyDescent="0.2">
      <c r="A1013" s="211" t="s">
        <v>55</v>
      </c>
      <c r="B1013" s="211" t="s">
        <v>58</v>
      </c>
      <c r="C1013" s="211" t="s">
        <v>19</v>
      </c>
      <c r="D1013" s="211" t="s">
        <v>12</v>
      </c>
      <c r="E1013" s="208">
        <v>42999</v>
      </c>
      <c r="F1013" s="221">
        <v>2307.4277999999999</v>
      </c>
      <c r="G1013" s="210" t="s">
        <v>16</v>
      </c>
      <c r="H1013" s="211" t="s">
        <v>18</v>
      </c>
      <c r="I1013" s="210">
        <v>1</v>
      </c>
      <c r="J1013" s="210" t="s">
        <v>15</v>
      </c>
      <c r="K1013" s="210" t="s">
        <v>54</v>
      </c>
      <c r="L1013" s="211" t="s">
        <v>60</v>
      </c>
      <c r="M1013" s="211" t="s">
        <v>17</v>
      </c>
    </row>
    <row r="1014" spans="1:13" x14ac:dyDescent="0.2">
      <c r="A1014" s="211" t="s">
        <v>55</v>
      </c>
      <c r="B1014" s="211" t="s">
        <v>58</v>
      </c>
      <c r="C1014" s="211" t="s">
        <v>19</v>
      </c>
      <c r="D1014" s="211" t="s">
        <v>12</v>
      </c>
      <c r="E1014" s="208">
        <v>42998</v>
      </c>
      <c r="F1014" s="209">
        <v>8.5673782999999997</v>
      </c>
      <c r="G1014" s="210" t="s">
        <v>13</v>
      </c>
      <c r="H1014" s="211" t="s">
        <v>14</v>
      </c>
      <c r="I1014" s="210">
        <v>1</v>
      </c>
      <c r="J1014" s="210" t="s">
        <v>15</v>
      </c>
      <c r="K1014" s="210" t="s">
        <v>54</v>
      </c>
      <c r="L1014" s="211" t="s">
        <v>60</v>
      </c>
      <c r="M1014" s="211" t="s">
        <v>56</v>
      </c>
    </row>
    <row r="1015" spans="1:13" x14ac:dyDescent="0.2">
      <c r="A1015" s="211" t="s">
        <v>55</v>
      </c>
      <c r="B1015" s="211" t="s">
        <v>58</v>
      </c>
      <c r="C1015" s="211" t="s">
        <v>19</v>
      </c>
      <c r="D1015" s="211" t="s">
        <v>12</v>
      </c>
      <c r="E1015" s="208">
        <v>42998</v>
      </c>
      <c r="F1015" s="221">
        <v>2579.4148810000002</v>
      </c>
      <c r="G1015" s="210" t="s">
        <v>16</v>
      </c>
      <c r="H1015" s="211" t="s">
        <v>14</v>
      </c>
      <c r="I1015" s="210">
        <v>1</v>
      </c>
      <c r="J1015" s="210" t="s">
        <v>15</v>
      </c>
      <c r="K1015" s="210" t="s">
        <v>54</v>
      </c>
      <c r="L1015" s="211" t="s">
        <v>60</v>
      </c>
      <c r="M1015" s="211" t="s">
        <v>56</v>
      </c>
    </row>
    <row r="1016" spans="1:13" x14ac:dyDescent="0.2">
      <c r="A1016" s="211" t="s">
        <v>55</v>
      </c>
      <c r="B1016" s="211" t="s">
        <v>58</v>
      </c>
      <c r="C1016" s="211" t="s">
        <v>19</v>
      </c>
      <c r="D1016" s="211" t="s">
        <v>12</v>
      </c>
      <c r="E1016" s="208">
        <v>42998</v>
      </c>
      <c r="F1016" s="209">
        <v>7.9</v>
      </c>
      <c r="G1016" s="210" t="s">
        <v>13</v>
      </c>
      <c r="H1016" s="211" t="s">
        <v>18</v>
      </c>
      <c r="I1016" s="210">
        <v>1</v>
      </c>
      <c r="J1016" s="210" t="s">
        <v>15</v>
      </c>
      <c r="K1016" s="210" t="s">
        <v>54</v>
      </c>
      <c r="L1016" s="211" t="s">
        <v>60</v>
      </c>
      <c r="M1016" s="211" t="s">
        <v>17</v>
      </c>
    </row>
    <row r="1017" spans="1:13" x14ac:dyDescent="0.2">
      <c r="A1017" s="211" t="s">
        <v>55</v>
      </c>
      <c r="B1017" s="211" t="s">
        <v>58</v>
      </c>
      <c r="C1017" s="211" t="s">
        <v>19</v>
      </c>
      <c r="D1017" s="211" t="s">
        <v>12</v>
      </c>
      <c r="E1017" s="208">
        <v>42998</v>
      </c>
      <c r="F1017" s="221">
        <v>2378.4845999999998</v>
      </c>
      <c r="G1017" s="210" t="s">
        <v>16</v>
      </c>
      <c r="H1017" s="211" t="s">
        <v>18</v>
      </c>
      <c r="I1017" s="210">
        <v>1</v>
      </c>
      <c r="J1017" s="210" t="s">
        <v>15</v>
      </c>
      <c r="K1017" s="210" t="s">
        <v>54</v>
      </c>
      <c r="L1017" s="211" t="s">
        <v>60</v>
      </c>
      <c r="M1017" s="211" t="s">
        <v>17</v>
      </c>
    </row>
    <row r="1018" spans="1:13" x14ac:dyDescent="0.2">
      <c r="A1018" s="211" t="s">
        <v>55</v>
      </c>
      <c r="B1018" s="211" t="s">
        <v>58</v>
      </c>
      <c r="C1018" s="211" t="s">
        <v>19</v>
      </c>
      <c r="D1018" s="211" t="s">
        <v>12</v>
      </c>
      <c r="E1018" s="208">
        <v>42997</v>
      </c>
      <c r="F1018" s="209">
        <v>10.644989000000001</v>
      </c>
      <c r="G1018" s="210" t="s">
        <v>13</v>
      </c>
      <c r="H1018" s="211" t="s">
        <v>14</v>
      </c>
      <c r="I1018" s="210">
        <v>1</v>
      </c>
      <c r="J1018" s="210" t="s">
        <v>15</v>
      </c>
      <c r="K1018" s="210" t="s">
        <v>54</v>
      </c>
      <c r="L1018" s="211" t="s">
        <v>60</v>
      </c>
      <c r="M1018" s="211" t="s">
        <v>56</v>
      </c>
    </row>
    <row r="1019" spans="1:13" x14ac:dyDescent="0.2">
      <c r="A1019" s="211" t="s">
        <v>55</v>
      </c>
      <c r="B1019" s="211" t="s">
        <v>58</v>
      </c>
      <c r="C1019" s="211" t="s">
        <v>19</v>
      </c>
      <c r="D1019" s="211" t="s">
        <v>12</v>
      </c>
      <c r="E1019" s="208">
        <v>42997</v>
      </c>
      <c r="F1019" s="221">
        <v>3258.1969534999998</v>
      </c>
      <c r="G1019" s="210" t="s">
        <v>16</v>
      </c>
      <c r="H1019" s="211" t="s">
        <v>14</v>
      </c>
      <c r="I1019" s="210">
        <v>1</v>
      </c>
      <c r="J1019" s="210" t="s">
        <v>15</v>
      </c>
      <c r="K1019" s="210" t="s">
        <v>54</v>
      </c>
      <c r="L1019" s="211" t="s">
        <v>60</v>
      </c>
      <c r="M1019" s="211" t="s">
        <v>56</v>
      </c>
    </row>
    <row r="1020" spans="1:13" x14ac:dyDescent="0.2">
      <c r="A1020" s="211" t="s">
        <v>55</v>
      </c>
      <c r="B1020" s="211" t="s">
        <v>58</v>
      </c>
      <c r="C1020" s="211" t="s">
        <v>19</v>
      </c>
      <c r="D1020" s="211" t="s">
        <v>12</v>
      </c>
      <c r="E1020" s="208">
        <v>42997</v>
      </c>
      <c r="F1020" s="209">
        <v>7.69</v>
      </c>
      <c r="G1020" s="210" t="s">
        <v>13</v>
      </c>
      <c r="H1020" s="211" t="s">
        <v>18</v>
      </c>
      <c r="I1020" s="210">
        <v>1</v>
      </c>
      <c r="J1020" s="210" t="s">
        <v>15</v>
      </c>
      <c r="K1020" s="210" t="s">
        <v>54</v>
      </c>
      <c r="L1020" s="211" t="s">
        <v>60</v>
      </c>
      <c r="M1020" s="211" t="s">
        <v>17</v>
      </c>
    </row>
    <row r="1021" spans="1:13" x14ac:dyDescent="0.2">
      <c r="A1021" s="211" t="s">
        <v>55</v>
      </c>
      <c r="B1021" s="211" t="s">
        <v>58</v>
      </c>
      <c r="C1021" s="211" t="s">
        <v>19</v>
      </c>
      <c r="D1021" s="211" t="s">
        <v>12</v>
      </c>
      <c r="E1021" s="208">
        <v>42997</v>
      </c>
      <c r="F1021" s="221">
        <v>2353.7398199999998</v>
      </c>
      <c r="G1021" s="210" t="s">
        <v>16</v>
      </c>
      <c r="H1021" s="211" t="s">
        <v>18</v>
      </c>
      <c r="I1021" s="210">
        <v>1</v>
      </c>
      <c r="J1021" s="210" t="s">
        <v>15</v>
      </c>
      <c r="K1021" s="210" t="s">
        <v>54</v>
      </c>
      <c r="L1021" s="211" t="s">
        <v>60</v>
      </c>
      <c r="M1021" s="211" t="s">
        <v>17</v>
      </c>
    </row>
    <row r="1022" spans="1:13" x14ac:dyDescent="0.2">
      <c r="A1022" s="211" t="s">
        <v>55</v>
      </c>
      <c r="B1022" s="211" t="s">
        <v>58</v>
      </c>
      <c r="C1022" s="211" t="s">
        <v>19</v>
      </c>
      <c r="D1022" s="211" t="s">
        <v>12</v>
      </c>
      <c r="E1022" s="208">
        <v>42996</v>
      </c>
      <c r="F1022" s="209">
        <v>10.2958084</v>
      </c>
      <c r="G1022" s="210" t="s">
        <v>13</v>
      </c>
      <c r="H1022" s="211" t="s">
        <v>14</v>
      </c>
      <c r="I1022" s="210">
        <v>1</v>
      </c>
      <c r="J1022" s="210" t="s">
        <v>15</v>
      </c>
      <c r="K1022" s="210" t="s">
        <v>54</v>
      </c>
      <c r="L1022" s="211" t="s">
        <v>60</v>
      </c>
      <c r="M1022" s="211" t="s">
        <v>56</v>
      </c>
    </row>
    <row r="1023" spans="1:13" x14ac:dyDescent="0.2">
      <c r="A1023" s="211" t="s">
        <v>55</v>
      </c>
      <c r="B1023" s="211" t="s">
        <v>58</v>
      </c>
      <c r="C1023" s="211" t="s">
        <v>19</v>
      </c>
      <c r="D1023" s="211" t="s">
        <v>12</v>
      </c>
      <c r="E1023" s="208">
        <v>42996</v>
      </c>
      <c r="F1023" s="221">
        <v>3056.8667243999998</v>
      </c>
      <c r="G1023" s="210" t="s">
        <v>16</v>
      </c>
      <c r="H1023" s="211" t="s">
        <v>14</v>
      </c>
      <c r="I1023" s="210">
        <v>1</v>
      </c>
      <c r="J1023" s="210" t="s">
        <v>15</v>
      </c>
      <c r="K1023" s="210" t="s">
        <v>54</v>
      </c>
      <c r="L1023" s="211" t="s">
        <v>60</v>
      </c>
      <c r="M1023" s="211" t="s">
        <v>56</v>
      </c>
    </row>
    <row r="1024" spans="1:13" x14ac:dyDescent="0.2">
      <c r="A1024" s="211" t="s">
        <v>55</v>
      </c>
      <c r="B1024" s="211" t="s">
        <v>58</v>
      </c>
      <c r="C1024" s="211" t="s">
        <v>19</v>
      </c>
      <c r="D1024" s="211" t="s">
        <v>12</v>
      </c>
      <c r="E1024" s="208">
        <v>42996</v>
      </c>
      <c r="F1024" s="209">
        <v>7.08</v>
      </c>
      <c r="G1024" s="210" t="s">
        <v>13</v>
      </c>
      <c r="H1024" s="211" t="s">
        <v>18</v>
      </c>
      <c r="I1024" s="210">
        <v>1</v>
      </c>
      <c r="J1024" s="210" t="s">
        <v>15</v>
      </c>
      <c r="K1024" s="210" t="s">
        <v>54</v>
      </c>
      <c r="L1024" s="211" t="s">
        <v>60</v>
      </c>
      <c r="M1024" s="211" t="s">
        <v>17</v>
      </c>
    </row>
    <row r="1025" spans="1:13" x14ac:dyDescent="0.2">
      <c r="A1025" s="211" t="s">
        <v>55</v>
      </c>
      <c r="B1025" s="211" t="s">
        <v>58</v>
      </c>
      <c r="C1025" s="211" t="s">
        <v>19</v>
      </c>
      <c r="D1025" s="211" t="s">
        <v>12</v>
      </c>
      <c r="E1025" s="208">
        <v>42996</v>
      </c>
      <c r="F1025" s="221">
        <v>2102.08032</v>
      </c>
      <c r="G1025" s="210" t="s">
        <v>16</v>
      </c>
      <c r="H1025" s="211" t="s">
        <v>18</v>
      </c>
      <c r="I1025" s="210">
        <v>1</v>
      </c>
      <c r="J1025" s="210" t="s">
        <v>15</v>
      </c>
      <c r="K1025" s="210" t="s">
        <v>54</v>
      </c>
      <c r="L1025" s="211" t="s">
        <v>60</v>
      </c>
      <c r="M1025" s="211" t="s">
        <v>17</v>
      </c>
    </row>
    <row r="1026" spans="1:13" x14ac:dyDescent="0.2">
      <c r="A1026" s="211" t="s">
        <v>55</v>
      </c>
      <c r="B1026" s="211" t="s">
        <v>58</v>
      </c>
      <c r="C1026" s="211" t="s">
        <v>19</v>
      </c>
      <c r="D1026" s="211" t="s">
        <v>12</v>
      </c>
      <c r="E1026" s="208">
        <v>42995</v>
      </c>
      <c r="F1026" s="209">
        <v>9.0303600999999993</v>
      </c>
      <c r="G1026" s="210" t="s">
        <v>13</v>
      </c>
      <c r="H1026" s="211" t="s">
        <v>14</v>
      </c>
      <c r="I1026" s="210">
        <v>1</v>
      </c>
      <c r="J1026" s="210" t="s">
        <v>15</v>
      </c>
      <c r="K1026" s="210" t="s">
        <v>54</v>
      </c>
      <c r="L1026" s="211" t="s">
        <v>60</v>
      </c>
      <c r="M1026" s="211" t="s">
        <v>56</v>
      </c>
    </row>
    <row r="1027" spans="1:13" x14ac:dyDescent="0.2">
      <c r="A1027" s="211" t="s">
        <v>55</v>
      </c>
      <c r="B1027" s="211" t="s">
        <v>58</v>
      </c>
      <c r="C1027" s="211" t="s">
        <v>19</v>
      </c>
      <c r="D1027" s="211" t="s">
        <v>12</v>
      </c>
      <c r="E1027" s="208">
        <v>42995</v>
      </c>
      <c r="F1027" s="221">
        <v>2575.7115536000001</v>
      </c>
      <c r="G1027" s="210" t="s">
        <v>16</v>
      </c>
      <c r="H1027" s="211" t="s">
        <v>14</v>
      </c>
      <c r="I1027" s="210">
        <v>1</v>
      </c>
      <c r="J1027" s="210" t="s">
        <v>15</v>
      </c>
      <c r="K1027" s="210" t="s">
        <v>54</v>
      </c>
      <c r="L1027" s="211" t="s">
        <v>60</v>
      </c>
      <c r="M1027" s="211" t="s">
        <v>56</v>
      </c>
    </row>
    <row r="1028" spans="1:13" x14ac:dyDescent="0.2">
      <c r="A1028" s="211" t="s">
        <v>55</v>
      </c>
      <c r="B1028" s="211" t="s">
        <v>58</v>
      </c>
      <c r="C1028" s="211" t="s">
        <v>19</v>
      </c>
      <c r="D1028" s="211" t="s">
        <v>12</v>
      </c>
      <c r="E1028" s="208">
        <v>42995</v>
      </c>
      <c r="F1028" s="209">
        <v>7.98</v>
      </c>
      <c r="G1028" s="210" t="s">
        <v>13</v>
      </c>
      <c r="H1028" s="211" t="s">
        <v>18</v>
      </c>
      <c r="I1028" s="210">
        <v>1</v>
      </c>
      <c r="J1028" s="210" t="s">
        <v>15</v>
      </c>
      <c r="K1028" s="210" t="s">
        <v>54</v>
      </c>
      <c r="L1028" s="211" t="s">
        <v>60</v>
      </c>
      <c r="M1028" s="211" t="s">
        <v>17</v>
      </c>
    </row>
    <row r="1029" spans="1:13" x14ac:dyDescent="0.2">
      <c r="A1029" s="211" t="s">
        <v>55</v>
      </c>
      <c r="B1029" s="211" t="s">
        <v>58</v>
      </c>
      <c r="C1029" s="211" t="s">
        <v>19</v>
      </c>
      <c r="D1029" s="211" t="s">
        <v>12</v>
      </c>
      <c r="E1029" s="208">
        <v>42995</v>
      </c>
      <c r="F1029" s="221">
        <v>2276.1194399999999</v>
      </c>
      <c r="G1029" s="210" t="s">
        <v>16</v>
      </c>
      <c r="H1029" s="211" t="s">
        <v>18</v>
      </c>
      <c r="I1029" s="210">
        <v>1</v>
      </c>
      <c r="J1029" s="210" t="s">
        <v>15</v>
      </c>
      <c r="K1029" s="210" t="s">
        <v>54</v>
      </c>
      <c r="L1029" s="211" t="s">
        <v>60</v>
      </c>
      <c r="M1029" s="211" t="s">
        <v>17</v>
      </c>
    </row>
    <row r="1030" spans="1:13" x14ac:dyDescent="0.2">
      <c r="A1030" s="211" t="s">
        <v>55</v>
      </c>
      <c r="B1030" s="211" t="s">
        <v>58</v>
      </c>
      <c r="C1030" s="211" t="s">
        <v>19</v>
      </c>
      <c r="D1030" s="211" t="s">
        <v>12</v>
      </c>
      <c r="E1030" s="208">
        <v>42994</v>
      </c>
      <c r="F1030" s="209">
        <v>10.647208300000001</v>
      </c>
      <c r="G1030" s="210" t="s">
        <v>13</v>
      </c>
      <c r="H1030" s="211" t="s">
        <v>14</v>
      </c>
      <c r="I1030" s="210">
        <v>1</v>
      </c>
      <c r="J1030" s="210" t="s">
        <v>15</v>
      </c>
      <c r="K1030" s="210" t="s">
        <v>54</v>
      </c>
      <c r="L1030" s="211" t="s">
        <v>60</v>
      </c>
      <c r="M1030" s="211" t="s">
        <v>56</v>
      </c>
    </row>
    <row r="1031" spans="1:13" x14ac:dyDescent="0.2">
      <c r="A1031" s="211" t="s">
        <v>55</v>
      </c>
      <c r="B1031" s="211" t="s">
        <v>58</v>
      </c>
      <c r="C1031" s="211" t="s">
        <v>19</v>
      </c>
      <c r="D1031" s="211" t="s">
        <v>12</v>
      </c>
      <c r="E1031" s="208">
        <v>42994</v>
      </c>
      <c r="F1031" s="221">
        <v>2965.8437699000001</v>
      </c>
      <c r="G1031" s="210" t="s">
        <v>16</v>
      </c>
      <c r="H1031" s="211" t="s">
        <v>14</v>
      </c>
      <c r="I1031" s="210">
        <v>1</v>
      </c>
      <c r="J1031" s="210" t="s">
        <v>15</v>
      </c>
      <c r="K1031" s="210" t="s">
        <v>54</v>
      </c>
      <c r="L1031" s="211" t="s">
        <v>60</v>
      </c>
      <c r="M1031" s="211" t="s">
        <v>56</v>
      </c>
    </row>
    <row r="1032" spans="1:13" x14ac:dyDescent="0.2">
      <c r="A1032" s="211" t="s">
        <v>55</v>
      </c>
      <c r="B1032" s="211" t="s">
        <v>58</v>
      </c>
      <c r="C1032" s="211" t="s">
        <v>19</v>
      </c>
      <c r="D1032" s="211" t="s">
        <v>12</v>
      </c>
      <c r="E1032" s="208">
        <v>42994</v>
      </c>
      <c r="F1032" s="209">
        <v>8.2200000000000006</v>
      </c>
      <c r="G1032" s="210" t="s">
        <v>13</v>
      </c>
      <c r="H1032" s="211" t="s">
        <v>18</v>
      </c>
      <c r="I1032" s="210">
        <v>1</v>
      </c>
      <c r="J1032" s="210" t="s">
        <v>15</v>
      </c>
      <c r="K1032" s="210" t="s">
        <v>54</v>
      </c>
      <c r="L1032" s="211" t="s">
        <v>60</v>
      </c>
      <c r="M1032" s="211" t="s">
        <v>17</v>
      </c>
    </row>
    <row r="1033" spans="1:13" x14ac:dyDescent="0.2">
      <c r="A1033" s="211" t="s">
        <v>55</v>
      </c>
      <c r="B1033" s="211" t="s">
        <v>58</v>
      </c>
      <c r="C1033" s="211" t="s">
        <v>19</v>
      </c>
      <c r="D1033" s="211" t="s">
        <v>12</v>
      </c>
      <c r="E1033" s="208">
        <v>42994</v>
      </c>
      <c r="F1033" s="221">
        <v>2289.7303200000001</v>
      </c>
      <c r="G1033" s="210" t="s">
        <v>16</v>
      </c>
      <c r="H1033" s="211" t="s">
        <v>18</v>
      </c>
      <c r="I1033" s="210">
        <v>1</v>
      </c>
      <c r="J1033" s="210" t="s">
        <v>15</v>
      </c>
      <c r="K1033" s="210" t="s">
        <v>54</v>
      </c>
      <c r="L1033" s="211" t="s">
        <v>60</v>
      </c>
      <c r="M1033" s="211" t="s">
        <v>17</v>
      </c>
    </row>
    <row r="1034" spans="1:13" x14ac:dyDescent="0.2">
      <c r="A1034" s="211" t="s">
        <v>55</v>
      </c>
      <c r="B1034" s="211" t="s">
        <v>58</v>
      </c>
      <c r="C1034" s="211" t="s">
        <v>19</v>
      </c>
      <c r="D1034" s="211" t="s">
        <v>12</v>
      </c>
      <c r="E1034" s="208">
        <v>42993</v>
      </c>
      <c r="F1034" s="209">
        <v>9.2398708999999997</v>
      </c>
      <c r="G1034" s="210" t="s">
        <v>13</v>
      </c>
      <c r="H1034" s="211" t="s">
        <v>14</v>
      </c>
      <c r="I1034" s="210">
        <v>1</v>
      </c>
      <c r="J1034" s="210" t="s">
        <v>15</v>
      </c>
      <c r="K1034" s="210" t="s">
        <v>54</v>
      </c>
      <c r="L1034" s="211" t="s">
        <v>60</v>
      </c>
      <c r="M1034" s="211" t="s">
        <v>56</v>
      </c>
    </row>
    <row r="1035" spans="1:13" x14ac:dyDescent="0.2">
      <c r="A1035" s="211" t="s">
        <v>55</v>
      </c>
      <c r="B1035" s="211" t="s">
        <v>58</v>
      </c>
      <c r="C1035" s="211" t="s">
        <v>19</v>
      </c>
      <c r="D1035" s="211" t="s">
        <v>12</v>
      </c>
      <c r="E1035" s="208">
        <v>42993</v>
      </c>
      <c r="F1035" s="221">
        <v>2558.4093785</v>
      </c>
      <c r="G1035" s="210" t="s">
        <v>16</v>
      </c>
      <c r="H1035" s="211" t="s">
        <v>14</v>
      </c>
      <c r="I1035" s="210">
        <v>1</v>
      </c>
      <c r="J1035" s="210" t="s">
        <v>15</v>
      </c>
      <c r="K1035" s="210" t="s">
        <v>54</v>
      </c>
      <c r="L1035" s="211" t="s">
        <v>60</v>
      </c>
      <c r="M1035" s="211" t="s">
        <v>56</v>
      </c>
    </row>
    <row r="1036" spans="1:13" x14ac:dyDescent="0.2">
      <c r="A1036" s="211" t="s">
        <v>55</v>
      </c>
      <c r="B1036" s="211" t="s">
        <v>58</v>
      </c>
      <c r="C1036" s="211" t="s">
        <v>19</v>
      </c>
      <c r="D1036" s="211" t="s">
        <v>12</v>
      </c>
      <c r="E1036" s="208">
        <v>42993</v>
      </c>
      <c r="F1036" s="209">
        <v>8.18</v>
      </c>
      <c r="G1036" s="210" t="s">
        <v>13</v>
      </c>
      <c r="H1036" s="211" t="s">
        <v>18</v>
      </c>
      <c r="I1036" s="210">
        <v>1</v>
      </c>
      <c r="J1036" s="210" t="s">
        <v>15</v>
      </c>
      <c r="K1036" s="210" t="s">
        <v>54</v>
      </c>
      <c r="L1036" s="211" t="s">
        <v>60</v>
      </c>
      <c r="M1036" s="211" t="s">
        <v>17</v>
      </c>
    </row>
    <row r="1037" spans="1:13" x14ac:dyDescent="0.2">
      <c r="A1037" s="211" t="s">
        <v>55</v>
      </c>
      <c r="B1037" s="211" t="s">
        <v>58</v>
      </c>
      <c r="C1037" s="211" t="s">
        <v>19</v>
      </c>
      <c r="D1037" s="211" t="s">
        <v>12</v>
      </c>
      <c r="E1037" s="208">
        <v>42993</v>
      </c>
      <c r="F1037" s="221">
        <v>2264.9438399999999</v>
      </c>
      <c r="G1037" s="210" t="s">
        <v>16</v>
      </c>
      <c r="H1037" s="211" t="s">
        <v>18</v>
      </c>
      <c r="I1037" s="210">
        <v>1</v>
      </c>
      <c r="J1037" s="210" t="s">
        <v>15</v>
      </c>
      <c r="K1037" s="210" t="s">
        <v>54</v>
      </c>
      <c r="L1037" s="211" t="s">
        <v>60</v>
      </c>
      <c r="M1037" s="211" t="s">
        <v>17</v>
      </c>
    </row>
    <row r="1038" spans="1:13" x14ac:dyDescent="0.2">
      <c r="A1038" s="211" t="s">
        <v>55</v>
      </c>
      <c r="B1038" s="211" t="s">
        <v>58</v>
      </c>
      <c r="C1038" s="211" t="s">
        <v>19</v>
      </c>
      <c r="D1038" s="211" t="s">
        <v>12</v>
      </c>
      <c r="E1038" s="208">
        <v>42992</v>
      </c>
      <c r="F1038" s="209">
        <v>8.2555721999999996</v>
      </c>
      <c r="G1038" s="210" t="s">
        <v>13</v>
      </c>
      <c r="H1038" s="211" t="s">
        <v>14</v>
      </c>
      <c r="I1038" s="210">
        <v>1</v>
      </c>
      <c r="J1038" s="210" t="s">
        <v>15</v>
      </c>
      <c r="K1038" s="210" t="s">
        <v>54</v>
      </c>
      <c r="L1038" s="211" t="s">
        <v>60</v>
      </c>
      <c r="M1038" s="211" t="s">
        <v>56</v>
      </c>
    </row>
    <row r="1039" spans="1:13" x14ac:dyDescent="0.2">
      <c r="A1039" s="211" t="s">
        <v>55</v>
      </c>
      <c r="B1039" s="211" t="s">
        <v>58</v>
      </c>
      <c r="C1039" s="211" t="s">
        <v>19</v>
      </c>
      <c r="D1039" s="211" t="s">
        <v>12</v>
      </c>
      <c r="E1039" s="208">
        <v>42992</v>
      </c>
      <c r="F1039" s="221">
        <v>2347.8352221999999</v>
      </c>
      <c r="G1039" s="210" t="s">
        <v>16</v>
      </c>
      <c r="H1039" s="211" t="s">
        <v>14</v>
      </c>
      <c r="I1039" s="210">
        <v>1</v>
      </c>
      <c r="J1039" s="210" t="s">
        <v>15</v>
      </c>
      <c r="K1039" s="210" t="s">
        <v>54</v>
      </c>
      <c r="L1039" s="211" t="s">
        <v>60</v>
      </c>
      <c r="M1039" s="211" t="s">
        <v>56</v>
      </c>
    </row>
    <row r="1040" spans="1:13" x14ac:dyDescent="0.2">
      <c r="A1040" s="211" t="s">
        <v>55</v>
      </c>
      <c r="B1040" s="211" t="s">
        <v>58</v>
      </c>
      <c r="C1040" s="211" t="s">
        <v>19</v>
      </c>
      <c r="D1040" s="211" t="s">
        <v>12</v>
      </c>
      <c r="E1040" s="208">
        <v>42992</v>
      </c>
      <c r="F1040" s="209">
        <v>8.23</v>
      </c>
      <c r="G1040" s="210" t="s">
        <v>13</v>
      </c>
      <c r="H1040" s="211" t="s">
        <v>18</v>
      </c>
      <c r="I1040" s="210">
        <v>1</v>
      </c>
      <c r="J1040" s="210" t="s">
        <v>15</v>
      </c>
      <c r="K1040" s="210" t="s">
        <v>54</v>
      </c>
      <c r="L1040" s="211" t="s">
        <v>60</v>
      </c>
      <c r="M1040" s="211" t="s">
        <v>17</v>
      </c>
    </row>
    <row r="1041" spans="1:13" x14ac:dyDescent="0.2">
      <c r="A1041" s="211" t="s">
        <v>55</v>
      </c>
      <c r="B1041" s="211" t="s">
        <v>58</v>
      </c>
      <c r="C1041" s="211" t="s">
        <v>19</v>
      </c>
      <c r="D1041" s="211" t="s">
        <v>12</v>
      </c>
      <c r="E1041" s="208">
        <v>42992</v>
      </c>
      <c r="F1041" s="221">
        <v>2340.5626200000002</v>
      </c>
      <c r="G1041" s="210" t="s">
        <v>16</v>
      </c>
      <c r="H1041" s="211" t="s">
        <v>18</v>
      </c>
      <c r="I1041" s="210">
        <v>1</v>
      </c>
      <c r="J1041" s="210" t="s">
        <v>15</v>
      </c>
      <c r="K1041" s="210" t="s">
        <v>54</v>
      </c>
      <c r="L1041" s="211" t="s">
        <v>60</v>
      </c>
      <c r="M1041" s="211" t="s">
        <v>17</v>
      </c>
    </row>
    <row r="1042" spans="1:13" x14ac:dyDescent="0.2">
      <c r="A1042" s="211" t="s">
        <v>55</v>
      </c>
      <c r="B1042" s="211" t="s">
        <v>58</v>
      </c>
      <c r="C1042" s="211" t="s">
        <v>19</v>
      </c>
      <c r="D1042" s="211" t="s">
        <v>12</v>
      </c>
      <c r="E1042" s="208">
        <v>42991</v>
      </c>
      <c r="F1042" s="209">
        <v>9.9143296000000003</v>
      </c>
      <c r="G1042" s="210" t="s">
        <v>13</v>
      </c>
      <c r="H1042" s="211" t="s">
        <v>14</v>
      </c>
      <c r="I1042" s="210">
        <v>1</v>
      </c>
      <c r="J1042" s="210" t="s">
        <v>15</v>
      </c>
      <c r="K1042" s="210" t="s">
        <v>54</v>
      </c>
      <c r="L1042" s="211" t="s">
        <v>60</v>
      </c>
      <c r="M1042" s="211" t="s">
        <v>56</v>
      </c>
    </row>
    <row r="1043" spans="1:13" x14ac:dyDescent="0.2">
      <c r="A1043" s="211" t="s">
        <v>55</v>
      </c>
      <c r="B1043" s="211" t="s">
        <v>58</v>
      </c>
      <c r="C1043" s="211" t="s">
        <v>19</v>
      </c>
      <c r="D1043" s="211" t="s">
        <v>12</v>
      </c>
      <c r="E1043" s="208">
        <v>42991</v>
      </c>
      <c r="F1043" s="221">
        <v>3199.9291997</v>
      </c>
      <c r="G1043" s="210" t="s">
        <v>16</v>
      </c>
      <c r="H1043" s="211" t="s">
        <v>14</v>
      </c>
      <c r="I1043" s="210">
        <v>1</v>
      </c>
      <c r="J1043" s="210" t="s">
        <v>15</v>
      </c>
      <c r="K1043" s="210" t="s">
        <v>54</v>
      </c>
      <c r="L1043" s="211" t="s">
        <v>60</v>
      </c>
      <c r="M1043" s="211" t="s">
        <v>56</v>
      </c>
    </row>
    <row r="1044" spans="1:13" x14ac:dyDescent="0.2">
      <c r="A1044" s="211" t="s">
        <v>55</v>
      </c>
      <c r="B1044" s="211" t="s">
        <v>58</v>
      </c>
      <c r="C1044" s="211" t="s">
        <v>19</v>
      </c>
      <c r="D1044" s="211" t="s">
        <v>12</v>
      </c>
      <c r="E1044" s="208">
        <v>42991</v>
      </c>
      <c r="F1044" s="209">
        <v>8.84</v>
      </c>
      <c r="G1044" s="210" t="s">
        <v>13</v>
      </c>
      <c r="H1044" s="211" t="s">
        <v>18</v>
      </c>
      <c r="I1044" s="210">
        <v>1</v>
      </c>
      <c r="J1044" s="210" t="s">
        <v>15</v>
      </c>
      <c r="K1044" s="210" t="s">
        <v>54</v>
      </c>
      <c r="L1044" s="211" t="s">
        <v>60</v>
      </c>
      <c r="M1044" s="211" t="s">
        <v>17</v>
      </c>
    </row>
    <row r="1045" spans="1:13" x14ac:dyDescent="0.2">
      <c r="A1045" s="211" t="s">
        <v>55</v>
      </c>
      <c r="B1045" s="211" t="s">
        <v>58</v>
      </c>
      <c r="C1045" s="211" t="s">
        <v>19</v>
      </c>
      <c r="D1045" s="211" t="s">
        <v>12</v>
      </c>
      <c r="E1045" s="208">
        <v>42991</v>
      </c>
      <c r="F1045" s="221">
        <v>2853.1807199999998</v>
      </c>
      <c r="G1045" s="210" t="s">
        <v>16</v>
      </c>
      <c r="H1045" s="211" t="s">
        <v>18</v>
      </c>
      <c r="I1045" s="210">
        <v>1</v>
      </c>
      <c r="J1045" s="210" t="s">
        <v>15</v>
      </c>
      <c r="K1045" s="210" t="s">
        <v>54</v>
      </c>
      <c r="L1045" s="211" t="s">
        <v>60</v>
      </c>
      <c r="M1045" s="211" t="s">
        <v>17</v>
      </c>
    </row>
    <row r="1046" spans="1:13" x14ac:dyDescent="0.2">
      <c r="A1046" s="211" t="s">
        <v>55</v>
      </c>
      <c r="B1046" s="211" t="s">
        <v>58</v>
      </c>
      <c r="C1046" s="211" t="s">
        <v>19</v>
      </c>
      <c r="D1046" s="211" t="s">
        <v>12</v>
      </c>
      <c r="E1046" s="208">
        <v>42990</v>
      </c>
      <c r="F1046" s="209">
        <v>11.096876699999999</v>
      </c>
      <c r="G1046" s="210" t="s">
        <v>13</v>
      </c>
      <c r="H1046" s="211" t="s">
        <v>14</v>
      </c>
      <c r="I1046" s="210">
        <v>1</v>
      </c>
      <c r="J1046" s="210" t="s">
        <v>15</v>
      </c>
      <c r="K1046" s="210" t="s">
        <v>54</v>
      </c>
      <c r="L1046" s="211" t="s">
        <v>60</v>
      </c>
      <c r="M1046" s="211" t="s">
        <v>56</v>
      </c>
    </row>
    <row r="1047" spans="1:13" x14ac:dyDescent="0.2">
      <c r="A1047" s="211" t="s">
        <v>55</v>
      </c>
      <c r="B1047" s="211" t="s">
        <v>58</v>
      </c>
      <c r="C1047" s="211" t="s">
        <v>19</v>
      </c>
      <c r="D1047" s="211" t="s">
        <v>12</v>
      </c>
      <c r="E1047" s="208">
        <v>42990</v>
      </c>
      <c r="F1047" s="221">
        <v>3572.3509352000001</v>
      </c>
      <c r="G1047" s="210" t="s">
        <v>16</v>
      </c>
      <c r="H1047" s="211" t="s">
        <v>14</v>
      </c>
      <c r="I1047" s="210">
        <v>1</v>
      </c>
      <c r="J1047" s="210" t="s">
        <v>15</v>
      </c>
      <c r="K1047" s="210" t="s">
        <v>54</v>
      </c>
      <c r="L1047" s="211" t="s">
        <v>60</v>
      </c>
      <c r="M1047" s="211" t="s">
        <v>56</v>
      </c>
    </row>
    <row r="1048" spans="1:13" x14ac:dyDescent="0.2">
      <c r="A1048" s="211" t="s">
        <v>55</v>
      </c>
      <c r="B1048" s="211" t="s">
        <v>58</v>
      </c>
      <c r="C1048" s="211" t="s">
        <v>19</v>
      </c>
      <c r="D1048" s="211" t="s">
        <v>12</v>
      </c>
      <c r="E1048" s="208">
        <v>42990</v>
      </c>
      <c r="F1048" s="209">
        <v>8.8800000000000008</v>
      </c>
      <c r="G1048" s="210" t="s">
        <v>13</v>
      </c>
      <c r="H1048" s="211" t="s">
        <v>18</v>
      </c>
      <c r="I1048" s="210">
        <v>1</v>
      </c>
      <c r="J1048" s="210" t="s">
        <v>15</v>
      </c>
      <c r="K1048" s="210" t="s">
        <v>54</v>
      </c>
      <c r="L1048" s="211" t="s">
        <v>60</v>
      </c>
      <c r="M1048" s="211" t="s">
        <v>17</v>
      </c>
    </row>
    <row r="1049" spans="1:13" x14ac:dyDescent="0.2">
      <c r="A1049" s="211" t="s">
        <v>55</v>
      </c>
      <c r="B1049" s="211" t="s">
        <v>58</v>
      </c>
      <c r="C1049" s="211" t="s">
        <v>19</v>
      </c>
      <c r="D1049" s="211" t="s">
        <v>12</v>
      </c>
      <c r="E1049" s="208">
        <v>42990</v>
      </c>
      <c r="F1049" s="221">
        <v>2858.6851200000001</v>
      </c>
      <c r="G1049" s="210" t="s">
        <v>16</v>
      </c>
      <c r="H1049" s="211" t="s">
        <v>18</v>
      </c>
      <c r="I1049" s="210">
        <v>1</v>
      </c>
      <c r="J1049" s="210" t="s">
        <v>15</v>
      </c>
      <c r="K1049" s="210" t="s">
        <v>54</v>
      </c>
      <c r="L1049" s="211" t="s">
        <v>60</v>
      </c>
      <c r="M1049" s="211" t="s">
        <v>17</v>
      </c>
    </row>
    <row r="1050" spans="1:13" x14ac:dyDescent="0.2">
      <c r="A1050" s="211" t="s">
        <v>55</v>
      </c>
      <c r="B1050" s="211" t="s">
        <v>58</v>
      </c>
      <c r="C1050" s="211" t="s">
        <v>19</v>
      </c>
      <c r="D1050" s="211" t="s">
        <v>12</v>
      </c>
      <c r="E1050" s="208">
        <v>42989</v>
      </c>
      <c r="F1050" s="209">
        <v>9.4936699999999998</v>
      </c>
      <c r="G1050" s="210" t="s">
        <v>13</v>
      </c>
      <c r="H1050" s="211" t="s">
        <v>14</v>
      </c>
      <c r="I1050" s="210">
        <v>1</v>
      </c>
      <c r="J1050" s="210" t="s">
        <v>15</v>
      </c>
      <c r="K1050" s="210" t="s">
        <v>54</v>
      </c>
      <c r="L1050" s="211" t="s">
        <v>60</v>
      </c>
      <c r="M1050" s="211" t="s">
        <v>56</v>
      </c>
    </row>
    <row r="1051" spans="1:13" x14ac:dyDescent="0.2">
      <c r="A1051" s="211" t="s">
        <v>55</v>
      </c>
      <c r="B1051" s="211" t="s">
        <v>58</v>
      </c>
      <c r="C1051" s="211" t="s">
        <v>19</v>
      </c>
      <c r="D1051" s="211" t="s">
        <v>12</v>
      </c>
      <c r="E1051" s="208">
        <v>42989</v>
      </c>
      <c r="F1051" s="221">
        <v>3032.4870660000001</v>
      </c>
      <c r="G1051" s="210" t="s">
        <v>16</v>
      </c>
      <c r="H1051" s="211" t="s">
        <v>14</v>
      </c>
      <c r="I1051" s="210">
        <v>1</v>
      </c>
      <c r="J1051" s="210" t="s">
        <v>15</v>
      </c>
      <c r="K1051" s="210" t="s">
        <v>54</v>
      </c>
      <c r="L1051" s="211" t="s">
        <v>60</v>
      </c>
      <c r="M1051" s="211" t="s">
        <v>56</v>
      </c>
    </row>
    <row r="1052" spans="1:13" x14ac:dyDescent="0.2">
      <c r="A1052" s="211" t="s">
        <v>55</v>
      </c>
      <c r="B1052" s="211" t="s">
        <v>58</v>
      </c>
      <c r="C1052" s="211" t="s">
        <v>19</v>
      </c>
      <c r="D1052" s="211" t="s">
        <v>12</v>
      </c>
      <c r="E1052" s="208">
        <v>42989</v>
      </c>
      <c r="F1052" s="209">
        <v>7.21</v>
      </c>
      <c r="G1052" s="210" t="s">
        <v>13</v>
      </c>
      <c r="H1052" s="211" t="s">
        <v>18</v>
      </c>
      <c r="I1052" s="210">
        <v>1</v>
      </c>
      <c r="J1052" s="210" t="s">
        <v>15</v>
      </c>
      <c r="K1052" s="210" t="s">
        <v>54</v>
      </c>
      <c r="L1052" s="211" t="s">
        <v>60</v>
      </c>
      <c r="M1052" s="211" t="s">
        <v>17</v>
      </c>
    </row>
    <row r="1053" spans="1:13" x14ac:dyDescent="0.2">
      <c r="A1053" s="211" t="s">
        <v>55</v>
      </c>
      <c r="B1053" s="211" t="s">
        <v>58</v>
      </c>
      <c r="C1053" s="211" t="s">
        <v>19</v>
      </c>
      <c r="D1053" s="211" t="s">
        <v>12</v>
      </c>
      <c r="E1053" s="208">
        <v>42989</v>
      </c>
      <c r="F1053" s="221">
        <v>2303.03262</v>
      </c>
      <c r="G1053" s="210" t="s">
        <v>16</v>
      </c>
      <c r="H1053" s="211" t="s">
        <v>18</v>
      </c>
      <c r="I1053" s="210">
        <v>1</v>
      </c>
      <c r="J1053" s="210" t="s">
        <v>15</v>
      </c>
      <c r="K1053" s="210" t="s">
        <v>54</v>
      </c>
      <c r="L1053" s="211" t="s">
        <v>60</v>
      </c>
      <c r="M1053" s="211" t="s">
        <v>17</v>
      </c>
    </row>
    <row r="1054" spans="1:13" x14ac:dyDescent="0.2">
      <c r="A1054" s="211" t="s">
        <v>55</v>
      </c>
      <c r="B1054" s="211" t="s">
        <v>58</v>
      </c>
      <c r="C1054" s="211" t="s">
        <v>19</v>
      </c>
      <c r="D1054" s="211" t="s">
        <v>12</v>
      </c>
      <c r="E1054" s="208">
        <v>42988</v>
      </c>
      <c r="F1054" s="209">
        <v>14.5001911</v>
      </c>
      <c r="G1054" s="210" t="s">
        <v>13</v>
      </c>
      <c r="H1054" s="211" t="s">
        <v>14</v>
      </c>
      <c r="I1054" s="210">
        <v>1</v>
      </c>
      <c r="J1054" s="210" t="s">
        <v>15</v>
      </c>
      <c r="K1054" s="210" t="s">
        <v>54</v>
      </c>
      <c r="L1054" s="211" t="s">
        <v>60</v>
      </c>
      <c r="M1054" s="211" t="s">
        <v>56</v>
      </c>
    </row>
    <row r="1055" spans="1:13" x14ac:dyDescent="0.2">
      <c r="A1055" s="211" t="s">
        <v>55</v>
      </c>
      <c r="B1055" s="211" t="s">
        <v>58</v>
      </c>
      <c r="C1055" s="211" t="s">
        <v>19</v>
      </c>
      <c r="D1055" s="211" t="s">
        <v>12</v>
      </c>
      <c r="E1055" s="208">
        <v>42988</v>
      </c>
      <c r="F1055" s="221">
        <v>4788.8911439000003</v>
      </c>
      <c r="G1055" s="210" t="s">
        <v>16</v>
      </c>
      <c r="H1055" s="211" t="s">
        <v>14</v>
      </c>
      <c r="I1055" s="210">
        <v>1</v>
      </c>
      <c r="J1055" s="210" t="s">
        <v>15</v>
      </c>
      <c r="K1055" s="210" t="s">
        <v>54</v>
      </c>
      <c r="L1055" s="211" t="s">
        <v>60</v>
      </c>
      <c r="M1055" s="211" t="s">
        <v>56</v>
      </c>
    </row>
    <row r="1056" spans="1:13" x14ac:dyDescent="0.2">
      <c r="A1056" s="211" t="s">
        <v>55</v>
      </c>
      <c r="B1056" s="211" t="s">
        <v>58</v>
      </c>
      <c r="C1056" s="211" t="s">
        <v>19</v>
      </c>
      <c r="D1056" s="211" t="s">
        <v>12</v>
      </c>
      <c r="E1056" s="208">
        <v>42988</v>
      </c>
      <c r="F1056" s="209">
        <v>7.57</v>
      </c>
      <c r="G1056" s="210" t="s">
        <v>13</v>
      </c>
      <c r="H1056" s="211" t="s">
        <v>18</v>
      </c>
      <c r="I1056" s="210">
        <v>1</v>
      </c>
      <c r="J1056" s="210" t="s">
        <v>15</v>
      </c>
      <c r="K1056" s="210" t="s">
        <v>54</v>
      </c>
      <c r="L1056" s="211" t="s">
        <v>60</v>
      </c>
      <c r="M1056" s="211" t="s">
        <v>17</v>
      </c>
    </row>
    <row r="1057" spans="1:13" x14ac:dyDescent="0.2">
      <c r="A1057" s="211" t="s">
        <v>55</v>
      </c>
      <c r="B1057" s="211" t="s">
        <v>58</v>
      </c>
      <c r="C1057" s="211" t="s">
        <v>19</v>
      </c>
      <c r="D1057" s="211" t="s">
        <v>12</v>
      </c>
      <c r="E1057" s="208">
        <v>42988</v>
      </c>
      <c r="F1057" s="221">
        <v>2500.0984800000001</v>
      </c>
      <c r="G1057" s="210" t="s">
        <v>16</v>
      </c>
      <c r="H1057" s="211" t="s">
        <v>18</v>
      </c>
      <c r="I1057" s="210">
        <v>1</v>
      </c>
      <c r="J1057" s="210" t="s">
        <v>15</v>
      </c>
      <c r="K1057" s="210" t="s">
        <v>54</v>
      </c>
      <c r="L1057" s="211" t="s">
        <v>60</v>
      </c>
      <c r="M1057" s="211" t="s">
        <v>17</v>
      </c>
    </row>
    <row r="1058" spans="1:13" x14ac:dyDescent="0.2">
      <c r="A1058" s="211" t="s">
        <v>55</v>
      </c>
      <c r="B1058" s="211" t="s">
        <v>58</v>
      </c>
      <c r="C1058" s="211" t="s">
        <v>19</v>
      </c>
      <c r="D1058" s="211" t="s">
        <v>12</v>
      </c>
      <c r="E1058" s="208">
        <v>42987</v>
      </c>
      <c r="F1058" s="209">
        <v>12.2617121</v>
      </c>
      <c r="G1058" s="210" t="s">
        <v>13</v>
      </c>
      <c r="H1058" s="211" t="s">
        <v>14</v>
      </c>
      <c r="I1058" s="210">
        <v>1</v>
      </c>
      <c r="J1058" s="210" t="s">
        <v>15</v>
      </c>
      <c r="K1058" s="210" t="s">
        <v>54</v>
      </c>
      <c r="L1058" s="211" t="s">
        <v>60</v>
      </c>
      <c r="M1058" s="211" t="s">
        <v>56</v>
      </c>
    </row>
    <row r="1059" spans="1:13" x14ac:dyDescent="0.2">
      <c r="A1059" s="211" t="s">
        <v>55</v>
      </c>
      <c r="B1059" s="211" t="s">
        <v>58</v>
      </c>
      <c r="C1059" s="211" t="s">
        <v>19</v>
      </c>
      <c r="D1059" s="211" t="s">
        <v>12</v>
      </c>
      <c r="E1059" s="208">
        <v>42987</v>
      </c>
      <c r="F1059" s="221">
        <v>3834.8504680000001</v>
      </c>
      <c r="G1059" s="210" t="s">
        <v>16</v>
      </c>
      <c r="H1059" s="211" t="s">
        <v>14</v>
      </c>
      <c r="I1059" s="210">
        <v>1</v>
      </c>
      <c r="J1059" s="210" t="s">
        <v>15</v>
      </c>
      <c r="K1059" s="210" t="s">
        <v>54</v>
      </c>
      <c r="L1059" s="211" t="s">
        <v>60</v>
      </c>
      <c r="M1059" s="211" t="s">
        <v>56</v>
      </c>
    </row>
    <row r="1060" spans="1:13" x14ac:dyDescent="0.2">
      <c r="A1060" s="211" t="s">
        <v>55</v>
      </c>
      <c r="B1060" s="211" t="s">
        <v>58</v>
      </c>
      <c r="C1060" s="211" t="s">
        <v>19</v>
      </c>
      <c r="D1060" s="211" t="s">
        <v>12</v>
      </c>
      <c r="E1060" s="208">
        <v>42987</v>
      </c>
      <c r="F1060" s="209">
        <v>7.75</v>
      </c>
      <c r="G1060" s="210" t="s">
        <v>13</v>
      </c>
      <c r="H1060" s="211" t="s">
        <v>18</v>
      </c>
      <c r="I1060" s="210">
        <v>1</v>
      </c>
      <c r="J1060" s="210" t="s">
        <v>15</v>
      </c>
      <c r="K1060" s="210" t="s">
        <v>54</v>
      </c>
      <c r="L1060" s="211" t="s">
        <v>60</v>
      </c>
      <c r="M1060" s="211" t="s">
        <v>17</v>
      </c>
    </row>
    <row r="1061" spans="1:13" x14ac:dyDescent="0.2">
      <c r="A1061" s="211" t="s">
        <v>55</v>
      </c>
      <c r="B1061" s="211" t="s">
        <v>58</v>
      </c>
      <c r="C1061" s="211" t="s">
        <v>19</v>
      </c>
      <c r="D1061" s="211" t="s">
        <v>12</v>
      </c>
      <c r="E1061" s="208">
        <v>42987</v>
      </c>
      <c r="F1061" s="221">
        <v>2423.8125</v>
      </c>
      <c r="G1061" s="210" t="s">
        <v>16</v>
      </c>
      <c r="H1061" s="211" t="s">
        <v>18</v>
      </c>
      <c r="I1061" s="210">
        <v>1</v>
      </c>
      <c r="J1061" s="210" t="s">
        <v>15</v>
      </c>
      <c r="K1061" s="210" t="s">
        <v>54</v>
      </c>
      <c r="L1061" s="211" t="s">
        <v>60</v>
      </c>
      <c r="M1061" s="211" t="s">
        <v>17</v>
      </c>
    </row>
    <row r="1062" spans="1:13" x14ac:dyDescent="0.2">
      <c r="A1062" s="211" t="s">
        <v>55</v>
      </c>
      <c r="B1062" s="211" t="s">
        <v>58</v>
      </c>
      <c r="C1062" s="211" t="s">
        <v>19</v>
      </c>
      <c r="D1062" s="211" t="s">
        <v>12</v>
      </c>
      <c r="E1062" s="208">
        <v>42986</v>
      </c>
      <c r="F1062" s="209">
        <v>9.4262633000000005</v>
      </c>
      <c r="G1062" s="210" t="s">
        <v>13</v>
      </c>
      <c r="H1062" s="211" t="s">
        <v>14</v>
      </c>
      <c r="I1062" s="210">
        <v>1</v>
      </c>
      <c r="J1062" s="210" t="s">
        <v>15</v>
      </c>
      <c r="K1062" s="210" t="s">
        <v>54</v>
      </c>
      <c r="L1062" s="211" t="s">
        <v>60</v>
      </c>
      <c r="M1062" s="211" t="s">
        <v>56</v>
      </c>
    </row>
    <row r="1063" spans="1:13" x14ac:dyDescent="0.2">
      <c r="A1063" s="211" t="s">
        <v>55</v>
      </c>
      <c r="B1063" s="211" t="s">
        <v>58</v>
      </c>
      <c r="C1063" s="211" t="s">
        <v>19</v>
      </c>
      <c r="D1063" s="211" t="s">
        <v>12</v>
      </c>
      <c r="E1063" s="208">
        <v>42986</v>
      </c>
      <c r="F1063" s="221">
        <v>2948.0638724999999</v>
      </c>
      <c r="G1063" s="210" t="s">
        <v>16</v>
      </c>
      <c r="H1063" s="211" t="s">
        <v>14</v>
      </c>
      <c r="I1063" s="210">
        <v>1</v>
      </c>
      <c r="J1063" s="210" t="s">
        <v>15</v>
      </c>
      <c r="K1063" s="210" t="s">
        <v>54</v>
      </c>
      <c r="L1063" s="211" t="s">
        <v>60</v>
      </c>
      <c r="M1063" s="211" t="s">
        <v>56</v>
      </c>
    </row>
    <row r="1064" spans="1:13" x14ac:dyDescent="0.2">
      <c r="A1064" s="211" t="s">
        <v>55</v>
      </c>
      <c r="B1064" s="211" t="s">
        <v>58</v>
      </c>
      <c r="C1064" s="211" t="s">
        <v>19</v>
      </c>
      <c r="D1064" s="211" t="s">
        <v>12</v>
      </c>
      <c r="E1064" s="208">
        <v>42986</v>
      </c>
      <c r="F1064" s="209">
        <v>7.9</v>
      </c>
      <c r="G1064" s="210" t="s">
        <v>13</v>
      </c>
      <c r="H1064" s="211" t="s">
        <v>18</v>
      </c>
      <c r="I1064" s="210">
        <v>1</v>
      </c>
      <c r="J1064" s="210" t="s">
        <v>15</v>
      </c>
      <c r="K1064" s="210" t="s">
        <v>54</v>
      </c>
      <c r="L1064" s="211" t="s">
        <v>60</v>
      </c>
      <c r="M1064" s="211" t="s">
        <v>17</v>
      </c>
    </row>
    <row r="1065" spans="1:13" x14ac:dyDescent="0.2">
      <c r="A1065" s="211" t="s">
        <v>55</v>
      </c>
      <c r="B1065" s="211" t="s">
        <v>58</v>
      </c>
      <c r="C1065" s="211" t="s">
        <v>19</v>
      </c>
      <c r="D1065" s="211" t="s">
        <v>12</v>
      </c>
      <c r="E1065" s="208">
        <v>42986</v>
      </c>
      <c r="F1065" s="221">
        <v>2470.7249999999999</v>
      </c>
      <c r="G1065" s="210" t="s">
        <v>16</v>
      </c>
      <c r="H1065" s="211" t="s">
        <v>18</v>
      </c>
      <c r="I1065" s="210">
        <v>1</v>
      </c>
      <c r="J1065" s="210" t="s">
        <v>15</v>
      </c>
      <c r="K1065" s="210" t="s">
        <v>54</v>
      </c>
      <c r="L1065" s="211" t="s">
        <v>60</v>
      </c>
      <c r="M1065" s="211" t="s">
        <v>17</v>
      </c>
    </row>
    <row r="1066" spans="1:13" x14ac:dyDescent="0.2">
      <c r="A1066" s="211" t="s">
        <v>55</v>
      </c>
      <c r="B1066" s="211" t="s">
        <v>58</v>
      </c>
      <c r="C1066" s="211" t="s">
        <v>19</v>
      </c>
      <c r="D1066" s="211" t="s">
        <v>12</v>
      </c>
      <c r="E1066" s="208">
        <v>42985</v>
      </c>
      <c r="F1066" s="209">
        <v>13.695873000000001</v>
      </c>
      <c r="G1066" s="210" t="s">
        <v>13</v>
      </c>
      <c r="H1066" s="211" t="s">
        <v>14</v>
      </c>
      <c r="I1066" s="210">
        <v>1</v>
      </c>
      <c r="J1066" s="210" t="s">
        <v>15</v>
      </c>
      <c r="K1066" s="210" t="s">
        <v>54</v>
      </c>
      <c r="L1066" s="211" t="s">
        <v>60</v>
      </c>
      <c r="M1066" s="211" t="s">
        <v>56</v>
      </c>
    </row>
    <row r="1067" spans="1:13" x14ac:dyDescent="0.2">
      <c r="A1067" s="211" t="s">
        <v>55</v>
      </c>
      <c r="B1067" s="211" t="s">
        <v>58</v>
      </c>
      <c r="C1067" s="211" t="s">
        <v>19</v>
      </c>
      <c r="D1067" s="211" t="s">
        <v>12</v>
      </c>
      <c r="E1067" s="208">
        <v>42985</v>
      </c>
      <c r="F1067" s="221">
        <v>4249.1172082000003</v>
      </c>
      <c r="G1067" s="210" t="s">
        <v>16</v>
      </c>
      <c r="H1067" s="211" t="s">
        <v>14</v>
      </c>
      <c r="I1067" s="210">
        <v>1</v>
      </c>
      <c r="J1067" s="210" t="s">
        <v>15</v>
      </c>
      <c r="K1067" s="210" t="s">
        <v>54</v>
      </c>
      <c r="L1067" s="211" t="s">
        <v>60</v>
      </c>
      <c r="M1067" s="211" t="s">
        <v>56</v>
      </c>
    </row>
    <row r="1068" spans="1:13" x14ac:dyDescent="0.2">
      <c r="A1068" s="211" t="s">
        <v>55</v>
      </c>
      <c r="B1068" s="211" t="s">
        <v>58</v>
      </c>
      <c r="C1068" s="211" t="s">
        <v>19</v>
      </c>
      <c r="D1068" s="211" t="s">
        <v>12</v>
      </c>
      <c r="E1068" s="208">
        <v>42985</v>
      </c>
      <c r="F1068" s="209">
        <v>9.7100000000000009</v>
      </c>
      <c r="G1068" s="210" t="s">
        <v>13</v>
      </c>
      <c r="H1068" s="211" t="s">
        <v>18</v>
      </c>
      <c r="I1068" s="210">
        <v>1</v>
      </c>
      <c r="J1068" s="210" t="s">
        <v>15</v>
      </c>
      <c r="K1068" s="210" t="s">
        <v>54</v>
      </c>
      <c r="L1068" s="211" t="s">
        <v>60</v>
      </c>
      <c r="M1068" s="211" t="s">
        <v>17</v>
      </c>
    </row>
    <row r="1069" spans="1:13" x14ac:dyDescent="0.2">
      <c r="A1069" s="211" t="s">
        <v>55</v>
      </c>
      <c r="B1069" s="211" t="s">
        <v>58</v>
      </c>
      <c r="C1069" s="211" t="s">
        <v>19</v>
      </c>
      <c r="D1069" s="211" t="s">
        <v>12</v>
      </c>
      <c r="E1069" s="208">
        <v>42985</v>
      </c>
      <c r="F1069" s="221">
        <v>3012.5080800000001</v>
      </c>
      <c r="G1069" s="210" t="s">
        <v>16</v>
      </c>
      <c r="H1069" s="211" t="s">
        <v>18</v>
      </c>
      <c r="I1069" s="210">
        <v>1</v>
      </c>
      <c r="J1069" s="210" t="s">
        <v>15</v>
      </c>
      <c r="K1069" s="210" t="s">
        <v>54</v>
      </c>
      <c r="L1069" s="211" t="s">
        <v>60</v>
      </c>
      <c r="M1069" s="211" t="s">
        <v>17</v>
      </c>
    </row>
    <row r="1070" spans="1:13" x14ac:dyDescent="0.2">
      <c r="A1070" s="211" t="s">
        <v>55</v>
      </c>
      <c r="B1070" s="211" t="s">
        <v>58</v>
      </c>
      <c r="C1070" s="211" t="s">
        <v>19</v>
      </c>
      <c r="D1070" s="211" t="s">
        <v>12</v>
      </c>
      <c r="E1070" s="208">
        <v>42984</v>
      </c>
      <c r="F1070" s="209">
        <v>14.8881465</v>
      </c>
      <c r="G1070" s="210" t="s">
        <v>13</v>
      </c>
      <c r="H1070" s="211" t="s">
        <v>14</v>
      </c>
      <c r="I1070" s="210">
        <v>1</v>
      </c>
      <c r="J1070" s="210" t="s">
        <v>15</v>
      </c>
      <c r="K1070" s="210" t="s">
        <v>54</v>
      </c>
      <c r="L1070" s="211" t="s">
        <v>60</v>
      </c>
      <c r="M1070" s="211" t="s">
        <v>56</v>
      </c>
    </row>
    <row r="1071" spans="1:13" x14ac:dyDescent="0.2">
      <c r="A1071" s="211" t="s">
        <v>55</v>
      </c>
      <c r="B1071" s="211" t="s">
        <v>58</v>
      </c>
      <c r="C1071" s="211" t="s">
        <v>19</v>
      </c>
      <c r="D1071" s="211" t="s">
        <v>12</v>
      </c>
      <c r="E1071" s="208">
        <v>42984</v>
      </c>
      <c r="F1071" s="221">
        <v>4668.6845328999998</v>
      </c>
      <c r="G1071" s="210" t="s">
        <v>16</v>
      </c>
      <c r="H1071" s="211" t="s">
        <v>14</v>
      </c>
      <c r="I1071" s="210">
        <v>1</v>
      </c>
      <c r="J1071" s="210" t="s">
        <v>15</v>
      </c>
      <c r="K1071" s="210" t="s">
        <v>54</v>
      </c>
      <c r="L1071" s="211" t="s">
        <v>60</v>
      </c>
      <c r="M1071" s="211" t="s">
        <v>56</v>
      </c>
    </row>
    <row r="1072" spans="1:13" x14ac:dyDescent="0.2">
      <c r="A1072" s="211" t="s">
        <v>55</v>
      </c>
      <c r="B1072" s="211" t="s">
        <v>58</v>
      </c>
      <c r="C1072" s="211" t="s">
        <v>19</v>
      </c>
      <c r="D1072" s="211" t="s">
        <v>12</v>
      </c>
      <c r="E1072" s="208">
        <v>42984</v>
      </c>
      <c r="F1072" s="209">
        <v>9.4600000000000009</v>
      </c>
      <c r="G1072" s="210" t="s">
        <v>13</v>
      </c>
      <c r="H1072" s="211" t="s">
        <v>18</v>
      </c>
      <c r="I1072" s="210">
        <v>1</v>
      </c>
      <c r="J1072" s="210" t="s">
        <v>15</v>
      </c>
      <c r="K1072" s="210" t="s">
        <v>54</v>
      </c>
      <c r="L1072" s="211" t="s">
        <v>60</v>
      </c>
      <c r="M1072" s="211" t="s">
        <v>17</v>
      </c>
    </row>
    <row r="1073" spans="1:13" x14ac:dyDescent="0.2">
      <c r="A1073" s="211" t="s">
        <v>55</v>
      </c>
      <c r="B1073" s="211" t="s">
        <v>58</v>
      </c>
      <c r="C1073" s="211" t="s">
        <v>19</v>
      </c>
      <c r="D1073" s="211" t="s">
        <v>12</v>
      </c>
      <c r="E1073" s="208">
        <v>42984</v>
      </c>
      <c r="F1073" s="221">
        <v>2966.5046400000001</v>
      </c>
      <c r="G1073" s="210" t="s">
        <v>16</v>
      </c>
      <c r="H1073" s="211" t="s">
        <v>18</v>
      </c>
      <c r="I1073" s="210">
        <v>1</v>
      </c>
      <c r="J1073" s="210" t="s">
        <v>15</v>
      </c>
      <c r="K1073" s="210" t="s">
        <v>54</v>
      </c>
      <c r="L1073" s="211" t="s">
        <v>60</v>
      </c>
      <c r="M1073" s="211" t="s">
        <v>17</v>
      </c>
    </row>
    <row r="1074" spans="1:13" x14ac:dyDescent="0.2">
      <c r="A1074" s="211" t="s">
        <v>55</v>
      </c>
      <c r="B1074" s="211" t="s">
        <v>58</v>
      </c>
      <c r="C1074" s="211" t="s">
        <v>19</v>
      </c>
      <c r="D1074" s="211" t="s">
        <v>12</v>
      </c>
      <c r="E1074" s="208">
        <v>42983</v>
      </c>
      <c r="F1074" s="209">
        <v>16.251071499999998</v>
      </c>
      <c r="G1074" s="210" t="s">
        <v>13</v>
      </c>
      <c r="H1074" s="211" t="s">
        <v>14</v>
      </c>
      <c r="I1074" s="210">
        <v>1</v>
      </c>
      <c r="J1074" s="210" t="s">
        <v>15</v>
      </c>
      <c r="K1074" s="210" t="s">
        <v>54</v>
      </c>
      <c r="L1074" s="211" t="s">
        <v>60</v>
      </c>
      <c r="M1074" s="211" t="s">
        <v>56</v>
      </c>
    </row>
    <row r="1075" spans="1:13" x14ac:dyDescent="0.2">
      <c r="A1075" s="211" t="s">
        <v>55</v>
      </c>
      <c r="B1075" s="211" t="s">
        <v>58</v>
      </c>
      <c r="C1075" s="211" t="s">
        <v>19</v>
      </c>
      <c r="D1075" s="211" t="s">
        <v>12</v>
      </c>
      <c r="E1075" s="208">
        <v>42983</v>
      </c>
      <c r="F1075" s="221">
        <v>5177.3963919999997</v>
      </c>
      <c r="G1075" s="210" t="s">
        <v>16</v>
      </c>
      <c r="H1075" s="211" t="s">
        <v>14</v>
      </c>
      <c r="I1075" s="210">
        <v>1</v>
      </c>
      <c r="J1075" s="210" t="s">
        <v>15</v>
      </c>
      <c r="K1075" s="210" t="s">
        <v>54</v>
      </c>
      <c r="L1075" s="211" t="s">
        <v>60</v>
      </c>
      <c r="M1075" s="211" t="s">
        <v>56</v>
      </c>
    </row>
    <row r="1076" spans="1:13" x14ac:dyDescent="0.2">
      <c r="A1076" s="211" t="s">
        <v>55</v>
      </c>
      <c r="B1076" s="211" t="s">
        <v>58</v>
      </c>
      <c r="C1076" s="211" t="s">
        <v>19</v>
      </c>
      <c r="D1076" s="211" t="s">
        <v>12</v>
      </c>
      <c r="E1076" s="208">
        <v>42983</v>
      </c>
      <c r="F1076" s="209">
        <v>10.1</v>
      </c>
      <c r="G1076" s="210" t="s">
        <v>13</v>
      </c>
      <c r="H1076" s="211" t="s">
        <v>18</v>
      </c>
      <c r="I1076" s="210">
        <v>1</v>
      </c>
      <c r="J1076" s="210" t="s">
        <v>15</v>
      </c>
      <c r="K1076" s="210" t="s">
        <v>54</v>
      </c>
      <c r="L1076" s="211" t="s">
        <v>60</v>
      </c>
      <c r="M1076" s="211" t="s">
        <v>17</v>
      </c>
    </row>
    <row r="1077" spans="1:13" x14ac:dyDescent="0.2">
      <c r="A1077" s="211" t="s">
        <v>55</v>
      </c>
      <c r="B1077" s="211" t="s">
        <v>58</v>
      </c>
      <c r="C1077" s="211" t="s">
        <v>19</v>
      </c>
      <c r="D1077" s="211" t="s">
        <v>12</v>
      </c>
      <c r="E1077" s="208">
        <v>42983</v>
      </c>
      <c r="F1077" s="221">
        <v>3217.7388000000001</v>
      </c>
      <c r="G1077" s="210" t="s">
        <v>16</v>
      </c>
      <c r="H1077" s="211" t="s">
        <v>18</v>
      </c>
      <c r="I1077" s="210">
        <v>1</v>
      </c>
      <c r="J1077" s="210" t="s">
        <v>15</v>
      </c>
      <c r="K1077" s="210" t="s">
        <v>54</v>
      </c>
      <c r="L1077" s="211" t="s">
        <v>60</v>
      </c>
      <c r="M1077" s="211" t="s">
        <v>17</v>
      </c>
    </row>
    <row r="1078" spans="1:13" x14ac:dyDescent="0.2">
      <c r="A1078" s="211" t="s">
        <v>55</v>
      </c>
      <c r="B1078" s="211" t="s">
        <v>58</v>
      </c>
      <c r="C1078" s="211" t="s">
        <v>19</v>
      </c>
      <c r="D1078" s="211" t="s">
        <v>12</v>
      </c>
      <c r="E1078" s="208">
        <v>42982</v>
      </c>
      <c r="F1078" s="209">
        <v>14.589637099999999</v>
      </c>
      <c r="G1078" s="210" t="s">
        <v>13</v>
      </c>
      <c r="H1078" s="211" t="s">
        <v>14</v>
      </c>
      <c r="I1078" s="210">
        <v>1</v>
      </c>
      <c r="J1078" s="210" t="s">
        <v>15</v>
      </c>
      <c r="K1078" s="210" t="s">
        <v>54</v>
      </c>
      <c r="L1078" s="211" t="s">
        <v>60</v>
      </c>
      <c r="M1078" s="211" t="s">
        <v>56</v>
      </c>
    </row>
    <row r="1079" spans="1:13" x14ac:dyDescent="0.2">
      <c r="A1079" s="211" t="s">
        <v>55</v>
      </c>
      <c r="B1079" s="211" t="s">
        <v>58</v>
      </c>
      <c r="C1079" s="211" t="s">
        <v>19</v>
      </c>
      <c r="D1079" s="211" t="s">
        <v>12</v>
      </c>
      <c r="E1079" s="208">
        <v>42982</v>
      </c>
      <c r="F1079" s="221">
        <v>4854.9352085</v>
      </c>
      <c r="G1079" s="210" t="s">
        <v>16</v>
      </c>
      <c r="H1079" s="211" t="s">
        <v>14</v>
      </c>
      <c r="I1079" s="210">
        <v>1</v>
      </c>
      <c r="J1079" s="210" t="s">
        <v>15</v>
      </c>
      <c r="K1079" s="210" t="s">
        <v>54</v>
      </c>
      <c r="L1079" s="211" t="s">
        <v>60</v>
      </c>
      <c r="M1079" s="211" t="s">
        <v>56</v>
      </c>
    </row>
    <row r="1080" spans="1:13" x14ac:dyDescent="0.2">
      <c r="A1080" s="211" t="s">
        <v>55</v>
      </c>
      <c r="B1080" s="211" t="s">
        <v>58</v>
      </c>
      <c r="C1080" s="211" t="s">
        <v>19</v>
      </c>
      <c r="D1080" s="211" t="s">
        <v>12</v>
      </c>
      <c r="E1080" s="208">
        <v>42982</v>
      </c>
      <c r="F1080" s="209">
        <v>9.3800000000000008</v>
      </c>
      <c r="G1080" s="210" t="s">
        <v>13</v>
      </c>
      <c r="H1080" s="211" t="s">
        <v>18</v>
      </c>
      <c r="I1080" s="210">
        <v>1</v>
      </c>
      <c r="J1080" s="210" t="s">
        <v>15</v>
      </c>
      <c r="K1080" s="210" t="s">
        <v>54</v>
      </c>
      <c r="L1080" s="211" t="s">
        <v>60</v>
      </c>
      <c r="M1080" s="211" t="s">
        <v>17</v>
      </c>
    </row>
    <row r="1081" spans="1:13" x14ac:dyDescent="0.2">
      <c r="A1081" s="211" t="s">
        <v>55</v>
      </c>
      <c r="B1081" s="211" t="s">
        <v>58</v>
      </c>
      <c r="C1081" s="211" t="s">
        <v>19</v>
      </c>
      <c r="D1081" s="211" t="s">
        <v>12</v>
      </c>
      <c r="E1081" s="208">
        <v>42982</v>
      </c>
      <c r="F1081" s="221">
        <v>3121.3450800000001</v>
      </c>
      <c r="G1081" s="210" t="s">
        <v>16</v>
      </c>
      <c r="H1081" s="211" t="s">
        <v>18</v>
      </c>
      <c r="I1081" s="210">
        <v>1</v>
      </c>
      <c r="J1081" s="210" t="s">
        <v>15</v>
      </c>
      <c r="K1081" s="210" t="s">
        <v>54</v>
      </c>
      <c r="L1081" s="211" t="s">
        <v>60</v>
      </c>
      <c r="M1081" s="211" t="s">
        <v>17</v>
      </c>
    </row>
    <row r="1082" spans="1:13" x14ac:dyDescent="0.2">
      <c r="A1082" s="211" t="s">
        <v>55</v>
      </c>
      <c r="B1082" s="211" t="s">
        <v>58</v>
      </c>
      <c r="C1082" s="211" t="s">
        <v>19</v>
      </c>
      <c r="D1082" s="211" t="s">
        <v>12</v>
      </c>
      <c r="E1082" s="208">
        <v>42980</v>
      </c>
      <c r="F1082" s="209">
        <v>13.215298499999999</v>
      </c>
      <c r="G1082" s="210" t="s">
        <v>13</v>
      </c>
      <c r="H1082" s="211" t="s">
        <v>14</v>
      </c>
      <c r="I1082" s="210">
        <v>1</v>
      </c>
      <c r="J1082" s="210" t="s">
        <v>15</v>
      </c>
      <c r="K1082" s="210" t="s">
        <v>54</v>
      </c>
      <c r="L1082" s="211" t="s">
        <v>60</v>
      </c>
      <c r="M1082" s="211" t="s">
        <v>56</v>
      </c>
    </row>
    <row r="1083" spans="1:13" x14ac:dyDescent="0.2">
      <c r="A1083" s="211" t="s">
        <v>55</v>
      </c>
      <c r="B1083" s="211" t="s">
        <v>58</v>
      </c>
      <c r="C1083" s="211" t="s">
        <v>19</v>
      </c>
      <c r="D1083" s="211" t="s">
        <v>12</v>
      </c>
      <c r="E1083" s="208">
        <v>42980</v>
      </c>
      <c r="F1083" s="221">
        <v>4166.1493028000004</v>
      </c>
      <c r="G1083" s="210" t="s">
        <v>16</v>
      </c>
      <c r="H1083" s="211" t="s">
        <v>14</v>
      </c>
      <c r="I1083" s="210">
        <v>1</v>
      </c>
      <c r="J1083" s="210" t="s">
        <v>15</v>
      </c>
      <c r="K1083" s="210" t="s">
        <v>54</v>
      </c>
      <c r="L1083" s="211" t="s">
        <v>60</v>
      </c>
      <c r="M1083" s="211" t="s">
        <v>56</v>
      </c>
    </row>
    <row r="1084" spans="1:13" x14ac:dyDescent="0.2">
      <c r="A1084" s="211" t="s">
        <v>55</v>
      </c>
      <c r="B1084" s="211" t="s">
        <v>58</v>
      </c>
      <c r="C1084" s="211" t="s">
        <v>19</v>
      </c>
      <c r="D1084" s="211" t="s">
        <v>12</v>
      </c>
      <c r="E1084" s="208">
        <v>42980</v>
      </c>
      <c r="F1084" s="209">
        <v>10.1</v>
      </c>
      <c r="G1084" s="210" t="s">
        <v>13</v>
      </c>
      <c r="H1084" s="211" t="s">
        <v>18</v>
      </c>
      <c r="I1084" s="210">
        <v>1</v>
      </c>
      <c r="J1084" s="210" t="s">
        <v>15</v>
      </c>
      <c r="K1084" s="210" t="s">
        <v>54</v>
      </c>
      <c r="L1084" s="211" t="s">
        <v>60</v>
      </c>
      <c r="M1084" s="211" t="s">
        <v>17</v>
      </c>
    </row>
    <row r="1085" spans="1:13" x14ac:dyDescent="0.2">
      <c r="A1085" s="211" t="s">
        <v>55</v>
      </c>
      <c r="B1085" s="211" t="s">
        <v>58</v>
      </c>
      <c r="C1085" s="211" t="s">
        <v>19</v>
      </c>
      <c r="D1085" s="211" t="s">
        <v>12</v>
      </c>
      <c r="E1085" s="208">
        <v>42980</v>
      </c>
      <c r="F1085" s="221">
        <v>3184.0452</v>
      </c>
      <c r="G1085" s="210" t="s">
        <v>16</v>
      </c>
      <c r="H1085" s="211" t="s">
        <v>18</v>
      </c>
      <c r="I1085" s="210">
        <v>1</v>
      </c>
      <c r="J1085" s="210" t="s">
        <v>15</v>
      </c>
      <c r="K1085" s="210" t="s">
        <v>54</v>
      </c>
      <c r="L1085" s="211" t="s">
        <v>60</v>
      </c>
      <c r="M1085" s="211" t="s">
        <v>17</v>
      </c>
    </row>
    <row r="1086" spans="1:13" x14ac:dyDescent="0.2">
      <c r="A1086" s="211" t="s">
        <v>55</v>
      </c>
      <c r="B1086" s="211" t="s">
        <v>58</v>
      </c>
      <c r="C1086" s="211" t="s">
        <v>19</v>
      </c>
      <c r="D1086" s="211" t="s">
        <v>12</v>
      </c>
      <c r="E1086" s="208">
        <v>42979</v>
      </c>
      <c r="F1086" s="209">
        <v>13.9218709</v>
      </c>
      <c r="G1086" s="210" t="s">
        <v>13</v>
      </c>
      <c r="H1086" s="211" t="s">
        <v>14</v>
      </c>
      <c r="I1086" s="210">
        <v>1</v>
      </c>
      <c r="J1086" s="210" t="s">
        <v>15</v>
      </c>
      <c r="K1086" s="210" t="s">
        <v>54</v>
      </c>
      <c r="L1086" s="211" t="s">
        <v>60</v>
      </c>
      <c r="M1086" s="211" t="s">
        <v>56</v>
      </c>
    </row>
    <row r="1087" spans="1:13" x14ac:dyDescent="0.2">
      <c r="A1087" s="211" t="s">
        <v>55</v>
      </c>
      <c r="B1087" s="211" t="s">
        <v>58</v>
      </c>
      <c r="C1087" s="211" t="s">
        <v>19</v>
      </c>
      <c r="D1087" s="211" t="s">
        <v>12</v>
      </c>
      <c r="E1087" s="208">
        <v>42979</v>
      </c>
      <c r="F1087" s="221">
        <v>4679.1686676999998</v>
      </c>
      <c r="G1087" s="210" t="s">
        <v>16</v>
      </c>
      <c r="H1087" s="211" t="s">
        <v>14</v>
      </c>
      <c r="I1087" s="210">
        <v>1</v>
      </c>
      <c r="J1087" s="210" t="s">
        <v>15</v>
      </c>
      <c r="K1087" s="210" t="s">
        <v>54</v>
      </c>
      <c r="L1087" s="211" t="s">
        <v>60</v>
      </c>
      <c r="M1087" s="211" t="s">
        <v>56</v>
      </c>
    </row>
    <row r="1088" spans="1:13" x14ac:dyDescent="0.2">
      <c r="A1088" s="211" t="s">
        <v>55</v>
      </c>
      <c r="B1088" s="211" t="s">
        <v>58</v>
      </c>
      <c r="C1088" s="211" t="s">
        <v>19</v>
      </c>
      <c r="D1088" s="211" t="s">
        <v>12</v>
      </c>
      <c r="E1088" s="208">
        <v>42979</v>
      </c>
      <c r="F1088" s="209">
        <v>9.4499999999999993</v>
      </c>
      <c r="G1088" s="210" t="s">
        <v>13</v>
      </c>
      <c r="H1088" s="211" t="s">
        <v>18</v>
      </c>
      <c r="I1088" s="210">
        <v>1</v>
      </c>
      <c r="J1088" s="210" t="s">
        <v>15</v>
      </c>
      <c r="K1088" s="210" t="s">
        <v>54</v>
      </c>
      <c r="L1088" s="211" t="s">
        <v>60</v>
      </c>
      <c r="M1088" s="211" t="s">
        <v>17</v>
      </c>
    </row>
    <row r="1089" spans="1:13" x14ac:dyDescent="0.2">
      <c r="A1089" s="211" t="s">
        <v>55</v>
      </c>
      <c r="B1089" s="211" t="s">
        <v>58</v>
      </c>
      <c r="C1089" s="211" t="s">
        <v>19</v>
      </c>
      <c r="D1089" s="211" t="s">
        <v>12</v>
      </c>
      <c r="E1089" s="208">
        <v>42979</v>
      </c>
      <c r="F1089" s="221">
        <v>3176.1639</v>
      </c>
      <c r="G1089" s="210" t="s">
        <v>16</v>
      </c>
      <c r="H1089" s="211" t="s">
        <v>18</v>
      </c>
      <c r="I1089" s="210">
        <v>1</v>
      </c>
      <c r="J1089" s="210" t="s">
        <v>15</v>
      </c>
      <c r="K1089" s="210" t="s">
        <v>54</v>
      </c>
      <c r="L1089" s="211" t="s">
        <v>60</v>
      </c>
      <c r="M1089" s="211" t="s">
        <v>17</v>
      </c>
    </row>
    <row r="1090" spans="1:13" x14ac:dyDescent="0.2">
      <c r="A1090" s="211" t="s">
        <v>55</v>
      </c>
      <c r="B1090" s="211" t="s">
        <v>58</v>
      </c>
      <c r="C1090" s="211" t="s">
        <v>19</v>
      </c>
      <c r="D1090" s="211" t="s">
        <v>12</v>
      </c>
      <c r="E1090" s="208">
        <v>42978</v>
      </c>
      <c r="F1090" s="209">
        <v>11.5874317</v>
      </c>
      <c r="G1090" s="210" t="s">
        <v>13</v>
      </c>
      <c r="H1090" s="211" t="s">
        <v>14</v>
      </c>
      <c r="I1090" s="210">
        <v>1</v>
      </c>
      <c r="J1090" s="210" t="s">
        <v>15</v>
      </c>
      <c r="K1090" s="210" t="s">
        <v>54</v>
      </c>
      <c r="L1090" s="211" t="s">
        <v>60</v>
      </c>
      <c r="M1090" s="211" t="s">
        <v>56</v>
      </c>
    </row>
    <row r="1091" spans="1:13" x14ac:dyDescent="0.2">
      <c r="A1091" s="211" t="s">
        <v>55</v>
      </c>
      <c r="B1091" s="211" t="s">
        <v>58</v>
      </c>
      <c r="C1091" s="211" t="s">
        <v>19</v>
      </c>
      <c r="D1091" s="211" t="s">
        <v>12</v>
      </c>
      <c r="E1091" s="208">
        <v>42978</v>
      </c>
      <c r="F1091" s="221">
        <v>4020.1899272000001</v>
      </c>
      <c r="G1091" s="210" t="s">
        <v>16</v>
      </c>
      <c r="H1091" s="211" t="s">
        <v>14</v>
      </c>
      <c r="I1091" s="210">
        <v>1</v>
      </c>
      <c r="J1091" s="210" t="s">
        <v>15</v>
      </c>
      <c r="K1091" s="210" t="s">
        <v>54</v>
      </c>
      <c r="L1091" s="211" t="s">
        <v>60</v>
      </c>
      <c r="M1091" s="211" t="s">
        <v>56</v>
      </c>
    </row>
    <row r="1092" spans="1:13" x14ac:dyDescent="0.2">
      <c r="A1092" s="211" t="s">
        <v>55</v>
      </c>
      <c r="B1092" s="211" t="s">
        <v>58</v>
      </c>
      <c r="C1092" s="211" t="s">
        <v>19</v>
      </c>
      <c r="D1092" s="211" t="s">
        <v>12</v>
      </c>
      <c r="E1092" s="208">
        <v>42978</v>
      </c>
      <c r="F1092" s="209">
        <v>8.9600000000000009</v>
      </c>
      <c r="G1092" s="210" t="s">
        <v>13</v>
      </c>
      <c r="H1092" s="211" t="s">
        <v>18</v>
      </c>
      <c r="I1092" s="210">
        <v>1</v>
      </c>
      <c r="J1092" s="210" t="s">
        <v>15</v>
      </c>
      <c r="K1092" s="210" t="s">
        <v>54</v>
      </c>
      <c r="L1092" s="211" t="s">
        <v>60</v>
      </c>
      <c r="M1092" s="211" t="s">
        <v>17</v>
      </c>
    </row>
    <row r="1093" spans="1:13" x14ac:dyDescent="0.2">
      <c r="A1093" s="211" t="s">
        <v>55</v>
      </c>
      <c r="B1093" s="211" t="s">
        <v>58</v>
      </c>
      <c r="C1093" s="211" t="s">
        <v>19</v>
      </c>
      <c r="D1093" s="211" t="s">
        <v>12</v>
      </c>
      <c r="E1093" s="208">
        <v>42978</v>
      </c>
      <c r="F1093" s="221">
        <v>3108.6182399999998</v>
      </c>
      <c r="G1093" s="210" t="s">
        <v>16</v>
      </c>
      <c r="H1093" s="211" t="s">
        <v>18</v>
      </c>
      <c r="I1093" s="210">
        <v>1</v>
      </c>
      <c r="J1093" s="210" t="s">
        <v>15</v>
      </c>
      <c r="K1093" s="210" t="s">
        <v>54</v>
      </c>
      <c r="L1093" s="211" t="s">
        <v>60</v>
      </c>
      <c r="M1093" s="211" t="s">
        <v>17</v>
      </c>
    </row>
    <row r="1094" spans="1:13" x14ac:dyDescent="0.2">
      <c r="A1094" s="211" t="s">
        <v>55</v>
      </c>
      <c r="B1094" s="211" t="s">
        <v>58</v>
      </c>
      <c r="C1094" s="211" t="s">
        <v>19</v>
      </c>
      <c r="D1094" s="211" t="s">
        <v>12</v>
      </c>
      <c r="E1094" s="208">
        <v>42977</v>
      </c>
      <c r="F1094" s="209">
        <v>9.5551324999999991</v>
      </c>
      <c r="G1094" s="210" t="s">
        <v>13</v>
      </c>
      <c r="H1094" s="211" t="s">
        <v>14</v>
      </c>
      <c r="I1094" s="210">
        <v>1</v>
      </c>
      <c r="J1094" s="210" t="s">
        <v>15</v>
      </c>
      <c r="K1094" s="210" t="s">
        <v>54</v>
      </c>
      <c r="L1094" s="211" t="s">
        <v>60</v>
      </c>
      <c r="M1094" s="211" t="s">
        <v>56</v>
      </c>
    </row>
    <row r="1095" spans="1:13" x14ac:dyDescent="0.2">
      <c r="A1095" s="211" t="s">
        <v>55</v>
      </c>
      <c r="B1095" s="211" t="s">
        <v>58</v>
      </c>
      <c r="C1095" s="211" t="s">
        <v>19</v>
      </c>
      <c r="D1095" s="211" t="s">
        <v>12</v>
      </c>
      <c r="E1095" s="208">
        <v>42977</v>
      </c>
      <c r="F1095" s="221">
        <v>3187.5922227999999</v>
      </c>
      <c r="G1095" s="210" t="s">
        <v>16</v>
      </c>
      <c r="H1095" s="211" t="s">
        <v>14</v>
      </c>
      <c r="I1095" s="210">
        <v>1</v>
      </c>
      <c r="J1095" s="210" t="s">
        <v>15</v>
      </c>
      <c r="K1095" s="210" t="s">
        <v>54</v>
      </c>
      <c r="L1095" s="211" t="s">
        <v>60</v>
      </c>
      <c r="M1095" s="211" t="s">
        <v>56</v>
      </c>
    </row>
    <row r="1096" spans="1:13" x14ac:dyDescent="0.2">
      <c r="A1096" s="211" t="s">
        <v>55</v>
      </c>
      <c r="B1096" s="211" t="s">
        <v>58</v>
      </c>
      <c r="C1096" s="211" t="s">
        <v>19</v>
      </c>
      <c r="D1096" s="211" t="s">
        <v>12</v>
      </c>
      <c r="E1096" s="208">
        <v>42977</v>
      </c>
      <c r="F1096" s="209">
        <v>8.32</v>
      </c>
      <c r="G1096" s="210" t="s">
        <v>13</v>
      </c>
      <c r="H1096" s="211" t="s">
        <v>18</v>
      </c>
      <c r="I1096" s="210">
        <v>1</v>
      </c>
      <c r="J1096" s="210" t="s">
        <v>15</v>
      </c>
      <c r="K1096" s="210" t="s">
        <v>54</v>
      </c>
      <c r="L1096" s="211" t="s">
        <v>60</v>
      </c>
      <c r="M1096" s="211" t="s">
        <v>17</v>
      </c>
    </row>
    <row r="1097" spans="1:13" x14ac:dyDescent="0.2">
      <c r="A1097" s="211" t="s">
        <v>55</v>
      </c>
      <c r="B1097" s="211" t="s">
        <v>58</v>
      </c>
      <c r="C1097" s="211" t="s">
        <v>19</v>
      </c>
      <c r="D1097" s="211" t="s">
        <v>12</v>
      </c>
      <c r="E1097" s="208">
        <v>42977</v>
      </c>
      <c r="F1097" s="221">
        <v>2775.5520000000001</v>
      </c>
      <c r="G1097" s="210" t="s">
        <v>16</v>
      </c>
      <c r="H1097" s="211" t="s">
        <v>18</v>
      </c>
      <c r="I1097" s="210">
        <v>1</v>
      </c>
      <c r="J1097" s="210" t="s">
        <v>15</v>
      </c>
      <c r="K1097" s="210" t="s">
        <v>54</v>
      </c>
      <c r="L1097" s="211" t="s">
        <v>60</v>
      </c>
      <c r="M1097" s="211" t="s">
        <v>17</v>
      </c>
    </row>
    <row r="1098" spans="1:13" x14ac:dyDescent="0.2">
      <c r="A1098" s="211" t="s">
        <v>55</v>
      </c>
      <c r="B1098" s="211" t="s">
        <v>58</v>
      </c>
      <c r="C1098" s="211" t="s">
        <v>19</v>
      </c>
      <c r="D1098" s="211" t="s">
        <v>12</v>
      </c>
      <c r="E1098" s="208">
        <v>42976</v>
      </c>
      <c r="F1098" s="209">
        <v>8.9959282999999992</v>
      </c>
      <c r="G1098" s="210" t="s">
        <v>13</v>
      </c>
      <c r="H1098" s="211" t="s">
        <v>14</v>
      </c>
      <c r="I1098" s="210">
        <v>1</v>
      </c>
      <c r="J1098" s="210" t="s">
        <v>15</v>
      </c>
      <c r="K1098" s="210" t="s">
        <v>54</v>
      </c>
      <c r="L1098" s="211" t="s">
        <v>60</v>
      </c>
      <c r="M1098" s="211" t="s">
        <v>56</v>
      </c>
    </row>
    <row r="1099" spans="1:13" x14ac:dyDescent="0.2">
      <c r="A1099" s="211" t="s">
        <v>55</v>
      </c>
      <c r="B1099" s="211" t="s">
        <v>58</v>
      </c>
      <c r="C1099" s="211" t="s">
        <v>19</v>
      </c>
      <c r="D1099" s="211" t="s">
        <v>12</v>
      </c>
      <c r="E1099" s="208">
        <v>42976</v>
      </c>
      <c r="F1099" s="221">
        <v>3023.5495197999999</v>
      </c>
      <c r="G1099" s="210" t="s">
        <v>16</v>
      </c>
      <c r="H1099" s="211" t="s">
        <v>14</v>
      </c>
      <c r="I1099" s="210">
        <v>1</v>
      </c>
      <c r="J1099" s="210" t="s">
        <v>15</v>
      </c>
      <c r="K1099" s="210" t="s">
        <v>54</v>
      </c>
      <c r="L1099" s="211" t="s">
        <v>60</v>
      </c>
      <c r="M1099" s="211" t="s">
        <v>56</v>
      </c>
    </row>
    <row r="1100" spans="1:13" x14ac:dyDescent="0.2">
      <c r="A1100" s="211" t="s">
        <v>55</v>
      </c>
      <c r="B1100" s="211" t="s">
        <v>58</v>
      </c>
      <c r="C1100" s="211" t="s">
        <v>19</v>
      </c>
      <c r="D1100" s="211" t="s">
        <v>12</v>
      </c>
      <c r="E1100" s="208">
        <v>42976</v>
      </c>
      <c r="F1100" s="209">
        <v>8.86</v>
      </c>
      <c r="G1100" s="210" t="s">
        <v>13</v>
      </c>
      <c r="H1100" s="211" t="s">
        <v>18</v>
      </c>
      <c r="I1100" s="210">
        <v>1</v>
      </c>
      <c r="J1100" s="210" t="s">
        <v>15</v>
      </c>
      <c r="K1100" s="210" t="s">
        <v>54</v>
      </c>
      <c r="L1100" s="211" t="s">
        <v>60</v>
      </c>
      <c r="M1100" s="211" t="s">
        <v>17</v>
      </c>
    </row>
    <row r="1101" spans="1:13" x14ac:dyDescent="0.2">
      <c r="A1101" s="211" t="s">
        <v>55</v>
      </c>
      <c r="B1101" s="211" t="s">
        <v>58</v>
      </c>
      <c r="C1101" s="211" t="s">
        <v>19</v>
      </c>
      <c r="D1101" s="211" t="s">
        <v>12</v>
      </c>
      <c r="E1101" s="208">
        <v>42976</v>
      </c>
      <c r="F1101" s="221">
        <v>2977.8637199999998</v>
      </c>
      <c r="G1101" s="210" t="s">
        <v>16</v>
      </c>
      <c r="H1101" s="211" t="s">
        <v>18</v>
      </c>
      <c r="I1101" s="210">
        <v>1</v>
      </c>
      <c r="J1101" s="210" t="s">
        <v>15</v>
      </c>
      <c r="K1101" s="210" t="s">
        <v>54</v>
      </c>
      <c r="L1101" s="211" t="s">
        <v>60</v>
      </c>
      <c r="M1101" s="211" t="s">
        <v>17</v>
      </c>
    </row>
    <row r="1102" spans="1:13" x14ac:dyDescent="0.2">
      <c r="A1102" s="211" t="s">
        <v>55</v>
      </c>
      <c r="B1102" s="211" t="s">
        <v>58</v>
      </c>
      <c r="C1102" s="211" t="s">
        <v>19</v>
      </c>
      <c r="D1102" s="211" t="s">
        <v>12</v>
      </c>
      <c r="E1102" s="208">
        <v>42975</v>
      </c>
      <c r="F1102" s="209">
        <v>9.0965668999999991</v>
      </c>
      <c r="G1102" s="210" t="s">
        <v>13</v>
      </c>
      <c r="H1102" s="211" t="s">
        <v>14</v>
      </c>
      <c r="I1102" s="210">
        <v>1</v>
      </c>
      <c r="J1102" s="210" t="s">
        <v>15</v>
      </c>
      <c r="K1102" s="210" t="s">
        <v>54</v>
      </c>
      <c r="L1102" s="211" t="s">
        <v>60</v>
      </c>
      <c r="M1102" s="211" t="s">
        <v>56</v>
      </c>
    </row>
    <row r="1103" spans="1:13" x14ac:dyDescent="0.2">
      <c r="A1103" s="211" t="s">
        <v>55</v>
      </c>
      <c r="B1103" s="211" t="s">
        <v>58</v>
      </c>
      <c r="C1103" s="211" t="s">
        <v>19</v>
      </c>
      <c r="D1103" s="211" t="s">
        <v>12</v>
      </c>
      <c r="E1103" s="208">
        <v>42975</v>
      </c>
      <c r="F1103" s="221">
        <v>3193.9319965999998</v>
      </c>
      <c r="G1103" s="210" t="s">
        <v>16</v>
      </c>
      <c r="H1103" s="211" t="s">
        <v>14</v>
      </c>
      <c r="I1103" s="210">
        <v>1</v>
      </c>
      <c r="J1103" s="210" t="s">
        <v>15</v>
      </c>
      <c r="K1103" s="210" t="s">
        <v>54</v>
      </c>
      <c r="L1103" s="211" t="s">
        <v>60</v>
      </c>
      <c r="M1103" s="211" t="s">
        <v>56</v>
      </c>
    </row>
    <row r="1104" spans="1:13" x14ac:dyDescent="0.2">
      <c r="A1104" s="211" t="s">
        <v>55</v>
      </c>
      <c r="B1104" s="211" t="s">
        <v>58</v>
      </c>
      <c r="C1104" s="211" t="s">
        <v>19</v>
      </c>
      <c r="D1104" s="211" t="s">
        <v>12</v>
      </c>
      <c r="E1104" s="208">
        <v>42975</v>
      </c>
      <c r="F1104" s="209">
        <v>8.42</v>
      </c>
      <c r="G1104" s="210" t="s">
        <v>13</v>
      </c>
      <c r="H1104" s="211" t="s">
        <v>18</v>
      </c>
      <c r="I1104" s="210">
        <v>1</v>
      </c>
      <c r="J1104" s="210" t="s">
        <v>15</v>
      </c>
      <c r="K1104" s="210" t="s">
        <v>54</v>
      </c>
      <c r="L1104" s="211" t="s">
        <v>60</v>
      </c>
      <c r="M1104" s="211" t="s">
        <v>17</v>
      </c>
    </row>
    <row r="1105" spans="1:13" x14ac:dyDescent="0.2">
      <c r="A1105" s="211" t="s">
        <v>55</v>
      </c>
      <c r="B1105" s="211" t="s">
        <v>58</v>
      </c>
      <c r="C1105" s="211" t="s">
        <v>19</v>
      </c>
      <c r="D1105" s="211" t="s">
        <v>12</v>
      </c>
      <c r="E1105" s="208">
        <v>42975</v>
      </c>
      <c r="F1105" s="221">
        <v>2956.37988</v>
      </c>
      <c r="G1105" s="210" t="s">
        <v>16</v>
      </c>
      <c r="H1105" s="211" t="s">
        <v>18</v>
      </c>
      <c r="I1105" s="210">
        <v>1</v>
      </c>
      <c r="J1105" s="210" t="s">
        <v>15</v>
      </c>
      <c r="K1105" s="210" t="s">
        <v>54</v>
      </c>
      <c r="L1105" s="211" t="s">
        <v>60</v>
      </c>
      <c r="M1105" s="211" t="s">
        <v>17</v>
      </c>
    </row>
    <row r="1106" spans="1:13" x14ac:dyDescent="0.2">
      <c r="A1106" s="211" t="s">
        <v>55</v>
      </c>
      <c r="B1106" s="211" t="s">
        <v>58</v>
      </c>
      <c r="C1106" s="211" t="s">
        <v>19</v>
      </c>
      <c r="D1106" s="211" t="s">
        <v>12</v>
      </c>
      <c r="E1106" s="208">
        <v>42974</v>
      </c>
      <c r="F1106" s="209">
        <v>10.026486</v>
      </c>
      <c r="G1106" s="210" t="s">
        <v>13</v>
      </c>
      <c r="H1106" s="211" t="s">
        <v>14</v>
      </c>
      <c r="I1106" s="210">
        <v>1</v>
      </c>
      <c r="J1106" s="210" t="s">
        <v>15</v>
      </c>
      <c r="K1106" s="210" t="s">
        <v>54</v>
      </c>
      <c r="L1106" s="211" t="s">
        <v>60</v>
      </c>
      <c r="M1106" s="211" t="s">
        <v>56</v>
      </c>
    </row>
    <row r="1107" spans="1:13" x14ac:dyDescent="0.2">
      <c r="A1107" s="211" t="s">
        <v>55</v>
      </c>
      <c r="B1107" s="211" t="s">
        <v>58</v>
      </c>
      <c r="C1107" s="211" t="s">
        <v>19</v>
      </c>
      <c r="D1107" s="211" t="s">
        <v>12</v>
      </c>
      <c r="E1107" s="208">
        <v>42974</v>
      </c>
      <c r="F1107" s="221">
        <v>3696.0434908000002</v>
      </c>
      <c r="G1107" s="210" t="s">
        <v>16</v>
      </c>
      <c r="H1107" s="211" t="s">
        <v>14</v>
      </c>
      <c r="I1107" s="210">
        <v>1</v>
      </c>
      <c r="J1107" s="210" t="s">
        <v>15</v>
      </c>
      <c r="K1107" s="210" t="s">
        <v>54</v>
      </c>
      <c r="L1107" s="211" t="s">
        <v>60</v>
      </c>
      <c r="M1107" s="211" t="s">
        <v>56</v>
      </c>
    </row>
    <row r="1108" spans="1:13" x14ac:dyDescent="0.2">
      <c r="A1108" s="211" t="s">
        <v>55</v>
      </c>
      <c r="B1108" s="211" t="s">
        <v>58</v>
      </c>
      <c r="C1108" s="211" t="s">
        <v>19</v>
      </c>
      <c r="D1108" s="211" t="s">
        <v>12</v>
      </c>
      <c r="E1108" s="208">
        <v>42974</v>
      </c>
      <c r="F1108" s="209">
        <v>8.93</v>
      </c>
      <c r="G1108" s="210" t="s">
        <v>13</v>
      </c>
      <c r="H1108" s="211" t="s">
        <v>18</v>
      </c>
      <c r="I1108" s="210">
        <v>1</v>
      </c>
      <c r="J1108" s="210" t="s">
        <v>15</v>
      </c>
      <c r="K1108" s="210" t="s">
        <v>54</v>
      </c>
      <c r="L1108" s="211" t="s">
        <v>60</v>
      </c>
      <c r="M1108" s="211" t="s">
        <v>17</v>
      </c>
    </row>
    <row r="1109" spans="1:13" x14ac:dyDescent="0.2">
      <c r="A1109" s="211" t="s">
        <v>55</v>
      </c>
      <c r="B1109" s="211" t="s">
        <v>58</v>
      </c>
      <c r="C1109" s="211" t="s">
        <v>19</v>
      </c>
      <c r="D1109" s="211" t="s">
        <v>12</v>
      </c>
      <c r="E1109" s="208">
        <v>42974</v>
      </c>
      <c r="F1109" s="221">
        <v>3291.8480399999999</v>
      </c>
      <c r="G1109" s="210" t="s">
        <v>16</v>
      </c>
      <c r="H1109" s="211" t="s">
        <v>18</v>
      </c>
      <c r="I1109" s="210">
        <v>1</v>
      </c>
      <c r="J1109" s="210" t="s">
        <v>15</v>
      </c>
      <c r="K1109" s="210" t="s">
        <v>54</v>
      </c>
      <c r="L1109" s="211" t="s">
        <v>60</v>
      </c>
      <c r="M1109" s="211" t="s">
        <v>17</v>
      </c>
    </row>
    <row r="1110" spans="1:13" x14ac:dyDescent="0.2">
      <c r="A1110" s="211" t="s">
        <v>55</v>
      </c>
      <c r="B1110" s="211" t="s">
        <v>58</v>
      </c>
      <c r="C1110" s="211" t="s">
        <v>19</v>
      </c>
      <c r="D1110" s="211" t="s">
        <v>12</v>
      </c>
      <c r="E1110" s="208">
        <v>42973</v>
      </c>
      <c r="F1110" s="209">
        <v>8.3341247000000003</v>
      </c>
      <c r="G1110" s="210" t="s">
        <v>13</v>
      </c>
      <c r="H1110" s="211" t="s">
        <v>14</v>
      </c>
      <c r="I1110" s="210">
        <v>1</v>
      </c>
      <c r="J1110" s="210" t="s">
        <v>15</v>
      </c>
      <c r="K1110" s="210" t="s">
        <v>54</v>
      </c>
      <c r="L1110" s="211" t="s">
        <v>60</v>
      </c>
      <c r="M1110" s="211" t="s">
        <v>56</v>
      </c>
    </row>
    <row r="1111" spans="1:13" x14ac:dyDescent="0.2">
      <c r="A1111" s="211" t="s">
        <v>55</v>
      </c>
      <c r="B1111" s="211" t="s">
        <v>58</v>
      </c>
      <c r="C1111" s="211" t="s">
        <v>19</v>
      </c>
      <c r="D1111" s="211" t="s">
        <v>12</v>
      </c>
      <c r="E1111" s="208">
        <v>42973</v>
      </c>
      <c r="F1111" s="221">
        <v>2933.1785533000002</v>
      </c>
      <c r="G1111" s="210" t="s">
        <v>16</v>
      </c>
      <c r="H1111" s="211" t="s">
        <v>14</v>
      </c>
      <c r="I1111" s="210">
        <v>1</v>
      </c>
      <c r="J1111" s="210" t="s">
        <v>15</v>
      </c>
      <c r="K1111" s="210" t="s">
        <v>54</v>
      </c>
      <c r="L1111" s="211" t="s">
        <v>60</v>
      </c>
      <c r="M1111" s="211" t="s">
        <v>56</v>
      </c>
    </row>
    <row r="1112" spans="1:13" x14ac:dyDescent="0.2">
      <c r="A1112" s="211" t="s">
        <v>55</v>
      </c>
      <c r="B1112" s="211" t="s">
        <v>58</v>
      </c>
      <c r="C1112" s="211" t="s">
        <v>19</v>
      </c>
      <c r="D1112" s="211" t="s">
        <v>12</v>
      </c>
      <c r="E1112" s="208">
        <v>42973</v>
      </c>
      <c r="F1112" s="209">
        <v>8.85</v>
      </c>
      <c r="G1112" s="210" t="s">
        <v>13</v>
      </c>
      <c r="H1112" s="211" t="s">
        <v>18</v>
      </c>
      <c r="I1112" s="210">
        <v>1</v>
      </c>
      <c r="J1112" s="210" t="s">
        <v>15</v>
      </c>
      <c r="K1112" s="210" t="s">
        <v>54</v>
      </c>
      <c r="L1112" s="211" t="s">
        <v>60</v>
      </c>
      <c r="M1112" s="211" t="s">
        <v>17</v>
      </c>
    </row>
    <row r="1113" spans="1:13" x14ac:dyDescent="0.2">
      <c r="A1113" s="211" t="s">
        <v>55</v>
      </c>
      <c r="B1113" s="211" t="s">
        <v>58</v>
      </c>
      <c r="C1113" s="211" t="s">
        <v>19</v>
      </c>
      <c r="D1113" s="211" t="s">
        <v>12</v>
      </c>
      <c r="E1113" s="208">
        <v>42973</v>
      </c>
      <c r="F1113" s="221">
        <v>3114.7397999999998</v>
      </c>
      <c r="G1113" s="210" t="s">
        <v>16</v>
      </c>
      <c r="H1113" s="211" t="s">
        <v>18</v>
      </c>
      <c r="I1113" s="210">
        <v>1</v>
      </c>
      <c r="J1113" s="210" t="s">
        <v>15</v>
      </c>
      <c r="K1113" s="210" t="s">
        <v>54</v>
      </c>
      <c r="L1113" s="211" t="s">
        <v>60</v>
      </c>
      <c r="M1113" s="211" t="s">
        <v>17</v>
      </c>
    </row>
    <row r="1114" spans="1:13" x14ac:dyDescent="0.2">
      <c r="A1114" s="211" t="s">
        <v>55</v>
      </c>
      <c r="B1114" s="211" t="s">
        <v>58</v>
      </c>
      <c r="C1114" s="211" t="s">
        <v>19</v>
      </c>
      <c r="D1114" s="211" t="s">
        <v>12</v>
      </c>
      <c r="E1114" s="208">
        <v>42972</v>
      </c>
      <c r="F1114" s="209">
        <v>8.9995151999999994</v>
      </c>
      <c r="G1114" s="210" t="s">
        <v>13</v>
      </c>
      <c r="H1114" s="211" t="s">
        <v>14</v>
      </c>
      <c r="I1114" s="210">
        <v>1</v>
      </c>
      <c r="J1114" s="210" t="s">
        <v>15</v>
      </c>
      <c r="K1114" s="210" t="s">
        <v>54</v>
      </c>
      <c r="L1114" s="211" t="s">
        <v>60</v>
      </c>
      <c r="M1114" s="211" t="s">
        <v>56</v>
      </c>
    </row>
    <row r="1115" spans="1:13" x14ac:dyDescent="0.2">
      <c r="A1115" s="211" t="s">
        <v>55</v>
      </c>
      <c r="B1115" s="211" t="s">
        <v>58</v>
      </c>
      <c r="C1115" s="211" t="s">
        <v>19</v>
      </c>
      <c r="D1115" s="211" t="s">
        <v>12</v>
      </c>
      <c r="E1115" s="208">
        <v>42972</v>
      </c>
      <c r="F1115" s="221">
        <v>3189.8781841999999</v>
      </c>
      <c r="G1115" s="210" t="s">
        <v>16</v>
      </c>
      <c r="H1115" s="211" t="s">
        <v>14</v>
      </c>
      <c r="I1115" s="210">
        <v>1</v>
      </c>
      <c r="J1115" s="210" t="s">
        <v>15</v>
      </c>
      <c r="K1115" s="210" t="s">
        <v>54</v>
      </c>
      <c r="L1115" s="211" t="s">
        <v>60</v>
      </c>
      <c r="M1115" s="211" t="s">
        <v>56</v>
      </c>
    </row>
    <row r="1116" spans="1:13" x14ac:dyDescent="0.2">
      <c r="A1116" s="211" t="s">
        <v>55</v>
      </c>
      <c r="B1116" s="211" t="s">
        <v>58</v>
      </c>
      <c r="C1116" s="211" t="s">
        <v>19</v>
      </c>
      <c r="D1116" s="211" t="s">
        <v>12</v>
      </c>
      <c r="E1116" s="208">
        <v>42972</v>
      </c>
      <c r="F1116" s="209">
        <v>8.56</v>
      </c>
      <c r="G1116" s="210" t="s">
        <v>13</v>
      </c>
      <c r="H1116" s="211" t="s">
        <v>18</v>
      </c>
      <c r="I1116" s="210">
        <v>1</v>
      </c>
      <c r="J1116" s="210" t="s">
        <v>15</v>
      </c>
      <c r="K1116" s="210" t="s">
        <v>54</v>
      </c>
      <c r="L1116" s="211" t="s">
        <v>60</v>
      </c>
      <c r="M1116" s="211" t="s">
        <v>17</v>
      </c>
    </row>
    <row r="1117" spans="1:13" x14ac:dyDescent="0.2">
      <c r="A1117" s="211" t="s">
        <v>55</v>
      </c>
      <c r="B1117" s="211" t="s">
        <v>58</v>
      </c>
      <c r="C1117" s="211" t="s">
        <v>19</v>
      </c>
      <c r="D1117" s="211" t="s">
        <v>12</v>
      </c>
      <c r="E1117" s="208">
        <v>42972</v>
      </c>
      <c r="F1117" s="221">
        <v>3034.0920000000001</v>
      </c>
      <c r="G1117" s="210" t="s">
        <v>16</v>
      </c>
      <c r="H1117" s="211" t="s">
        <v>18</v>
      </c>
      <c r="I1117" s="210">
        <v>1</v>
      </c>
      <c r="J1117" s="210" t="s">
        <v>15</v>
      </c>
      <c r="K1117" s="210" t="s">
        <v>54</v>
      </c>
      <c r="L1117" s="211" t="s">
        <v>60</v>
      </c>
      <c r="M1117" s="211" t="s">
        <v>17</v>
      </c>
    </row>
    <row r="1118" spans="1:13" x14ac:dyDescent="0.2">
      <c r="A1118" s="211" t="s">
        <v>55</v>
      </c>
      <c r="B1118" s="211" t="s">
        <v>58</v>
      </c>
      <c r="C1118" s="211" t="s">
        <v>19</v>
      </c>
      <c r="D1118" s="211" t="s">
        <v>12</v>
      </c>
      <c r="E1118" s="208">
        <v>42971</v>
      </c>
      <c r="F1118" s="209">
        <v>9.8589170999999993</v>
      </c>
      <c r="G1118" s="210" t="s">
        <v>13</v>
      </c>
      <c r="H1118" s="211" t="s">
        <v>14</v>
      </c>
      <c r="I1118" s="210">
        <v>1</v>
      </c>
      <c r="J1118" s="210" t="s">
        <v>15</v>
      </c>
      <c r="K1118" s="210" t="s">
        <v>54</v>
      </c>
      <c r="L1118" s="211" t="s">
        <v>60</v>
      </c>
      <c r="M1118" s="211" t="s">
        <v>56</v>
      </c>
    </row>
    <row r="1119" spans="1:13" x14ac:dyDescent="0.2">
      <c r="A1119" s="211" t="s">
        <v>55</v>
      </c>
      <c r="B1119" s="211" t="s">
        <v>58</v>
      </c>
      <c r="C1119" s="211" t="s">
        <v>19</v>
      </c>
      <c r="D1119" s="211" t="s">
        <v>12</v>
      </c>
      <c r="E1119" s="208">
        <v>42971</v>
      </c>
      <c r="F1119" s="221">
        <v>3272.4900785</v>
      </c>
      <c r="G1119" s="210" t="s">
        <v>16</v>
      </c>
      <c r="H1119" s="211" t="s">
        <v>14</v>
      </c>
      <c r="I1119" s="210">
        <v>1</v>
      </c>
      <c r="J1119" s="210" t="s">
        <v>15</v>
      </c>
      <c r="K1119" s="210" t="s">
        <v>54</v>
      </c>
      <c r="L1119" s="211" t="s">
        <v>60</v>
      </c>
      <c r="M1119" s="211" t="s">
        <v>56</v>
      </c>
    </row>
    <row r="1120" spans="1:13" x14ac:dyDescent="0.2">
      <c r="A1120" s="211" t="s">
        <v>55</v>
      </c>
      <c r="B1120" s="211" t="s">
        <v>58</v>
      </c>
      <c r="C1120" s="211" t="s">
        <v>19</v>
      </c>
      <c r="D1120" s="211" t="s">
        <v>12</v>
      </c>
      <c r="E1120" s="208">
        <v>42971</v>
      </c>
      <c r="F1120" s="209">
        <v>8.42</v>
      </c>
      <c r="G1120" s="210" t="s">
        <v>13</v>
      </c>
      <c r="H1120" s="211" t="s">
        <v>18</v>
      </c>
      <c r="I1120" s="210">
        <v>1</v>
      </c>
      <c r="J1120" s="210" t="s">
        <v>15</v>
      </c>
      <c r="K1120" s="210" t="s">
        <v>54</v>
      </c>
      <c r="L1120" s="211" t="s">
        <v>60</v>
      </c>
      <c r="M1120" s="211" t="s">
        <v>17</v>
      </c>
    </row>
    <row r="1121" spans="1:13" x14ac:dyDescent="0.2">
      <c r="A1121" s="211" t="s">
        <v>55</v>
      </c>
      <c r="B1121" s="211" t="s">
        <v>58</v>
      </c>
      <c r="C1121" s="211" t="s">
        <v>19</v>
      </c>
      <c r="D1121" s="211" t="s">
        <v>12</v>
      </c>
      <c r="E1121" s="208">
        <v>42971</v>
      </c>
      <c r="F1121" s="221">
        <v>2794.86744</v>
      </c>
      <c r="G1121" s="210" t="s">
        <v>16</v>
      </c>
      <c r="H1121" s="211" t="s">
        <v>18</v>
      </c>
      <c r="I1121" s="210">
        <v>1</v>
      </c>
      <c r="J1121" s="210" t="s">
        <v>15</v>
      </c>
      <c r="K1121" s="210" t="s">
        <v>54</v>
      </c>
      <c r="L1121" s="211" t="s">
        <v>60</v>
      </c>
      <c r="M1121" s="211" t="s">
        <v>17</v>
      </c>
    </row>
    <row r="1122" spans="1:13" x14ac:dyDescent="0.2">
      <c r="A1122" s="211" t="s">
        <v>55</v>
      </c>
      <c r="B1122" s="211" t="s">
        <v>58</v>
      </c>
      <c r="C1122" s="211" t="s">
        <v>19</v>
      </c>
      <c r="D1122" s="211" t="s">
        <v>12</v>
      </c>
      <c r="E1122" s="208">
        <v>42970</v>
      </c>
      <c r="F1122" s="209">
        <v>11.0507705</v>
      </c>
      <c r="G1122" s="210" t="s">
        <v>13</v>
      </c>
      <c r="H1122" s="211" t="s">
        <v>14</v>
      </c>
      <c r="I1122" s="210">
        <v>1</v>
      </c>
      <c r="J1122" s="210" t="s">
        <v>15</v>
      </c>
      <c r="K1122" s="210" t="s">
        <v>54</v>
      </c>
      <c r="L1122" s="211" t="s">
        <v>60</v>
      </c>
      <c r="M1122" s="211" t="s">
        <v>56</v>
      </c>
    </row>
    <row r="1123" spans="1:13" x14ac:dyDescent="0.2">
      <c r="A1123" s="211" t="s">
        <v>55</v>
      </c>
      <c r="B1123" s="211" t="s">
        <v>58</v>
      </c>
      <c r="C1123" s="211" t="s">
        <v>19</v>
      </c>
      <c r="D1123" s="211" t="s">
        <v>12</v>
      </c>
      <c r="E1123" s="208">
        <v>42970</v>
      </c>
      <c r="F1123" s="221">
        <v>3566.7246129999999</v>
      </c>
      <c r="G1123" s="210" t="s">
        <v>16</v>
      </c>
      <c r="H1123" s="211" t="s">
        <v>14</v>
      </c>
      <c r="I1123" s="210">
        <v>1</v>
      </c>
      <c r="J1123" s="210" t="s">
        <v>15</v>
      </c>
      <c r="K1123" s="210" t="s">
        <v>54</v>
      </c>
      <c r="L1123" s="211" t="s">
        <v>60</v>
      </c>
      <c r="M1123" s="211" t="s">
        <v>56</v>
      </c>
    </row>
    <row r="1124" spans="1:13" x14ac:dyDescent="0.2">
      <c r="A1124" s="211" t="s">
        <v>55</v>
      </c>
      <c r="B1124" s="211" t="s">
        <v>58</v>
      </c>
      <c r="C1124" s="211" t="s">
        <v>19</v>
      </c>
      <c r="D1124" s="211" t="s">
        <v>12</v>
      </c>
      <c r="E1124" s="208">
        <v>42970</v>
      </c>
      <c r="F1124" s="209">
        <v>8.66</v>
      </c>
      <c r="G1124" s="210" t="s">
        <v>13</v>
      </c>
      <c r="H1124" s="211" t="s">
        <v>18</v>
      </c>
      <c r="I1124" s="210">
        <v>1</v>
      </c>
      <c r="J1124" s="210" t="s">
        <v>15</v>
      </c>
      <c r="K1124" s="210" t="s">
        <v>54</v>
      </c>
      <c r="L1124" s="211" t="s">
        <v>60</v>
      </c>
      <c r="M1124" s="211" t="s">
        <v>17</v>
      </c>
    </row>
    <row r="1125" spans="1:13" x14ac:dyDescent="0.2">
      <c r="A1125" s="211" t="s">
        <v>55</v>
      </c>
      <c r="B1125" s="211" t="s">
        <v>58</v>
      </c>
      <c r="C1125" s="211" t="s">
        <v>19</v>
      </c>
      <c r="D1125" s="211" t="s">
        <v>12</v>
      </c>
      <c r="E1125" s="208">
        <v>42970</v>
      </c>
      <c r="F1125" s="221">
        <v>2795.08428</v>
      </c>
      <c r="G1125" s="210" t="s">
        <v>16</v>
      </c>
      <c r="H1125" s="211" t="s">
        <v>18</v>
      </c>
      <c r="I1125" s="210">
        <v>1</v>
      </c>
      <c r="J1125" s="210" t="s">
        <v>15</v>
      </c>
      <c r="K1125" s="210" t="s">
        <v>54</v>
      </c>
      <c r="L1125" s="211" t="s">
        <v>60</v>
      </c>
      <c r="M1125" s="211" t="s">
        <v>17</v>
      </c>
    </row>
    <row r="1126" spans="1:13" x14ac:dyDescent="0.2">
      <c r="A1126" s="211" t="s">
        <v>55</v>
      </c>
      <c r="B1126" s="211" t="s">
        <v>58</v>
      </c>
      <c r="C1126" s="211" t="s">
        <v>19</v>
      </c>
      <c r="D1126" s="211" t="s">
        <v>12</v>
      </c>
      <c r="E1126" s="208">
        <v>42969</v>
      </c>
      <c r="F1126" s="209">
        <v>7.7256125999999998</v>
      </c>
      <c r="G1126" s="210" t="s">
        <v>13</v>
      </c>
      <c r="H1126" s="211" t="s">
        <v>14</v>
      </c>
      <c r="I1126" s="210">
        <v>1</v>
      </c>
      <c r="J1126" s="210" t="s">
        <v>15</v>
      </c>
      <c r="K1126" s="210" t="s">
        <v>54</v>
      </c>
      <c r="L1126" s="211" t="s">
        <v>60</v>
      </c>
      <c r="M1126" s="211" t="s">
        <v>56</v>
      </c>
    </row>
    <row r="1127" spans="1:13" x14ac:dyDescent="0.2">
      <c r="A1127" s="211" t="s">
        <v>55</v>
      </c>
      <c r="B1127" s="211" t="s">
        <v>58</v>
      </c>
      <c r="C1127" s="211" t="s">
        <v>19</v>
      </c>
      <c r="D1127" s="211" t="s">
        <v>12</v>
      </c>
      <c r="E1127" s="208">
        <v>42969</v>
      </c>
      <c r="F1127" s="221">
        <v>2860.7634480000002</v>
      </c>
      <c r="G1127" s="210" t="s">
        <v>16</v>
      </c>
      <c r="H1127" s="211" t="s">
        <v>14</v>
      </c>
      <c r="I1127" s="210">
        <v>1</v>
      </c>
      <c r="J1127" s="210" t="s">
        <v>15</v>
      </c>
      <c r="K1127" s="210" t="s">
        <v>54</v>
      </c>
      <c r="L1127" s="211" t="s">
        <v>60</v>
      </c>
      <c r="M1127" s="211" t="s">
        <v>56</v>
      </c>
    </row>
    <row r="1128" spans="1:13" x14ac:dyDescent="0.2">
      <c r="A1128" s="211" t="s">
        <v>55</v>
      </c>
      <c r="B1128" s="211" t="s">
        <v>58</v>
      </c>
      <c r="C1128" s="211" t="s">
        <v>19</v>
      </c>
      <c r="D1128" s="211" t="s">
        <v>12</v>
      </c>
      <c r="E1128" s="208">
        <v>42969</v>
      </c>
      <c r="F1128" s="209">
        <v>8.4</v>
      </c>
      <c r="G1128" s="210" t="s">
        <v>13</v>
      </c>
      <c r="H1128" s="211" t="s">
        <v>18</v>
      </c>
      <c r="I1128" s="210">
        <v>1</v>
      </c>
      <c r="J1128" s="210" t="s">
        <v>15</v>
      </c>
      <c r="K1128" s="210" t="s">
        <v>54</v>
      </c>
      <c r="L1128" s="211" t="s">
        <v>60</v>
      </c>
      <c r="M1128" s="211" t="s">
        <v>17</v>
      </c>
    </row>
    <row r="1129" spans="1:13" x14ac:dyDescent="0.2">
      <c r="A1129" s="211" t="s">
        <v>55</v>
      </c>
      <c r="B1129" s="211" t="s">
        <v>58</v>
      </c>
      <c r="C1129" s="211" t="s">
        <v>19</v>
      </c>
      <c r="D1129" s="211" t="s">
        <v>12</v>
      </c>
      <c r="E1129" s="208">
        <v>42969</v>
      </c>
      <c r="F1129" s="221">
        <v>3110.4863999999998</v>
      </c>
      <c r="G1129" s="210" t="s">
        <v>16</v>
      </c>
      <c r="H1129" s="211" t="s">
        <v>18</v>
      </c>
      <c r="I1129" s="210">
        <v>1</v>
      </c>
      <c r="J1129" s="210" t="s">
        <v>15</v>
      </c>
      <c r="K1129" s="210" t="s">
        <v>54</v>
      </c>
      <c r="L1129" s="211" t="s">
        <v>60</v>
      </c>
      <c r="M1129" s="211" t="s">
        <v>17</v>
      </c>
    </row>
    <row r="1130" spans="1:13" x14ac:dyDescent="0.2">
      <c r="A1130" s="211" t="s">
        <v>55</v>
      </c>
      <c r="B1130" s="211" t="s">
        <v>58</v>
      </c>
      <c r="C1130" s="211" t="s">
        <v>19</v>
      </c>
      <c r="D1130" s="211" t="s">
        <v>12</v>
      </c>
      <c r="E1130" s="208">
        <v>42968</v>
      </c>
      <c r="F1130" s="209">
        <v>9.5057942999999998</v>
      </c>
      <c r="G1130" s="210" t="s">
        <v>13</v>
      </c>
      <c r="H1130" s="211" t="s">
        <v>14</v>
      </c>
      <c r="I1130" s="210">
        <v>1</v>
      </c>
      <c r="J1130" s="210" t="s">
        <v>15</v>
      </c>
      <c r="K1130" s="210" t="s">
        <v>54</v>
      </c>
      <c r="L1130" s="211" t="s">
        <v>60</v>
      </c>
      <c r="M1130" s="211" t="s">
        <v>56</v>
      </c>
    </row>
    <row r="1131" spans="1:13" x14ac:dyDescent="0.2">
      <c r="A1131" s="211" t="s">
        <v>55</v>
      </c>
      <c r="B1131" s="211" t="s">
        <v>58</v>
      </c>
      <c r="C1131" s="211" t="s">
        <v>19</v>
      </c>
      <c r="D1131" s="211" t="s">
        <v>12</v>
      </c>
      <c r="E1131" s="208">
        <v>42968</v>
      </c>
      <c r="F1131" s="221">
        <v>3718.1534385</v>
      </c>
      <c r="G1131" s="210" t="s">
        <v>16</v>
      </c>
      <c r="H1131" s="211" t="s">
        <v>14</v>
      </c>
      <c r="I1131" s="210">
        <v>1</v>
      </c>
      <c r="J1131" s="210" t="s">
        <v>15</v>
      </c>
      <c r="K1131" s="210" t="s">
        <v>54</v>
      </c>
      <c r="L1131" s="211" t="s">
        <v>60</v>
      </c>
      <c r="M1131" s="211" t="s">
        <v>56</v>
      </c>
    </row>
    <row r="1132" spans="1:13" x14ac:dyDescent="0.2">
      <c r="A1132" s="211" t="s">
        <v>55</v>
      </c>
      <c r="B1132" s="211" t="s">
        <v>58</v>
      </c>
      <c r="C1132" s="211" t="s">
        <v>19</v>
      </c>
      <c r="D1132" s="211" t="s">
        <v>12</v>
      </c>
      <c r="E1132" s="208">
        <v>42968</v>
      </c>
      <c r="F1132" s="209">
        <v>9.3000000000000007</v>
      </c>
      <c r="G1132" s="210" t="s">
        <v>13</v>
      </c>
      <c r="H1132" s="211" t="s">
        <v>18</v>
      </c>
      <c r="I1132" s="210">
        <v>1</v>
      </c>
      <c r="J1132" s="210" t="s">
        <v>15</v>
      </c>
      <c r="K1132" s="210" t="s">
        <v>54</v>
      </c>
      <c r="L1132" s="211" t="s">
        <v>60</v>
      </c>
      <c r="M1132" s="211" t="s">
        <v>17</v>
      </c>
    </row>
    <row r="1133" spans="1:13" x14ac:dyDescent="0.2">
      <c r="A1133" s="211" t="s">
        <v>55</v>
      </c>
      <c r="B1133" s="211" t="s">
        <v>58</v>
      </c>
      <c r="C1133" s="211" t="s">
        <v>19</v>
      </c>
      <c r="D1133" s="211" t="s">
        <v>12</v>
      </c>
      <c r="E1133" s="208">
        <v>42968</v>
      </c>
      <c r="F1133" s="221">
        <v>3637.6578</v>
      </c>
      <c r="G1133" s="210" t="s">
        <v>16</v>
      </c>
      <c r="H1133" s="211" t="s">
        <v>18</v>
      </c>
      <c r="I1133" s="210">
        <v>1</v>
      </c>
      <c r="J1133" s="210" t="s">
        <v>15</v>
      </c>
      <c r="K1133" s="210" t="s">
        <v>54</v>
      </c>
      <c r="L1133" s="211" t="s">
        <v>60</v>
      </c>
      <c r="M1133" s="211" t="s">
        <v>17</v>
      </c>
    </row>
    <row r="1134" spans="1:13" x14ac:dyDescent="0.2">
      <c r="A1134" s="211" t="s">
        <v>55</v>
      </c>
      <c r="B1134" s="211" t="s">
        <v>58</v>
      </c>
      <c r="C1134" s="211" t="s">
        <v>19</v>
      </c>
      <c r="D1134" s="211" t="s">
        <v>12</v>
      </c>
      <c r="E1134" s="208">
        <v>42967</v>
      </c>
      <c r="F1134" s="209">
        <v>9.8764342999999997</v>
      </c>
      <c r="G1134" s="210" t="s">
        <v>13</v>
      </c>
      <c r="H1134" s="211" t="s">
        <v>14</v>
      </c>
      <c r="I1134" s="210">
        <v>1</v>
      </c>
      <c r="J1134" s="210" t="s">
        <v>15</v>
      </c>
      <c r="K1134" s="210" t="s">
        <v>54</v>
      </c>
      <c r="L1134" s="211" t="s">
        <v>60</v>
      </c>
      <c r="M1134" s="211" t="s">
        <v>56</v>
      </c>
    </row>
    <row r="1135" spans="1:13" x14ac:dyDescent="0.2">
      <c r="A1135" s="211" t="s">
        <v>55</v>
      </c>
      <c r="B1135" s="211" t="s">
        <v>58</v>
      </c>
      <c r="C1135" s="211" t="s">
        <v>19</v>
      </c>
      <c r="D1135" s="211" t="s">
        <v>12</v>
      </c>
      <c r="E1135" s="208">
        <v>42967</v>
      </c>
      <c r="F1135" s="221">
        <v>3665.4410950000001</v>
      </c>
      <c r="G1135" s="210" t="s">
        <v>16</v>
      </c>
      <c r="H1135" s="211" t="s">
        <v>14</v>
      </c>
      <c r="I1135" s="210">
        <v>1</v>
      </c>
      <c r="J1135" s="210" t="s">
        <v>15</v>
      </c>
      <c r="K1135" s="210" t="s">
        <v>54</v>
      </c>
      <c r="L1135" s="211" t="s">
        <v>60</v>
      </c>
      <c r="M1135" s="211" t="s">
        <v>56</v>
      </c>
    </row>
    <row r="1136" spans="1:13" x14ac:dyDescent="0.2">
      <c r="A1136" s="211" t="s">
        <v>55</v>
      </c>
      <c r="B1136" s="211" t="s">
        <v>58</v>
      </c>
      <c r="C1136" s="211" t="s">
        <v>19</v>
      </c>
      <c r="D1136" s="211" t="s">
        <v>12</v>
      </c>
      <c r="E1136" s="208">
        <v>42967</v>
      </c>
      <c r="F1136" s="209">
        <v>10.7</v>
      </c>
      <c r="G1136" s="210" t="s">
        <v>13</v>
      </c>
      <c r="H1136" s="211" t="s">
        <v>18</v>
      </c>
      <c r="I1136" s="210">
        <v>1</v>
      </c>
      <c r="J1136" s="210" t="s">
        <v>15</v>
      </c>
      <c r="K1136" s="210" t="s">
        <v>54</v>
      </c>
      <c r="L1136" s="211" t="s">
        <v>60</v>
      </c>
      <c r="M1136" s="211" t="s">
        <v>17</v>
      </c>
    </row>
    <row r="1137" spans="1:13" x14ac:dyDescent="0.2">
      <c r="A1137" s="211" t="s">
        <v>55</v>
      </c>
      <c r="B1137" s="211" t="s">
        <v>58</v>
      </c>
      <c r="C1137" s="211" t="s">
        <v>19</v>
      </c>
      <c r="D1137" s="211" t="s">
        <v>12</v>
      </c>
      <c r="E1137" s="208">
        <v>42967</v>
      </c>
      <c r="F1137" s="221">
        <v>3971.0909999999999</v>
      </c>
      <c r="G1137" s="210" t="s">
        <v>16</v>
      </c>
      <c r="H1137" s="211" t="s">
        <v>18</v>
      </c>
      <c r="I1137" s="210">
        <v>1</v>
      </c>
      <c r="J1137" s="210" t="s">
        <v>15</v>
      </c>
      <c r="K1137" s="210" t="s">
        <v>54</v>
      </c>
      <c r="L1137" s="211" t="s">
        <v>60</v>
      </c>
      <c r="M1137" s="211" t="s">
        <v>17</v>
      </c>
    </row>
    <row r="1138" spans="1:13" x14ac:dyDescent="0.2">
      <c r="A1138" s="211" t="s">
        <v>55</v>
      </c>
      <c r="B1138" s="211" t="s">
        <v>58</v>
      </c>
      <c r="C1138" s="211" t="s">
        <v>19</v>
      </c>
      <c r="D1138" s="211" t="s">
        <v>12</v>
      </c>
      <c r="E1138" s="208">
        <v>42966</v>
      </c>
      <c r="F1138" s="209">
        <v>14.1130441</v>
      </c>
      <c r="G1138" s="210" t="s">
        <v>13</v>
      </c>
      <c r="H1138" s="211" t="s">
        <v>14</v>
      </c>
      <c r="I1138" s="210">
        <v>1</v>
      </c>
      <c r="J1138" s="210" t="s">
        <v>15</v>
      </c>
      <c r="K1138" s="210" t="s">
        <v>54</v>
      </c>
      <c r="L1138" s="211" t="s">
        <v>60</v>
      </c>
      <c r="M1138" s="211" t="s">
        <v>56</v>
      </c>
    </row>
    <row r="1139" spans="1:13" x14ac:dyDescent="0.2">
      <c r="A1139" s="211" t="s">
        <v>55</v>
      </c>
      <c r="B1139" s="211" t="s">
        <v>58</v>
      </c>
      <c r="C1139" s="211" t="s">
        <v>19</v>
      </c>
      <c r="D1139" s="211" t="s">
        <v>12</v>
      </c>
      <c r="E1139" s="208">
        <v>42966</v>
      </c>
      <c r="F1139" s="221">
        <v>4931.7468379000002</v>
      </c>
      <c r="G1139" s="210" t="s">
        <v>16</v>
      </c>
      <c r="H1139" s="211" t="s">
        <v>14</v>
      </c>
      <c r="I1139" s="210">
        <v>1</v>
      </c>
      <c r="J1139" s="210" t="s">
        <v>15</v>
      </c>
      <c r="K1139" s="210" t="s">
        <v>54</v>
      </c>
      <c r="L1139" s="211" t="s">
        <v>60</v>
      </c>
      <c r="M1139" s="211" t="s">
        <v>56</v>
      </c>
    </row>
    <row r="1140" spans="1:13" x14ac:dyDescent="0.2">
      <c r="A1140" s="211" t="s">
        <v>55</v>
      </c>
      <c r="B1140" s="211" t="s">
        <v>58</v>
      </c>
      <c r="C1140" s="211" t="s">
        <v>19</v>
      </c>
      <c r="D1140" s="211" t="s">
        <v>12</v>
      </c>
      <c r="E1140" s="208">
        <v>42966</v>
      </c>
      <c r="F1140" s="209">
        <v>11</v>
      </c>
      <c r="G1140" s="210" t="s">
        <v>13</v>
      </c>
      <c r="H1140" s="211" t="s">
        <v>18</v>
      </c>
      <c r="I1140" s="210">
        <v>1</v>
      </c>
      <c r="J1140" s="210" t="s">
        <v>15</v>
      </c>
      <c r="K1140" s="210" t="s">
        <v>54</v>
      </c>
      <c r="L1140" s="211" t="s">
        <v>60</v>
      </c>
      <c r="M1140" s="211" t="s">
        <v>17</v>
      </c>
    </row>
    <row r="1141" spans="1:13" x14ac:dyDescent="0.2">
      <c r="A1141" s="211" t="s">
        <v>55</v>
      </c>
      <c r="B1141" s="211" t="s">
        <v>58</v>
      </c>
      <c r="C1141" s="211" t="s">
        <v>19</v>
      </c>
      <c r="D1141" s="211" t="s">
        <v>12</v>
      </c>
      <c r="E1141" s="208">
        <v>42966</v>
      </c>
      <c r="F1141" s="221">
        <v>3843.9059999999999</v>
      </c>
      <c r="G1141" s="210" t="s">
        <v>16</v>
      </c>
      <c r="H1141" s="211" t="s">
        <v>18</v>
      </c>
      <c r="I1141" s="210">
        <v>1</v>
      </c>
      <c r="J1141" s="210" t="s">
        <v>15</v>
      </c>
      <c r="K1141" s="210" t="s">
        <v>54</v>
      </c>
      <c r="L1141" s="211" t="s">
        <v>60</v>
      </c>
      <c r="M1141" s="211" t="s">
        <v>17</v>
      </c>
    </row>
    <row r="1142" spans="1:13" x14ac:dyDescent="0.2">
      <c r="A1142" s="211" t="s">
        <v>55</v>
      </c>
      <c r="B1142" s="211" t="s">
        <v>58</v>
      </c>
      <c r="C1142" s="211" t="s">
        <v>19</v>
      </c>
      <c r="D1142" s="211" t="s">
        <v>12</v>
      </c>
      <c r="E1142" s="208">
        <v>42965</v>
      </c>
      <c r="F1142" s="209">
        <v>10.7676006</v>
      </c>
      <c r="G1142" s="210" t="s">
        <v>13</v>
      </c>
      <c r="H1142" s="211" t="s">
        <v>14</v>
      </c>
      <c r="I1142" s="210">
        <v>1</v>
      </c>
      <c r="J1142" s="210" t="s">
        <v>15</v>
      </c>
      <c r="K1142" s="210" t="s">
        <v>54</v>
      </c>
      <c r="L1142" s="211" t="s">
        <v>60</v>
      </c>
      <c r="M1142" s="211" t="s">
        <v>56</v>
      </c>
    </row>
    <row r="1143" spans="1:13" x14ac:dyDescent="0.2">
      <c r="A1143" s="211" t="s">
        <v>55</v>
      </c>
      <c r="B1143" s="211" t="s">
        <v>58</v>
      </c>
      <c r="C1143" s="211" t="s">
        <v>19</v>
      </c>
      <c r="D1143" s="211" t="s">
        <v>12</v>
      </c>
      <c r="E1143" s="208">
        <v>42965</v>
      </c>
      <c r="F1143" s="221">
        <v>3735.7544357000002</v>
      </c>
      <c r="G1143" s="210" t="s">
        <v>16</v>
      </c>
      <c r="H1143" s="211" t="s">
        <v>14</v>
      </c>
      <c r="I1143" s="210">
        <v>1</v>
      </c>
      <c r="J1143" s="210" t="s">
        <v>15</v>
      </c>
      <c r="K1143" s="210" t="s">
        <v>54</v>
      </c>
      <c r="L1143" s="211" t="s">
        <v>60</v>
      </c>
      <c r="M1143" s="211" t="s">
        <v>56</v>
      </c>
    </row>
    <row r="1144" spans="1:13" x14ac:dyDescent="0.2">
      <c r="A1144" s="211" t="s">
        <v>55</v>
      </c>
      <c r="B1144" s="211" t="s">
        <v>58</v>
      </c>
      <c r="C1144" s="211" t="s">
        <v>19</v>
      </c>
      <c r="D1144" s="211" t="s">
        <v>12</v>
      </c>
      <c r="E1144" s="208">
        <v>42965</v>
      </c>
      <c r="F1144" s="209">
        <v>9.1</v>
      </c>
      <c r="G1144" s="210" t="s">
        <v>13</v>
      </c>
      <c r="H1144" s="211" t="s">
        <v>18</v>
      </c>
      <c r="I1144" s="210">
        <v>1</v>
      </c>
      <c r="J1144" s="210" t="s">
        <v>15</v>
      </c>
      <c r="K1144" s="210" t="s">
        <v>54</v>
      </c>
      <c r="L1144" s="211" t="s">
        <v>60</v>
      </c>
      <c r="M1144" s="211" t="s">
        <v>17</v>
      </c>
    </row>
    <row r="1145" spans="1:13" x14ac:dyDescent="0.2">
      <c r="A1145" s="211" t="s">
        <v>55</v>
      </c>
      <c r="B1145" s="211" t="s">
        <v>58</v>
      </c>
      <c r="C1145" s="211" t="s">
        <v>19</v>
      </c>
      <c r="D1145" s="211" t="s">
        <v>12</v>
      </c>
      <c r="E1145" s="208">
        <v>42965</v>
      </c>
      <c r="F1145" s="221">
        <v>3157.1904</v>
      </c>
      <c r="G1145" s="210" t="s">
        <v>16</v>
      </c>
      <c r="H1145" s="211" t="s">
        <v>18</v>
      </c>
      <c r="I1145" s="210">
        <v>1</v>
      </c>
      <c r="J1145" s="210" t="s">
        <v>15</v>
      </c>
      <c r="K1145" s="210" t="s">
        <v>54</v>
      </c>
      <c r="L1145" s="211" t="s">
        <v>60</v>
      </c>
      <c r="M1145" s="211" t="s">
        <v>17</v>
      </c>
    </row>
    <row r="1146" spans="1:13" x14ac:dyDescent="0.2">
      <c r="A1146" s="211" t="s">
        <v>55</v>
      </c>
      <c r="B1146" s="211" t="s">
        <v>58</v>
      </c>
      <c r="C1146" s="211" t="s">
        <v>19</v>
      </c>
      <c r="D1146" s="211" t="s">
        <v>12</v>
      </c>
      <c r="E1146" s="208">
        <v>42964</v>
      </c>
      <c r="F1146" s="209">
        <v>11.1429727</v>
      </c>
      <c r="G1146" s="210" t="s">
        <v>13</v>
      </c>
      <c r="H1146" s="211" t="s">
        <v>14</v>
      </c>
      <c r="I1146" s="210">
        <v>1</v>
      </c>
      <c r="J1146" s="210" t="s">
        <v>15</v>
      </c>
      <c r="K1146" s="210" t="s">
        <v>54</v>
      </c>
      <c r="L1146" s="211" t="s">
        <v>60</v>
      </c>
      <c r="M1146" s="211" t="s">
        <v>56</v>
      </c>
    </row>
    <row r="1147" spans="1:13" x14ac:dyDescent="0.2">
      <c r="A1147" s="211" t="s">
        <v>55</v>
      </c>
      <c r="B1147" s="211" t="s">
        <v>58</v>
      </c>
      <c r="C1147" s="211" t="s">
        <v>19</v>
      </c>
      <c r="D1147" s="211" t="s">
        <v>12</v>
      </c>
      <c r="E1147" s="208">
        <v>42964</v>
      </c>
      <c r="F1147" s="221">
        <v>4135.4914882000003</v>
      </c>
      <c r="G1147" s="210" t="s">
        <v>16</v>
      </c>
      <c r="H1147" s="211" t="s">
        <v>14</v>
      </c>
      <c r="I1147" s="210">
        <v>1</v>
      </c>
      <c r="J1147" s="210" t="s">
        <v>15</v>
      </c>
      <c r="K1147" s="210" t="s">
        <v>54</v>
      </c>
      <c r="L1147" s="211" t="s">
        <v>60</v>
      </c>
      <c r="M1147" s="211" t="s">
        <v>56</v>
      </c>
    </row>
    <row r="1148" spans="1:13" x14ac:dyDescent="0.2">
      <c r="A1148" s="211" t="s">
        <v>55</v>
      </c>
      <c r="B1148" s="211" t="s">
        <v>58</v>
      </c>
      <c r="C1148" s="211" t="s">
        <v>19</v>
      </c>
      <c r="D1148" s="211" t="s">
        <v>12</v>
      </c>
      <c r="E1148" s="208">
        <v>42964</v>
      </c>
      <c r="F1148" s="209">
        <v>8.6999999999999993</v>
      </c>
      <c r="G1148" s="210" t="s">
        <v>13</v>
      </c>
      <c r="H1148" s="211" t="s">
        <v>18</v>
      </c>
      <c r="I1148" s="210">
        <v>1</v>
      </c>
      <c r="J1148" s="210" t="s">
        <v>15</v>
      </c>
      <c r="K1148" s="210" t="s">
        <v>54</v>
      </c>
      <c r="L1148" s="211" t="s">
        <v>60</v>
      </c>
      <c r="M1148" s="211" t="s">
        <v>17</v>
      </c>
    </row>
    <row r="1149" spans="1:13" x14ac:dyDescent="0.2">
      <c r="A1149" s="211" t="s">
        <v>55</v>
      </c>
      <c r="B1149" s="211" t="s">
        <v>58</v>
      </c>
      <c r="C1149" s="211" t="s">
        <v>19</v>
      </c>
      <c r="D1149" s="211" t="s">
        <v>12</v>
      </c>
      <c r="E1149" s="208">
        <v>42964</v>
      </c>
      <c r="F1149" s="221">
        <v>3228.8310000000001</v>
      </c>
      <c r="G1149" s="210" t="s">
        <v>16</v>
      </c>
      <c r="H1149" s="211" t="s">
        <v>18</v>
      </c>
      <c r="I1149" s="210">
        <v>1</v>
      </c>
      <c r="J1149" s="210" t="s">
        <v>15</v>
      </c>
      <c r="K1149" s="210" t="s">
        <v>54</v>
      </c>
      <c r="L1149" s="211" t="s">
        <v>60</v>
      </c>
      <c r="M1149" s="211" t="s">
        <v>17</v>
      </c>
    </row>
    <row r="1150" spans="1:13" x14ac:dyDescent="0.2">
      <c r="A1150" s="211" t="s">
        <v>55</v>
      </c>
      <c r="B1150" s="211" t="s">
        <v>58</v>
      </c>
      <c r="C1150" s="211" t="s">
        <v>19</v>
      </c>
      <c r="D1150" s="211" t="s">
        <v>12</v>
      </c>
      <c r="E1150" s="208">
        <v>42963</v>
      </c>
      <c r="F1150" s="209">
        <v>9.5061292000000002</v>
      </c>
      <c r="G1150" s="210" t="s">
        <v>13</v>
      </c>
      <c r="H1150" s="211" t="s">
        <v>14</v>
      </c>
      <c r="I1150" s="210">
        <v>1</v>
      </c>
      <c r="J1150" s="210" t="s">
        <v>15</v>
      </c>
      <c r="K1150" s="210" t="s">
        <v>54</v>
      </c>
      <c r="L1150" s="211" t="s">
        <v>60</v>
      </c>
      <c r="M1150" s="211" t="s">
        <v>56</v>
      </c>
    </row>
    <row r="1151" spans="1:13" x14ac:dyDescent="0.2">
      <c r="A1151" s="211" t="s">
        <v>55</v>
      </c>
      <c r="B1151" s="211" t="s">
        <v>58</v>
      </c>
      <c r="C1151" s="211" t="s">
        <v>19</v>
      </c>
      <c r="D1151" s="211" t="s">
        <v>12</v>
      </c>
      <c r="E1151" s="208">
        <v>42963</v>
      </c>
      <c r="F1151" s="221">
        <v>3440.8005168</v>
      </c>
      <c r="G1151" s="210" t="s">
        <v>16</v>
      </c>
      <c r="H1151" s="211" t="s">
        <v>14</v>
      </c>
      <c r="I1151" s="210">
        <v>1</v>
      </c>
      <c r="J1151" s="210" t="s">
        <v>15</v>
      </c>
      <c r="K1151" s="210" t="s">
        <v>54</v>
      </c>
      <c r="L1151" s="211" t="s">
        <v>60</v>
      </c>
      <c r="M1151" s="211" t="s">
        <v>56</v>
      </c>
    </row>
    <row r="1152" spans="1:13" x14ac:dyDescent="0.2">
      <c r="A1152" s="211" t="s">
        <v>55</v>
      </c>
      <c r="B1152" s="211" t="s">
        <v>58</v>
      </c>
      <c r="C1152" s="211" t="s">
        <v>19</v>
      </c>
      <c r="D1152" s="211" t="s">
        <v>12</v>
      </c>
      <c r="E1152" s="208">
        <v>42963</v>
      </c>
      <c r="F1152" s="209">
        <v>8.6999999999999993</v>
      </c>
      <c r="G1152" s="210" t="s">
        <v>13</v>
      </c>
      <c r="H1152" s="211" t="s">
        <v>18</v>
      </c>
      <c r="I1152" s="210">
        <v>1</v>
      </c>
      <c r="J1152" s="210" t="s">
        <v>15</v>
      </c>
      <c r="K1152" s="210" t="s">
        <v>54</v>
      </c>
      <c r="L1152" s="211" t="s">
        <v>60</v>
      </c>
      <c r="M1152" s="211" t="s">
        <v>17</v>
      </c>
    </row>
    <row r="1153" spans="1:13" x14ac:dyDescent="0.2">
      <c r="A1153" s="211" t="s">
        <v>55</v>
      </c>
      <c r="B1153" s="211" t="s">
        <v>58</v>
      </c>
      <c r="C1153" s="211" t="s">
        <v>19</v>
      </c>
      <c r="D1153" s="211" t="s">
        <v>12</v>
      </c>
      <c r="E1153" s="208">
        <v>42963</v>
      </c>
      <c r="F1153" s="221">
        <v>3149.0171999999998</v>
      </c>
      <c r="G1153" s="210" t="s">
        <v>16</v>
      </c>
      <c r="H1153" s="211" t="s">
        <v>18</v>
      </c>
      <c r="I1153" s="210">
        <v>1</v>
      </c>
      <c r="J1153" s="210" t="s">
        <v>15</v>
      </c>
      <c r="K1153" s="210" t="s">
        <v>54</v>
      </c>
      <c r="L1153" s="211" t="s">
        <v>60</v>
      </c>
      <c r="M1153" s="211" t="s">
        <v>17</v>
      </c>
    </row>
    <row r="1154" spans="1:13" x14ac:dyDescent="0.2">
      <c r="A1154" s="211" t="s">
        <v>55</v>
      </c>
      <c r="B1154" s="211" t="s">
        <v>58</v>
      </c>
      <c r="C1154" s="211" t="s">
        <v>19</v>
      </c>
      <c r="D1154" s="211" t="s">
        <v>12</v>
      </c>
      <c r="E1154" s="208">
        <v>42962</v>
      </c>
      <c r="F1154" s="209">
        <v>9.7931276999999994</v>
      </c>
      <c r="G1154" s="210" t="s">
        <v>13</v>
      </c>
      <c r="H1154" s="211" t="s">
        <v>14</v>
      </c>
      <c r="I1154" s="210">
        <v>1</v>
      </c>
      <c r="J1154" s="210" t="s">
        <v>15</v>
      </c>
      <c r="K1154" s="210" t="s">
        <v>54</v>
      </c>
      <c r="L1154" s="211" t="s">
        <v>60</v>
      </c>
      <c r="M1154" s="211" t="s">
        <v>56</v>
      </c>
    </row>
    <row r="1155" spans="1:13" x14ac:dyDescent="0.2">
      <c r="A1155" s="211" t="s">
        <v>55</v>
      </c>
      <c r="B1155" s="211" t="s">
        <v>58</v>
      </c>
      <c r="C1155" s="211" t="s">
        <v>19</v>
      </c>
      <c r="D1155" s="211" t="s">
        <v>12</v>
      </c>
      <c r="E1155" s="208">
        <v>42962</v>
      </c>
      <c r="F1155" s="221">
        <v>3552.8488115999999</v>
      </c>
      <c r="G1155" s="210" t="s">
        <v>16</v>
      </c>
      <c r="H1155" s="211" t="s">
        <v>14</v>
      </c>
      <c r="I1155" s="210">
        <v>1</v>
      </c>
      <c r="J1155" s="210" t="s">
        <v>15</v>
      </c>
      <c r="K1155" s="210" t="s">
        <v>54</v>
      </c>
      <c r="L1155" s="211" t="s">
        <v>60</v>
      </c>
      <c r="M1155" s="211" t="s">
        <v>56</v>
      </c>
    </row>
    <row r="1156" spans="1:13" x14ac:dyDescent="0.2">
      <c r="A1156" s="211" t="s">
        <v>55</v>
      </c>
      <c r="B1156" s="211" t="s">
        <v>58</v>
      </c>
      <c r="C1156" s="211" t="s">
        <v>19</v>
      </c>
      <c r="D1156" s="211" t="s">
        <v>12</v>
      </c>
      <c r="E1156" s="208">
        <v>42962</v>
      </c>
      <c r="F1156" s="209">
        <v>8.6999999999999993</v>
      </c>
      <c r="G1156" s="210" t="s">
        <v>13</v>
      </c>
      <c r="H1156" s="211" t="s">
        <v>18</v>
      </c>
      <c r="I1156" s="210">
        <v>1</v>
      </c>
      <c r="J1156" s="210" t="s">
        <v>15</v>
      </c>
      <c r="K1156" s="210" t="s">
        <v>54</v>
      </c>
      <c r="L1156" s="211" t="s">
        <v>60</v>
      </c>
      <c r="M1156" s="211" t="s">
        <v>17</v>
      </c>
    </row>
    <row r="1157" spans="1:13" x14ac:dyDescent="0.2">
      <c r="A1157" s="211" t="s">
        <v>55</v>
      </c>
      <c r="B1157" s="211" t="s">
        <v>58</v>
      </c>
      <c r="C1157" s="211" t="s">
        <v>19</v>
      </c>
      <c r="D1157" s="211" t="s">
        <v>12</v>
      </c>
      <c r="E1157" s="208">
        <v>42962</v>
      </c>
      <c r="F1157" s="221">
        <v>3156.2730000000001</v>
      </c>
      <c r="G1157" s="210" t="s">
        <v>16</v>
      </c>
      <c r="H1157" s="211" t="s">
        <v>18</v>
      </c>
      <c r="I1157" s="210">
        <v>1</v>
      </c>
      <c r="J1157" s="210" t="s">
        <v>15</v>
      </c>
      <c r="K1157" s="210" t="s">
        <v>54</v>
      </c>
      <c r="L1157" s="211" t="s">
        <v>60</v>
      </c>
      <c r="M1157" s="211" t="s">
        <v>17</v>
      </c>
    </row>
    <row r="1158" spans="1:13" x14ac:dyDescent="0.2">
      <c r="A1158" s="211" t="s">
        <v>55</v>
      </c>
      <c r="B1158" s="211" t="s">
        <v>58</v>
      </c>
      <c r="C1158" s="211" t="s">
        <v>19</v>
      </c>
      <c r="D1158" s="211" t="s">
        <v>12</v>
      </c>
      <c r="E1158" s="208">
        <v>42961</v>
      </c>
      <c r="F1158" s="209">
        <v>10.6999593</v>
      </c>
      <c r="G1158" s="210" t="s">
        <v>13</v>
      </c>
      <c r="H1158" s="211" t="s">
        <v>14</v>
      </c>
      <c r="I1158" s="210">
        <v>1</v>
      </c>
      <c r="J1158" s="210" t="s">
        <v>15</v>
      </c>
      <c r="K1158" s="210" t="s">
        <v>54</v>
      </c>
      <c r="L1158" s="211" t="s">
        <v>60</v>
      </c>
      <c r="M1158" s="211" t="s">
        <v>56</v>
      </c>
    </row>
    <row r="1159" spans="1:13" x14ac:dyDescent="0.2">
      <c r="A1159" s="211" t="s">
        <v>55</v>
      </c>
      <c r="B1159" s="211" t="s">
        <v>58</v>
      </c>
      <c r="C1159" s="211" t="s">
        <v>19</v>
      </c>
      <c r="D1159" s="211" t="s">
        <v>12</v>
      </c>
      <c r="E1159" s="208">
        <v>42961</v>
      </c>
      <c r="F1159" s="221">
        <v>4024.6184939</v>
      </c>
      <c r="G1159" s="210" t="s">
        <v>16</v>
      </c>
      <c r="H1159" s="211" t="s">
        <v>14</v>
      </c>
      <c r="I1159" s="210">
        <v>1</v>
      </c>
      <c r="J1159" s="210" t="s">
        <v>15</v>
      </c>
      <c r="K1159" s="210" t="s">
        <v>54</v>
      </c>
      <c r="L1159" s="211" t="s">
        <v>60</v>
      </c>
      <c r="M1159" s="211" t="s">
        <v>56</v>
      </c>
    </row>
    <row r="1160" spans="1:13" x14ac:dyDescent="0.2">
      <c r="A1160" s="211" t="s">
        <v>55</v>
      </c>
      <c r="B1160" s="211" t="s">
        <v>58</v>
      </c>
      <c r="C1160" s="211" t="s">
        <v>19</v>
      </c>
      <c r="D1160" s="211" t="s">
        <v>12</v>
      </c>
      <c r="E1160" s="208">
        <v>42961</v>
      </c>
      <c r="F1160" s="209">
        <v>7.7</v>
      </c>
      <c r="G1160" s="210" t="s">
        <v>13</v>
      </c>
      <c r="H1160" s="211" t="s">
        <v>18</v>
      </c>
      <c r="I1160" s="210">
        <v>1</v>
      </c>
      <c r="J1160" s="210" t="s">
        <v>15</v>
      </c>
      <c r="K1160" s="210" t="s">
        <v>54</v>
      </c>
      <c r="L1160" s="211" t="s">
        <v>60</v>
      </c>
      <c r="M1160" s="211" t="s">
        <v>17</v>
      </c>
    </row>
    <row r="1161" spans="1:13" x14ac:dyDescent="0.2">
      <c r="A1161" s="211" t="s">
        <v>55</v>
      </c>
      <c r="B1161" s="211" t="s">
        <v>58</v>
      </c>
      <c r="C1161" s="211" t="s">
        <v>19</v>
      </c>
      <c r="D1161" s="211" t="s">
        <v>12</v>
      </c>
      <c r="E1161" s="208">
        <v>42961</v>
      </c>
      <c r="F1161" s="221">
        <v>2896.2318</v>
      </c>
      <c r="G1161" s="210" t="s">
        <v>16</v>
      </c>
      <c r="H1161" s="211" t="s">
        <v>18</v>
      </c>
      <c r="I1161" s="210">
        <v>1</v>
      </c>
      <c r="J1161" s="210" t="s">
        <v>15</v>
      </c>
      <c r="K1161" s="210" t="s">
        <v>54</v>
      </c>
      <c r="L1161" s="211" t="s">
        <v>60</v>
      </c>
      <c r="M1161" s="211" t="s">
        <v>17</v>
      </c>
    </row>
    <row r="1162" spans="1:13" x14ac:dyDescent="0.2">
      <c r="A1162" s="211" t="s">
        <v>55</v>
      </c>
      <c r="B1162" s="211" t="s">
        <v>58</v>
      </c>
      <c r="C1162" s="211" t="s">
        <v>19</v>
      </c>
      <c r="D1162" s="211" t="s">
        <v>12</v>
      </c>
      <c r="E1162" s="208">
        <v>42960</v>
      </c>
      <c r="F1162" s="209">
        <v>7.6863486999999999</v>
      </c>
      <c r="G1162" s="210" t="s">
        <v>13</v>
      </c>
      <c r="H1162" s="211" t="s">
        <v>14</v>
      </c>
      <c r="I1162" s="210">
        <v>1</v>
      </c>
      <c r="J1162" s="210" t="s">
        <v>15</v>
      </c>
      <c r="K1162" s="210" t="s">
        <v>54</v>
      </c>
      <c r="L1162" s="211" t="s">
        <v>60</v>
      </c>
      <c r="M1162" s="211" t="s">
        <v>56</v>
      </c>
    </row>
    <row r="1163" spans="1:13" x14ac:dyDescent="0.2">
      <c r="A1163" s="211" t="s">
        <v>55</v>
      </c>
      <c r="B1163" s="211" t="s">
        <v>58</v>
      </c>
      <c r="C1163" s="211" t="s">
        <v>19</v>
      </c>
      <c r="D1163" s="211" t="s">
        <v>12</v>
      </c>
      <c r="E1163" s="208">
        <v>42960</v>
      </c>
      <c r="F1163" s="221">
        <v>2679.5534204</v>
      </c>
      <c r="G1163" s="210" t="s">
        <v>16</v>
      </c>
      <c r="H1163" s="211" t="s">
        <v>14</v>
      </c>
      <c r="I1163" s="210">
        <v>1</v>
      </c>
      <c r="J1163" s="210" t="s">
        <v>15</v>
      </c>
      <c r="K1163" s="210" t="s">
        <v>54</v>
      </c>
      <c r="L1163" s="211" t="s">
        <v>60</v>
      </c>
      <c r="M1163" s="211" t="s">
        <v>56</v>
      </c>
    </row>
    <row r="1164" spans="1:13" x14ac:dyDescent="0.2">
      <c r="A1164" s="211" t="s">
        <v>55</v>
      </c>
      <c r="B1164" s="211" t="s">
        <v>58</v>
      </c>
      <c r="C1164" s="211" t="s">
        <v>19</v>
      </c>
      <c r="D1164" s="211" t="s">
        <v>12</v>
      </c>
      <c r="E1164" s="208">
        <v>42960</v>
      </c>
      <c r="F1164" s="209">
        <v>6.7</v>
      </c>
      <c r="G1164" s="210" t="s">
        <v>13</v>
      </c>
      <c r="H1164" s="211" t="s">
        <v>18</v>
      </c>
      <c r="I1164" s="210">
        <v>1</v>
      </c>
      <c r="J1164" s="210" t="s">
        <v>15</v>
      </c>
      <c r="K1164" s="210" t="s">
        <v>54</v>
      </c>
      <c r="L1164" s="211" t="s">
        <v>60</v>
      </c>
      <c r="M1164" s="211" t="s">
        <v>17</v>
      </c>
    </row>
    <row r="1165" spans="1:13" x14ac:dyDescent="0.2">
      <c r="A1165" s="211" t="s">
        <v>55</v>
      </c>
      <c r="B1165" s="211" t="s">
        <v>58</v>
      </c>
      <c r="C1165" s="211" t="s">
        <v>19</v>
      </c>
      <c r="D1165" s="211" t="s">
        <v>12</v>
      </c>
      <c r="E1165" s="208">
        <v>42960</v>
      </c>
      <c r="F1165" s="221">
        <v>2335.7004000000002</v>
      </c>
      <c r="G1165" s="210" t="s">
        <v>16</v>
      </c>
      <c r="H1165" s="211" t="s">
        <v>18</v>
      </c>
      <c r="I1165" s="210">
        <v>1</v>
      </c>
      <c r="J1165" s="210" t="s">
        <v>15</v>
      </c>
      <c r="K1165" s="210" t="s">
        <v>54</v>
      </c>
      <c r="L1165" s="211" t="s">
        <v>60</v>
      </c>
      <c r="M1165" s="211" t="s">
        <v>17</v>
      </c>
    </row>
    <row r="1166" spans="1:13" x14ac:dyDescent="0.2">
      <c r="A1166" s="211" t="s">
        <v>55</v>
      </c>
      <c r="B1166" s="211" t="s">
        <v>58</v>
      </c>
      <c r="C1166" s="211" t="s">
        <v>19</v>
      </c>
      <c r="D1166" s="211" t="s">
        <v>12</v>
      </c>
      <c r="E1166" s="208">
        <v>42959</v>
      </c>
      <c r="F1166" s="209">
        <v>7.7690891000000004</v>
      </c>
      <c r="G1166" s="210" t="s">
        <v>13</v>
      </c>
      <c r="H1166" s="211" t="s">
        <v>14</v>
      </c>
      <c r="I1166" s="210">
        <v>1</v>
      </c>
      <c r="J1166" s="210" t="s">
        <v>15</v>
      </c>
      <c r="K1166" s="210" t="s">
        <v>54</v>
      </c>
      <c r="L1166" s="211" t="s">
        <v>60</v>
      </c>
      <c r="M1166" s="211" t="s">
        <v>56</v>
      </c>
    </row>
    <row r="1167" spans="1:13" x14ac:dyDescent="0.2">
      <c r="A1167" s="211" t="s">
        <v>55</v>
      </c>
      <c r="B1167" s="211" t="s">
        <v>58</v>
      </c>
      <c r="C1167" s="211" t="s">
        <v>19</v>
      </c>
      <c r="D1167" s="211" t="s">
        <v>12</v>
      </c>
      <c r="E1167" s="208">
        <v>42959</v>
      </c>
      <c r="F1167" s="221">
        <v>2559.3710331000002</v>
      </c>
      <c r="G1167" s="210" t="s">
        <v>16</v>
      </c>
      <c r="H1167" s="211" t="s">
        <v>14</v>
      </c>
      <c r="I1167" s="210">
        <v>1</v>
      </c>
      <c r="J1167" s="210" t="s">
        <v>15</v>
      </c>
      <c r="K1167" s="210" t="s">
        <v>54</v>
      </c>
      <c r="L1167" s="211" t="s">
        <v>60</v>
      </c>
      <c r="M1167" s="211" t="s">
        <v>56</v>
      </c>
    </row>
    <row r="1168" spans="1:13" x14ac:dyDescent="0.2">
      <c r="A1168" s="211" t="s">
        <v>55</v>
      </c>
      <c r="B1168" s="211" t="s">
        <v>58</v>
      </c>
      <c r="C1168" s="211" t="s">
        <v>19</v>
      </c>
      <c r="D1168" s="211" t="s">
        <v>12</v>
      </c>
      <c r="E1168" s="208">
        <v>42959</v>
      </c>
      <c r="F1168" s="209">
        <v>7.7</v>
      </c>
      <c r="G1168" s="210" t="s">
        <v>13</v>
      </c>
      <c r="H1168" s="211" t="s">
        <v>18</v>
      </c>
      <c r="I1168" s="210">
        <v>1</v>
      </c>
      <c r="J1168" s="210" t="s">
        <v>15</v>
      </c>
      <c r="K1168" s="210" t="s">
        <v>54</v>
      </c>
      <c r="L1168" s="211" t="s">
        <v>60</v>
      </c>
      <c r="M1168" s="211" t="s">
        <v>17</v>
      </c>
    </row>
    <row r="1169" spans="1:13" x14ac:dyDescent="0.2">
      <c r="A1169" s="211" t="s">
        <v>55</v>
      </c>
      <c r="B1169" s="211" t="s">
        <v>58</v>
      </c>
      <c r="C1169" s="211" t="s">
        <v>19</v>
      </c>
      <c r="D1169" s="211" t="s">
        <v>12</v>
      </c>
      <c r="E1169" s="208">
        <v>42959</v>
      </c>
      <c r="F1169" s="221">
        <v>2536.6109999999999</v>
      </c>
      <c r="G1169" s="210" t="s">
        <v>16</v>
      </c>
      <c r="H1169" s="211" t="s">
        <v>18</v>
      </c>
      <c r="I1169" s="210">
        <v>1</v>
      </c>
      <c r="J1169" s="210" t="s">
        <v>15</v>
      </c>
      <c r="K1169" s="210" t="s">
        <v>54</v>
      </c>
      <c r="L1169" s="211" t="s">
        <v>60</v>
      </c>
      <c r="M1169" s="211" t="s">
        <v>17</v>
      </c>
    </row>
    <row r="1170" spans="1:13" x14ac:dyDescent="0.2">
      <c r="A1170" s="211" t="s">
        <v>55</v>
      </c>
      <c r="B1170" s="211" t="s">
        <v>58</v>
      </c>
      <c r="C1170" s="211" t="s">
        <v>19</v>
      </c>
      <c r="D1170" s="211" t="s">
        <v>12</v>
      </c>
      <c r="E1170" s="208">
        <v>42958</v>
      </c>
      <c r="F1170" s="209">
        <v>8.7099314000000003</v>
      </c>
      <c r="G1170" s="210" t="s">
        <v>13</v>
      </c>
      <c r="H1170" s="211" t="s">
        <v>14</v>
      </c>
      <c r="I1170" s="210">
        <v>1</v>
      </c>
      <c r="J1170" s="210" t="s">
        <v>15</v>
      </c>
      <c r="K1170" s="210" t="s">
        <v>54</v>
      </c>
      <c r="L1170" s="211" t="s">
        <v>60</v>
      </c>
      <c r="M1170" s="211" t="s">
        <v>56</v>
      </c>
    </row>
    <row r="1171" spans="1:13" x14ac:dyDescent="0.2">
      <c r="A1171" s="211" t="s">
        <v>55</v>
      </c>
      <c r="B1171" s="211" t="s">
        <v>58</v>
      </c>
      <c r="C1171" s="211" t="s">
        <v>19</v>
      </c>
      <c r="D1171" s="211" t="s">
        <v>12</v>
      </c>
      <c r="E1171" s="208">
        <v>42958</v>
      </c>
      <c r="F1171" s="221">
        <v>3036.3866133000001</v>
      </c>
      <c r="G1171" s="210" t="s">
        <v>16</v>
      </c>
      <c r="H1171" s="211" t="s">
        <v>14</v>
      </c>
      <c r="I1171" s="210">
        <v>1</v>
      </c>
      <c r="J1171" s="210" t="s">
        <v>15</v>
      </c>
      <c r="K1171" s="210" t="s">
        <v>54</v>
      </c>
      <c r="L1171" s="211" t="s">
        <v>60</v>
      </c>
      <c r="M1171" s="211" t="s">
        <v>56</v>
      </c>
    </row>
    <row r="1172" spans="1:13" x14ac:dyDescent="0.2">
      <c r="A1172" s="211" t="s">
        <v>55</v>
      </c>
      <c r="B1172" s="211" t="s">
        <v>58</v>
      </c>
      <c r="C1172" s="211" t="s">
        <v>19</v>
      </c>
      <c r="D1172" s="211" t="s">
        <v>12</v>
      </c>
      <c r="E1172" s="208">
        <v>42958</v>
      </c>
      <c r="F1172" s="209">
        <v>8.5</v>
      </c>
      <c r="G1172" s="210" t="s">
        <v>13</v>
      </c>
      <c r="H1172" s="211" t="s">
        <v>18</v>
      </c>
      <c r="I1172" s="210">
        <v>1</v>
      </c>
      <c r="J1172" s="210" t="s">
        <v>15</v>
      </c>
      <c r="K1172" s="210" t="s">
        <v>54</v>
      </c>
      <c r="L1172" s="211" t="s">
        <v>60</v>
      </c>
      <c r="M1172" s="211" t="s">
        <v>17</v>
      </c>
    </row>
    <row r="1173" spans="1:13" x14ac:dyDescent="0.2">
      <c r="A1173" s="211" t="s">
        <v>55</v>
      </c>
      <c r="B1173" s="211" t="s">
        <v>58</v>
      </c>
      <c r="C1173" s="211" t="s">
        <v>19</v>
      </c>
      <c r="D1173" s="211" t="s">
        <v>12</v>
      </c>
      <c r="E1173" s="208">
        <v>42958</v>
      </c>
      <c r="F1173" s="221">
        <v>2963.2020000000002</v>
      </c>
      <c r="G1173" s="210" t="s">
        <v>16</v>
      </c>
      <c r="H1173" s="211" t="s">
        <v>18</v>
      </c>
      <c r="I1173" s="210">
        <v>1</v>
      </c>
      <c r="J1173" s="210" t="s">
        <v>15</v>
      </c>
      <c r="K1173" s="210" t="s">
        <v>54</v>
      </c>
      <c r="L1173" s="211" t="s">
        <v>60</v>
      </c>
      <c r="M1173" s="211" t="s">
        <v>17</v>
      </c>
    </row>
    <row r="1174" spans="1:13" x14ac:dyDescent="0.2">
      <c r="A1174" s="211" t="s">
        <v>55</v>
      </c>
      <c r="B1174" s="211" t="s">
        <v>58</v>
      </c>
      <c r="C1174" s="211" t="s">
        <v>19</v>
      </c>
      <c r="D1174" s="211" t="s">
        <v>12</v>
      </c>
      <c r="E1174" s="208">
        <v>42957</v>
      </c>
      <c r="F1174" s="209">
        <v>8.9745606000000002</v>
      </c>
      <c r="G1174" s="210" t="s">
        <v>13</v>
      </c>
      <c r="H1174" s="211" t="s">
        <v>14</v>
      </c>
      <c r="I1174" s="210">
        <v>1</v>
      </c>
      <c r="J1174" s="210" t="s">
        <v>15</v>
      </c>
      <c r="K1174" s="210" t="s">
        <v>54</v>
      </c>
      <c r="L1174" s="211" t="s">
        <v>60</v>
      </c>
      <c r="M1174" s="211" t="s">
        <v>56</v>
      </c>
    </row>
    <row r="1175" spans="1:13" x14ac:dyDescent="0.2">
      <c r="A1175" s="211" t="s">
        <v>55</v>
      </c>
      <c r="B1175" s="211" t="s">
        <v>58</v>
      </c>
      <c r="C1175" s="211" t="s">
        <v>19</v>
      </c>
      <c r="D1175" s="211" t="s">
        <v>12</v>
      </c>
      <c r="E1175" s="208">
        <v>42957</v>
      </c>
      <c r="F1175" s="221">
        <v>3210.9721555000001</v>
      </c>
      <c r="G1175" s="210" t="s">
        <v>16</v>
      </c>
      <c r="H1175" s="211" t="s">
        <v>14</v>
      </c>
      <c r="I1175" s="210">
        <v>1</v>
      </c>
      <c r="J1175" s="210" t="s">
        <v>15</v>
      </c>
      <c r="K1175" s="210" t="s">
        <v>54</v>
      </c>
      <c r="L1175" s="211" t="s">
        <v>60</v>
      </c>
      <c r="M1175" s="211" t="s">
        <v>56</v>
      </c>
    </row>
    <row r="1176" spans="1:13" x14ac:dyDescent="0.2">
      <c r="A1176" s="211" t="s">
        <v>55</v>
      </c>
      <c r="B1176" s="211" t="s">
        <v>58</v>
      </c>
      <c r="C1176" s="211" t="s">
        <v>19</v>
      </c>
      <c r="D1176" s="211" t="s">
        <v>12</v>
      </c>
      <c r="E1176" s="208">
        <v>42957</v>
      </c>
      <c r="F1176" s="209">
        <v>8.1999999999999993</v>
      </c>
      <c r="G1176" s="210" t="s">
        <v>13</v>
      </c>
      <c r="H1176" s="211" t="s">
        <v>18</v>
      </c>
      <c r="I1176" s="210">
        <v>1</v>
      </c>
      <c r="J1176" s="210" t="s">
        <v>15</v>
      </c>
      <c r="K1176" s="210" t="s">
        <v>54</v>
      </c>
      <c r="L1176" s="211" t="s">
        <v>60</v>
      </c>
      <c r="M1176" s="211" t="s">
        <v>17</v>
      </c>
    </row>
    <row r="1177" spans="1:13" x14ac:dyDescent="0.2">
      <c r="A1177" s="211" t="s">
        <v>55</v>
      </c>
      <c r="B1177" s="211" t="s">
        <v>58</v>
      </c>
      <c r="C1177" s="211" t="s">
        <v>19</v>
      </c>
      <c r="D1177" s="211" t="s">
        <v>12</v>
      </c>
      <c r="E1177" s="208">
        <v>42957</v>
      </c>
      <c r="F1177" s="221">
        <v>2933.8452000000002</v>
      </c>
      <c r="G1177" s="210" t="s">
        <v>16</v>
      </c>
      <c r="H1177" s="211" t="s">
        <v>18</v>
      </c>
      <c r="I1177" s="210">
        <v>1</v>
      </c>
      <c r="J1177" s="210" t="s">
        <v>15</v>
      </c>
      <c r="K1177" s="210" t="s">
        <v>54</v>
      </c>
      <c r="L1177" s="211" t="s">
        <v>60</v>
      </c>
      <c r="M1177" s="211" t="s">
        <v>17</v>
      </c>
    </row>
    <row r="1178" spans="1:13" x14ac:dyDescent="0.2">
      <c r="A1178" s="211" t="s">
        <v>55</v>
      </c>
      <c r="B1178" s="211" t="s">
        <v>58</v>
      </c>
      <c r="C1178" s="211" t="s">
        <v>19</v>
      </c>
      <c r="D1178" s="211" t="s">
        <v>12</v>
      </c>
      <c r="E1178" s="208">
        <v>42956</v>
      </c>
      <c r="F1178" s="209">
        <v>8.8798782999999997</v>
      </c>
      <c r="G1178" s="210" t="s">
        <v>13</v>
      </c>
      <c r="H1178" s="211" t="s">
        <v>14</v>
      </c>
      <c r="I1178" s="210">
        <v>1</v>
      </c>
      <c r="J1178" s="210" t="s">
        <v>15</v>
      </c>
      <c r="K1178" s="210" t="s">
        <v>54</v>
      </c>
      <c r="L1178" s="211" t="s">
        <v>60</v>
      </c>
      <c r="M1178" s="211" t="s">
        <v>56</v>
      </c>
    </row>
    <row r="1179" spans="1:13" x14ac:dyDescent="0.2">
      <c r="A1179" s="211" t="s">
        <v>55</v>
      </c>
      <c r="B1179" s="211" t="s">
        <v>58</v>
      </c>
      <c r="C1179" s="211" t="s">
        <v>19</v>
      </c>
      <c r="D1179" s="211" t="s">
        <v>12</v>
      </c>
      <c r="E1179" s="208">
        <v>42956</v>
      </c>
      <c r="F1179" s="221">
        <v>3236.3427195999998</v>
      </c>
      <c r="G1179" s="210" t="s">
        <v>16</v>
      </c>
      <c r="H1179" s="211" t="s">
        <v>14</v>
      </c>
      <c r="I1179" s="210">
        <v>1</v>
      </c>
      <c r="J1179" s="210" t="s">
        <v>15</v>
      </c>
      <c r="K1179" s="210" t="s">
        <v>54</v>
      </c>
      <c r="L1179" s="211" t="s">
        <v>60</v>
      </c>
      <c r="M1179" s="211" t="s">
        <v>56</v>
      </c>
    </row>
    <row r="1180" spans="1:13" x14ac:dyDescent="0.2">
      <c r="A1180" s="211" t="s">
        <v>55</v>
      </c>
      <c r="B1180" s="211" t="s">
        <v>58</v>
      </c>
      <c r="C1180" s="211" t="s">
        <v>19</v>
      </c>
      <c r="D1180" s="211" t="s">
        <v>12</v>
      </c>
      <c r="E1180" s="208">
        <v>42956</v>
      </c>
      <c r="F1180" s="209">
        <v>7.3</v>
      </c>
      <c r="G1180" s="210" t="s">
        <v>13</v>
      </c>
      <c r="H1180" s="211" t="s">
        <v>18</v>
      </c>
      <c r="I1180" s="210">
        <v>1</v>
      </c>
      <c r="J1180" s="210" t="s">
        <v>15</v>
      </c>
      <c r="K1180" s="210" t="s">
        <v>54</v>
      </c>
      <c r="L1180" s="211" t="s">
        <v>60</v>
      </c>
      <c r="M1180" s="211" t="s">
        <v>17</v>
      </c>
    </row>
    <row r="1181" spans="1:13" x14ac:dyDescent="0.2">
      <c r="A1181" s="211" t="s">
        <v>55</v>
      </c>
      <c r="B1181" s="211" t="s">
        <v>58</v>
      </c>
      <c r="C1181" s="211" t="s">
        <v>19</v>
      </c>
      <c r="D1181" s="211" t="s">
        <v>12</v>
      </c>
      <c r="E1181" s="208">
        <v>42956</v>
      </c>
      <c r="F1181" s="221">
        <v>2660.5434</v>
      </c>
      <c r="G1181" s="210" t="s">
        <v>16</v>
      </c>
      <c r="H1181" s="211" t="s">
        <v>18</v>
      </c>
      <c r="I1181" s="210">
        <v>1</v>
      </c>
      <c r="J1181" s="210" t="s">
        <v>15</v>
      </c>
      <c r="K1181" s="210" t="s">
        <v>54</v>
      </c>
      <c r="L1181" s="211" t="s">
        <v>60</v>
      </c>
      <c r="M1181" s="211" t="s">
        <v>17</v>
      </c>
    </row>
    <row r="1182" spans="1:13" x14ac:dyDescent="0.2">
      <c r="A1182" s="211" t="s">
        <v>55</v>
      </c>
      <c r="B1182" s="211" t="s">
        <v>58</v>
      </c>
      <c r="C1182" s="211" t="s">
        <v>19</v>
      </c>
      <c r="D1182" s="211" t="s">
        <v>12</v>
      </c>
      <c r="E1182" s="208">
        <v>42955</v>
      </c>
      <c r="F1182" s="209">
        <v>7.4058960000000003</v>
      </c>
      <c r="G1182" s="210" t="s">
        <v>13</v>
      </c>
      <c r="H1182" s="211" t="s">
        <v>14</v>
      </c>
      <c r="I1182" s="210">
        <v>1</v>
      </c>
      <c r="J1182" s="210" t="s">
        <v>15</v>
      </c>
      <c r="K1182" s="210" t="s">
        <v>54</v>
      </c>
      <c r="L1182" s="211" t="s">
        <v>60</v>
      </c>
      <c r="M1182" s="211" t="s">
        <v>56</v>
      </c>
    </row>
    <row r="1183" spans="1:13" x14ac:dyDescent="0.2">
      <c r="A1183" s="211" t="s">
        <v>55</v>
      </c>
      <c r="B1183" s="211" t="s">
        <v>58</v>
      </c>
      <c r="C1183" s="211" t="s">
        <v>19</v>
      </c>
      <c r="D1183" s="211" t="s">
        <v>12</v>
      </c>
      <c r="E1183" s="208">
        <v>42955</v>
      </c>
      <c r="F1183" s="221">
        <v>2612.6668215999998</v>
      </c>
      <c r="G1183" s="210" t="s">
        <v>16</v>
      </c>
      <c r="H1183" s="211" t="s">
        <v>14</v>
      </c>
      <c r="I1183" s="210">
        <v>1</v>
      </c>
      <c r="J1183" s="210" t="s">
        <v>15</v>
      </c>
      <c r="K1183" s="210" t="s">
        <v>54</v>
      </c>
      <c r="L1183" s="211" t="s">
        <v>60</v>
      </c>
      <c r="M1183" s="211" t="s">
        <v>56</v>
      </c>
    </row>
    <row r="1184" spans="1:13" x14ac:dyDescent="0.2">
      <c r="A1184" s="211" t="s">
        <v>55</v>
      </c>
      <c r="B1184" s="211" t="s">
        <v>58</v>
      </c>
      <c r="C1184" s="211" t="s">
        <v>19</v>
      </c>
      <c r="D1184" s="211" t="s">
        <v>12</v>
      </c>
      <c r="E1184" s="208">
        <v>42955</v>
      </c>
      <c r="F1184" s="209">
        <v>6.8</v>
      </c>
      <c r="G1184" s="210" t="s">
        <v>13</v>
      </c>
      <c r="H1184" s="211" t="s">
        <v>18</v>
      </c>
      <c r="I1184" s="210">
        <v>1</v>
      </c>
      <c r="J1184" s="210" t="s">
        <v>15</v>
      </c>
      <c r="K1184" s="210" t="s">
        <v>54</v>
      </c>
      <c r="L1184" s="211" t="s">
        <v>60</v>
      </c>
      <c r="M1184" s="211" t="s">
        <v>17</v>
      </c>
    </row>
    <row r="1185" spans="1:13" x14ac:dyDescent="0.2">
      <c r="A1185" s="211" t="s">
        <v>55</v>
      </c>
      <c r="B1185" s="211" t="s">
        <v>58</v>
      </c>
      <c r="C1185" s="211" t="s">
        <v>19</v>
      </c>
      <c r="D1185" s="211" t="s">
        <v>12</v>
      </c>
      <c r="E1185" s="208">
        <v>42955</v>
      </c>
      <c r="F1185" s="221">
        <v>2398.9176000000002</v>
      </c>
      <c r="G1185" s="210" t="s">
        <v>16</v>
      </c>
      <c r="H1185" s="211" t="s">
        <v>18</v>
      </c>
      <c r="I1185" s="210">
        <v>1</v>
      </c>
      <c r="J1185" s="210" t="s">
        <v>15</v>
      </c>
      <c r="K1185" s="210" t="s">
        <v>54</v>
      </c>
      <c r="L1185" s="211" t="s">
        <v>60</v>
      </c>
      <c r="M1185" s="211" t="s">
        <v>17</v>
      </c>
    </row>
    <row r="1186" spans="1:13" x14ac:dyDescent="0.2">
      <c r="A1186" s="211" t="s">
        <v>55</v>
      </c>
      <c r="B1186" s="211" t="s">
        <v>58</v>
      </c>
      <c r="C1186" s="211" t="s">
        <v>19</v>
      </c>
      <c r="D1186" s="211" t="s">
        <v>12</v>
      </c>
      <c r="E1186" s="208">
        <v>42954</v>
      </c>
      <c r="F1186" s="209">
        <v>8.1788757000000007</v>
      </c>
      <c r="G1186" s="210" t="s">
        <v>13</v>
      </c>
      <c r="H1186" s="211" t="s">
        <v>14</v>
      </c>
      <c r="I1186" s="210">
        <v>1</v>
      </c>
      <c r="J1186" s="210" t="s">
        <v>15</v>
      </c>
      <c r="K1186" s="210" t="s">
        <v>54</v>
      </c>
      <c r="L1186" s="211" t="s">
        <v>60</v>
      </c>
      <c r="M1186" s="211" t="s">
        <v>56</v>
      </c>
    </row>
    <row r="1187" spans="1:13" x14ac:dyDescent="0.2">
      <c r="A1187" s="211" t="s">
        <v>55</v>
      </c>
      <c r="B1187" s="211" t="s">
        <v>58</v>
      </c>
      <c r="C1187" s="211" t="s">
        <v>19</v>
      </c>
      <c r="D1187" s="211" t="s">
        <v>12</v>
      </c>
      <c r="E1187" s="208">
        <v>42954</v>
      </c>
      <c r="F1187" s="221">
        <v>2899.0025246</v>
      </c>
      <c r="G1187" s="210" t="s">
        <v>16</v>
      </c>
      <c r="H1187" s="211" t="s">
        <v>14</v>
      </c>
      <c r="I1187" s="210">
        <v>1</v>
      </c>
      <c r="J1187" s="210" t="s">
        <v>15</v>
      </c>
      <c r="K1187" s="210" t="s">
        <v>54</v>
      </c>
      <c r="L1187" s="211" t="s">
        <v>60</v>
      </c>
      <c r="M1187" s="211" t="s">
        <v>56</v>
      </c>
    </row>
    <row r="1188" spans="1:13" x14ac:dyDescent="0.2">
      <c r="A1188" s="211" t="s">
        <v>55</v>
      </c>
      <c r="B1188" s="211" t="s">
        <v>58</v>
      </c>
      <c r="C1188" s="211" t="s">
        <v>19</v>
      </c>
      <c r="D1188" s="211" t="s">
        <v>12</v>
      </c>
      <c r="E1188" s="208">
        <v>42954</v>
      </c>
      <c r="F1188" s="209">
        <v>7.6</v>
      </c>
      <c r="G1188" s="210" t="s">
        <v>13</v>
      </c>
      <c r="H1188" s="211" t="s">
        <v>18</v>
      </c>
      <c r="I1188" s="210">
        <v>1</v>
      </c>
      <c r="J1188" s="210" t="s">
        <v>15</v>
      </c>
      <c r="K1188" s="210" t="s">
        <v>54</v>
      </c>
      <c r="L1188" s="211" t="s">
        <v>60</v>
      </c>
      <c r="M1188" s="211" t="s">
        <v>17</v>
      </c>
    </row>
    <row r="1189" spans="1:13" x14ac:dyDescent="0.2">
      <c r="A1189" s="211" t="s">
        <v>55</v>
      </c>
      <c r="B1189" s="211" t="s">
        <v>58</v>
      </c>
      <c r="C1189" s="211" t="s">
        <v>19</v>
      </c>
      <c r="D1189" s="211" t="s">
        <v>12</v>
      </c>
      <c r="E1189" s="208">
        <v>42954</v>
      </c>
      <c r="F1189" s="221">
        <v>2693.82</v>
      </c>
      <c r="G1189" s="210" t="s">
        <v>16</v>
      </c>
      <c r="H1189" s="211" t="s">
        <v>18</v>
      </c>
      <c r="I1189" s="210">
        <v>1</v>
      </c>
      <c r="J1189" s="210" t="s">
        <v>15</v>
      </c>
      <c r="K1189" s="210" t="s">
        <v>54</v>
      </c>
      <c r="L1189" s="211" t="s">
        <v>60</v>
      </c>
      <c r="M1189" s="211" t="s">
        <v>17</v>
      </c>
    </row>
    <row r="1190" spans="1:13" x14ac:dyDescent="0.2">
      <c r="A1190" s="211" t="s">
        <v>55</v>
      </c>
      <c r="B1190" s="211" t="s">
        <v>58</v>
      </c>
      <c r="C1190" s="211" t="s">
        <v>19</v>
      </c>
      <c r="D1190" s="211" t="s">
        <v>12</v>
      </c>
      <c r="E1190" s="208">
        <v>42953</v>
      </c>
      <c r="F1190" s="209">
        <v>7.7521107000000002</v>
      </c>
      <c r="G1190" s="210" t="s">
        <v>13</v>
      </c>
      <c r="H1190" s="211" t="s">
        <v>14</v>
      </c>
      <c r="I1190" s="210">
        <v>1</v>
      </c>
      <c r="J1190" s="210" t="s">
        <v>15</v>
      </c>
      <c r="K1190" s="210" t="s">
        <v>54</v>
      </c>
      <c r="L1190" s="211" t="s">
        <v>60</v>
      </c>
      <c r="M1190" s="211" t="s">
        <v>56</v>
      </c>
    </row>
    <row r="1191" spans="1:13" x14ac:dyDescent="0.2">
      <c r="A1191" s="211" t="s">
        <v>55</v>
      </c>
      <c r="B1191" s="211" t="s">
        <v>58</v>
      </c>
      <c r="C1191" s="211" t="s">
        <v>19</v>
      </c>
      <c r="D1191" s="211" t="s">
        <v>12</v>
      </c>
      <c r="E1191" s="208">
        <v>42953</v>
      </c>
      <c r="F1191" s="221">
        <v>2838.2493101999999</v>
      </c>
      <c r="G1191" s="210" t="s">
        <v>16</v>
      </c>
      <c r="H1191" s="211" t="s">
        <v>14</v>
      </c>
      <c r="I1191" s="210">
        <v>1</v>
      </c>
      <c r="J1191" s="210" t="s">
        <v>15</v>
      </c>
      <c r="K1191" s="210" t="s">
        <v>54</v>
      </c>
      <c r="L1191" s="211" t="s">
        <v>60</v>
      </c>
      <c r="M1191" s="211" t="s">
        <v>56</v>
      </c>
    </row>
    <row r="1192" spans="1:13" x14ac:dyDescent="0.2">
      <c r="A1192" s="211" t="s">
        <v>55</v>
      </c>
      <c r="B1192" s="211" t="s">
        <v>58</v>
      </c>
      <c r="C1192" s="211" t="s">
        <v>19</v>
      </c>
      <c r="D1192" s="211" t="s">
        <v>12</v>
      </c>
      <c r="E1192" s="208">
        <v>42953</v>
      </c>
      <c r="F1192" s="209">
        <v>8.5</v>
      </c>
      <c r="G1192" s="210" t="s">
        <v>13</v>
      </c>
      <c r="H1192" s="211" t="s">
        <v>18</v>
      </c>
      <c r="I1192" s="210">
        <v>1</v>
      </c>
      <c r="J1192" s="210" t="s">
        <v>15</v>
      </c>
      <c r="K1192" s="210" t="s">
        <v>54</v>
      </c>
      <c r="L1192" s="211" t="s">
        <v>60</v>
      </c>
      <c r="M1192" s="211" t="s">
        <v>17</v>
      </c>
    </row>
    <row r="1193" spans="1:13" x14ac:dyDescent="0.2">
      <c r="A1193" s="211" t="s">
        <v>55</v>
      </c>
      <c r="B1193" s="211" t="s">
        <v>58</v>
      </c>
      <c r="C1193" s="211" t="s">
        <v>19</v>
      </c>
      <c r="D1193" s="211" t="s">
        <v>12</v>
      </c>
      <c r="E1193" s="208">
        <v>42953</v>
      </c>
      <c r="F1193" s="221">
        <v>3112.0709999999999</v>
      </c>
      <c r="G1193" s="210" t="s">
        <v>16</v>
      </c>
      <c r="H1193" s="211" t="s">
        <v>18</v>
      </c>
      <c r="I1193" s="210">
        <v>1</v>
      </c>
      <c r="J1193" s="210" t="s">
        <v>15</v>
      </c>
      <c r="K1193" s="210" t="s">
        <v>54</v>
      </c>
      <c r="L1193" s="211" t="s">
        <v>60</v>
      </c>
      <c r="M1193" s="211" t="s">
        <v>17</v>
      </c>
    </row>
    <row r="1194" spans="1:13" x14ac:dyDescent="0.2">
      <c r="A1194" s="211" t="s">
        <v>55</v>
      </c>
      <c r="B1194" s="211" t="s">
        <v>58</v>
      </c>
      <c r="C1194" s="211" t="s">
        <v>19</v>
      </c>
      <c r="D1194" s="211" t="s">
        <v>12</v>
      </c>
      <c r="E1194" s="208">
        <v>42952</v>
      </c>
      <c r="F1194" s="209">
        <v>10.9622586</v>
      </c>
      <c r="G1194" s="210" t="s">
        <v>13</v>
      </c>
      <c r="H1194" s="211" t="s">
        <v>14</v>
      </c>
      <c r="I1194" s="210">
        <v>1</v>
      </c>
      <c r="J1194" s="210" t="s">
        <v>15</v>
      </c>
      <c r="K1194" s="210" t="s">
        <v>54</v>
      </c>
      <c r="L1194" s="211" t="s">
        <v>60</v>
      </c>
      <c r="M1194" s="211" t="s">
        <v>56</v>
      </c>
    </row>
    <row r="1195" spans="1:13" x14ac:dyDescent="0.2">
      <c r="A1195" s="211" t="s">
        <v>55</v>
      </c>
      <c r="B1195" s="211" t="s">
        <v>58</v>
      </c>
      <c r="C1195" s="211" t="s">
        <v>19</v>
      </c>
      <c r="D1195" s="211" t="s">
        <v>12</v>
      </c>
      <c r="E1195" s="208">
        <v>42952</v>
      </c>
      <c r="F1195" s="221">
        <v>4040.9954837</v>
      </c>
      <c r="G1195" s="210" t="s">
        <v>16</v>
      </c>
      <c r="H1195" s="211" t="s">
        <v>14</v>
      </c>
      <c r="I1195" s="210">
        <v>1</v>
      </c>
      <c r="J1195" s="210" t="s">
        <v>15</v>
      </c>
      <c r="K1195" s="210" t="s">
        <v>54</v>
      </c>
      <c r="L1195" s="211" t="s">
        <v>60</v>
      </c>
      <c r="M1195" s="211" t="s">
        <v>56</v>
      </c>
    </row>
    <row r="1196" spans="1:13" x14ac:dyDescent="0.2">
      <c r="A1196" s="211" t="s">
        <v>55</v>
      </c>
      <c r="B1196" s="211" t="s">
        <v>58</v>
      </c>
      <c r="C1196" s="211" t="s">
        <v>19</v>
      </c>
      <c r="D1196" s="211" t="s">
        <v>12</v>
      </c>
      <c r="E1196" s="208">
        <v>42952</v>
      </c>
      <c r="F1196" s="209">
        <v>7.7</v>
      </c>
      <c r="G1196" s="210" t="s">
        <v>13</v>
      </c>
      <c r="H1196" s="211" t="s">
        <v>18</v>
      </c>
      <c r="I1196" s="210">
        <v>1</v>
      </c>
      <c r="J1196" s="210" t="s">
        <v>15</v>
      </c>
      <c r="K1196" s="210" t="s">
        <v>54</v>
      </c>
      <c r="L1196" s="211" t="s">
        <v>60</v>
      </c>
      <c r="M1196" s="211" t="s">
        <v>17</v>
      </c>
    </row>
    <row r="1197" spans="1:13" x14ac:dyDescent="0.2">
      <c r="A1197" s="211" t="s">
        <v>55</v>
      </c>
      <c r="B1197" s="211" t="s">
        <v>58</v>
      </c>
      <c r="C1197" s="211" t="s">
        <v>19</v>
      </c>
      <c r="D1197" s="211" t="s">
        <v>12</v>
      </c>
      <c r="E1197" s="208">
        <v>42952</v>
      </c>
      <c r="F1197" s="221">
        <v>2838.4355999999998</v>
      </c>
      <c r="G1197" s="210" t="s">
        <v>16</v>
      </c>
      <c r="H1197" s="211" t="s">
        <v>18</v>
      </c>
      <c r="I1197" s="210">
        <v>1</v>
      </c>
      <c r="J1197" s="210" t="s">
        <v>15</v>
      </c>
      <c r="K1197" s="210" t="s">
        <v>54</v>
      </c>
      <c r="L1197" s="211" t="s">
        <v>60</v>
      </c>
      <c r="M1197" s="211" t="s">
        <v>17</v>
      </c>
    </row>
    <row r="1198" spans="1:13" x14ac:dyDescent="0.2">
      <c r="A1198" s="211" t="s">
        <v>55</v>
      </c>
      <c r="B1198" s="211" t="s">
        <v>58</v>
      </c>
      <c r="C1198" s="211" t="s">
        <v>19</v>
      </c>
      <c r="D1198" s="211" t="s">
        <v>12</v>
      </c>
      <c r="E1198" s="208">
        <v>42951</v>
      </c>
      <c r="F1198" s="209">
        <v>9.6597372999999997</v>
      </c>
      <c r="G1198" s="210" t="s">
        <v>13</v>
      </c>
      <c r="H1198" s="211" t="s">
        <v>14</v>
      </c>
      <c r="I1198" s="210">
        <v>1</v>
      </c>
      <c r="J1198" s="210" t="s">
        <v>15</v>
      </c>
      <c r="K1198" s="210" t="s">
        <v>54</v>
      </c>
      <c r="L1198" s="211" t="s">
        <v>60</v>
      </c>
      <c r="M1198" s="211" t="s">
        <v>56</v>
      </c>
    </row>
    <row r="1199" spans="1:13" x14ac:dyDescent="0.2">
      <c r="A1199" s="211" t="s">
        <v>55</v>
      </c>
      <c r="B1199" s="211" t="s">
        <v>58</v>
      </c>
      <c r="C1199" s="211" t="s">
        <v>19</v>
      </c>
      <c r="D1199" s="211" t="s">
        <v>12</v>
      </c>
      <c r="E1199" s="208">
        <v>42951</v>
      </c>
      <c r="F1199" s="221">
        <v>3560.8496415999998</v>
      </c>
      <c r="G1199" s="210" t="s">
        <v>16</v>
      </c>
      <c r="H1199" s="211" t="s">
        <v>14</v>
      </c>
      <c r="I1199" s="210">
        <v>1</v>
      </c>
      <c r="J1199" s="210" t="s">
        <v>15</v>
      </c>
      <c r="K1199" s="210" t="s">
        <v>54</v>
      </c>
      <c r="L1199" s="211" t="s">
        <v>60</v>
      </c>
      <c r="M1199" s="211" t="s">
        <v>56</v>
      </c>
    </row>
    <row r="1200" spans="1:13" x14ac:dyDescent="0.2">
      <c r="A1200" s="211" t="s">
        <v>55</v>
      </c>
      <c r="B1200" s="211" t="s">
        <v>58</v>
      </c>
      <c r="C1200" s="211" t="s">
        <v>19</v>
      </c>
      <c r="D1200" s="211" t="s">
        <v>12</v>
      </c>
      <c r="E1200" s="208">
        <v>42951</v>
      </c>
      <c r="F1200" s="209">
        <v>6.5</v>
      </c>
      <c r="G1200" s="210" t="s">
        <v>13</v>
      </c>
      <c r="H1200" s="211" t="s">
        <v>18</v>
      </c>
      <c r="I1200" s="210">
        <v>1</v>
      </c>
      <c r="J1200" s="210" t="s">
        <v>15</v>
      </c>
      <c r="K1200" s="210" t="s">
        <v>54</v>
      </c>
      <c r="L1200" s="211" t="s">
        <v>60</v>
      </c>
      <c r="M1200" s="211" t="s">
        <v>17</v>
      </c>
    </row>
    <row r="1201" spans="1:13" x14ac:dyDescent="0.2">
      <c r="A1201" s="211" t="s">
        <v>55</v>
      </c>
      <c r="B1201" s="211" t="s">
        <v>58</v>
      </c>
      <c r="C1201" s="211" t="s">
        <v>19</v>
      </c>
      <c r="D1201" s="211" t="s">
        <v>12</v>
      </c>
      <c r="E1201" s="208">
        <v>42951</v>
      </c>
      <c r="F1201" s="221">
        <v>2396.0819999999999</v>
      </c>
      <c r="G1201" s="210" t="s">
        <v>16</v>
      </c>
      <c r="H1201" s="211" t="s">
        <v>18</v>
      </c>
      <c r="I1201" s="210">
        <v>1</v>
      </c>
      <c r="J1201" s="210" t="s">
        <v>15</v>
      </c>
      <c r="K1201" s="210" t="s">
        <v>54</v>
      </c>
      <c r="L1201" s="211" t="s">
        <v>60</v>
      </c>
      <c r="M1201" s="211" t="s">
        <v>17</v>
      </c>
    </row>
    <row r="1202" spans="1:13" x14ac:dyDescent="0.2">
      <c r="A1202" s="211" t="s">
        <v>55</v>
      </c>
      <c r="B1202" s="211" t="s">
        <v>58</v>
      </c>
      <c r="C1202" s="211" t="s">
        <v>19</v>
      </c>
      <c r="D1202" s="211" t="s">
        <v>12</v>
      </c>
      <c r="E1202" s="208">
        <v>42950</v>
      </c>
      <c r="F1202" s="209">
        <v>6.8259021999999998</v>
      </c>
      <c r="G1202" s="210" t="s">
        <v>13</v>
      </c>
      <c r="H1202" s="211" t="s">
        <v>14</v>
      </c>
      <c r="I1202" s="210">
        <v>1</v>
      </c>
      <c r="J1202" s="210" t="s">
        <v>15</v>
      </c>
      <c r="K1202" s="210" t="s">
        <v>54</v>
      </c>
      <c r="L1202" s="211" t="s">
        <v>60</v>
      </c>
      <c r="M1202" s="211" t="s">
        <v>56</v>
      </c>
    </row>
    <row r="1203" spans="1:13" x14ac:dyDescent="0.2">
      <c r="A1203" s="211" t="s">
        <v>55</v>
      </c>
      <c r="B1203" s="211" t="s">
        <v>58</v>
      </c>
      <c r="C1203" s="211" t="s">
        <v>19</v>
      </c>
      <c r="D1203" s="211" t="s">
        <v>12</v>
      </c>
      <c r="E1203" s="208">
        <v>42950</v>
      </c>
      <c r="F1203" s="221">
        <v>2761.0092054000002</v>
      </c>
      <c r="G1203" s="210" t="s">
        <v>16</v>
      </c>
      <c r="H1203" s="211" t="s">
        <v>14</v>
      </c>
      <c r="I1203" s="210">
        <v>1</v>
      </c>
      <c r="J1203" s="210" t="s">
        <v>15</v>
      </c>
      <c r="K1203" s="210" t="s">
        <v>54</v>
      </c>
      <c r="L1203" s="211" t="s">
        <v>60</v>
      </c>
      <c r="M1203" s="211" t="s">
        <v>56</v>
      </c>
    </row>
    <row r="1204" spans="1:13" x14ac:dyDescent="0.2">
      <c r="A1204" s="211" t="s">
        <v>55</v>
      </c>
      <c r="B1204" s="211" t="s">
        <v>58</v>
      </c>
      <c r="C1204" s="211" t="s">
        <v>19</v>
      </c>
      <c r="D1204" s="211" t="s">
        <v>12</v>
      </c>
      <c r="E1204" s="208">
        <v>42950</v>
      </c>
      <c r="F1204" s="209">
        <v>7.6</v>
      </c>
      <c r="G1204" s="210" t="s">
        <v>13</v>
      </c>
      <c r="H1204" s="211" t="s">
        <v>18</v>
      </c>
      <c r="I1204" s="210">
        <v>1</v>
      </c>
      <c r="J1204" s="210" t="s">
        <v>15</v>
      </c>
      <c r="K1204" s="210" t="s">
        <v>54</v>
      </c>
      <c r="L1204" s="211" t="s">
        <v>60</v>
      </c>
      <c r="M1204" s="211" t="s">
        <v>17</v>
      </c>
    </row>
    <row r="1205" spans="1:13" x14ac:dyDescent="0.2">
      <c r="A1205" s="211" t="s">
        <v>55</v>
      </c>
      <c r="B1205" s="211" t="s">
        <v>58</v>
      </c>
      <c r="C1205" s="211" t="s">
        <v>19</v>
      </c>
      <c r="D1205" s="211" t="s">
        <v>12</v>
      </c>
      <c r="E1205" s="208">
        <v>42950</v>
      </c>
      <c r="F1205" s="221">
        <v>3074.1239999999998</v>
      </c>
      <c r="G1205" s="210" t="s">
        <v>16</v>
      </c>
      <c r="H1205" s="211" t="s">
        <v>18</v>
      </c>
      <c r="I1205" s="210">
        <v>1</v>
      </c>
      <c r="J1205" s="210" t="s">
        <v>15</v>
      </c>
      <c r="K1205" s="210" t="s">
        <v>54</v>
      </c>
      <c r="L1205" s="211" t="s">
        <v>60</v>
      </c>
      <c r="M1205" s="211" t="s">
        <v>17</v>
      </c>
    </row>
    <row r="1206" spans="1:13" x14ac:dyDescent="0.2">
      <c r="A1206" s="211" t="s">
        <v>55</v>
      </c>
      <c r="B1206" s="211" t="s">
        <v>58</v>
      </c>
      <c r="C1206" s="211" t="s">
        <v>19</v>
      </c>
      <c r="D1206" s="211" t="s">
        <v>12</v>
      </c>
      <c r="E1206" s="208">
        <v>42949</v>
      </c>
      <c r="F1206" s="209">
        <v>7.3739980000000003</v>
      </c>
      <c r="G1206" s="210" t="s">
        <v>13</v>
      </c>
      <c r="H1206" s="211" t="s">
        <v>14</v>
      </c>
      <c r="I1206" s="210">
        <v>1</v>
      </c>
      <c r="J1206" s="210" t="s">
        <v>15</v>
      </c>
      <c r="K1206" s="210" t="s">
        <v>54</v>
      </c>
      <c r="L1206" s="211" t="s">
        <v>60</v>
      </c>
      <c r="M1206" s="211" t="s">
        <v>56</v>
      </c>
    </row>
    <row r="1207" spans="1:13" x14ac:dyDescent="0.2">
      <c r="A1207" s="211" t="s">
        <v>55</v>
      </c>
      <c r="B1207" s="211" t="s">
        <v>58</v>
      </c>
      <c r="C1207" s="211" t="s">
        <v>19</v>
      </c>
      <c r="D1207" s="211" t="s">
        <v>12</v>
      </c>
      <c r="E1207" s="208">
        <v>42949</v>
      </c>
      <c r="F1207" s="221">
        <v>2767.4614526999999</v>
      </c>
      <c r="G1207" s="210" t="s">
        <v>16</v>
      </c>
      <c r="H1207" s="211" t="s">
        <v>14</v>
      </c>
      <c r="I1207" s="210">
        <v>1</v>
      </c>
      <c r="J1207" s="210" t="s">
        <v>15</v>
      </c>
      <c r="K1207" s="210" t="s">
        <v>54</v>
      </c>
      <c r="L1207" s="211" t="s">
        <v>60</v>
      </c>
      <c r="M1207" s="211" t="s">
        <v>56</v>
      </c>
    </row>
    <row r="1208" spans="1:13" x14ac:dyDescent="0.2">
      <c r="A1208" s="211" t="s">
        <v>55</v>
      </c>
      <c r="B1208" s="211" t="s">
        <v>58</v>
      </c>
      <c r="C1208" s="211" t="s">
        <v>19</v>
      </c>
      <c r="D1208" s="211" t="s">
        <v>12</v>
      </c>
      <c r="E1208" s="208">
        <v>42949</v>
      </c>
      <c r="F1208" s="209">
        <v>6.3</v>
      </c>
      <c r="G1208" s="210" t="s">
        <v>13</v>
      </c>
      <c r="H1208" s="211" t="s">
        <v>18</v>
      </c>
      <c r="I1208" s="210">
        <v>1</v>
      </c>
      <c r="J1208" s="210" t="s">
        <v>15</v>
      </c>
      <c r="K1208" s="210" t="s">
        <v>54</v>
      </c>
      <c r="L1208" s="211" t="s">
        <v>60</v>
      </c>
      <c r="M1208" s="211" t="s">
        <v>17</v>
      </c>
    </row>
    <row r="1209" spans="1:13" x14ac:dyDescent="0.2">
      <c r="A1209" s="211" t="s">
        <v>55</v>
      </c>
      <c r="B1209" s="211" t="s">
        <v>58</v>
      </c>
      <c r="C1209" s="211" t="s">
        <v>19</v>
      </c>
      <c r="D1209" s="211" t="s">
        <v>12</v>
      </c>
      <c r="E1209" s="208">
        <v>42949</v>
      </c>
      <c r="F1209" s="221">
        <v>2364.39</v>
      </c>
      <c r="G1209" s="210" t="s">
        <v>16</v>
      </c>
      <c r="H1209" s="211" t="s">
        <v>18</v>
      </c>
      <c r="I1209" s="210">
        <v>1</v>
      </c>
      <c r="J1209" s="210" t="s">
        <v>15</v>
      </c>
      <c r="K1209" s="210" t="s">
        <v>54</v>
      </c>
      <c r="L1209" s="211" t="s">
        <v>60</v>
      </c>
      <c r="M1209" s="211" t="s">
        <v>17</v>
      </c>
    </row>
    <row r="1210" spans="1:13" x14ac:dyDescent="0.2">
      <c r="A1210" s="211" t="s">
        <v>55</v>
      </c>
      <c r="B1210" s="211" t="s">
        <v>58</v>
      </c>
      <c r="C1210" s="211" t="s">
        <v>19</v>
      </c>
      <c r="D1210" s="211" t="s">
        <v>12</v>
      </c>
      <c r="E1210" s="208">
        <v>42948</v>
      </c>
      <c r="F1210" s="209">
        <v>16.767143300000001</v>
      </c>
      <c r="G1210" s="210" t="s">
        <v>13</v>
      </c>
      <c r="H1210" s="211" t="s">
        <v>14</v>
      </c>
      <c r="I1210" s="210">
        <v>1</v>
      </c>
      <c r="J1210" s="210" t="s">
        <v>15</v>
      </c>
      <c r="K1210" s="210" t="s">
        <v>54</v>
      </c>
      <c r="L1210" s="211" t="s">
        <v>60</v>
      </c>
      <c r="M1210" s="211" t="s">
        <v>56</v>
      </c>
    </row>
    <row r="1211" spans="1:13" x14ac:dyDescent="0.2">
      <c r="A1211" s="211" t="s">
        <v>55</v>
      </c>
      <c r="B1211" s="211" t="s">
        <v>58</v>
      </c>
      <c r="C1211" s="211" t="s">
        <v>19</v>
      </c>
      <c r="D1211" s="211" t="s">
        <v>12</v>
      </c>
      <c r="E1211" s="208">
        <v>42948</v>
      </c>
      <c r="F1211" s="221">
        <v>6208.8061092999997</v>
      </c>
      <c r="G1211" s="210" t="s">
        <v>16</v>
      </c>
      <c r="H1211" s="211" t="s">
        <v>14</v>
      </c>
      <c r="I1211" s="210">
        <v>1</v>
      </c>
      <c r="J1211" s="210" t="s">
        <v>15</v>
      </c>
      <c r="K1211" s="210" t="s">
        <v>54</v>
      </c>
      <c r="L1211" s="211" t="s">
        <v>60</v>
      </c>
      <c r="M1211" s="211" t="s">
        <v>56</v>
      </c>
    </row>
    <row r="1212" spans="1:13" x14ac:dyDescent="0.2">
      <c r="A1212" s="211" t="s">
        <v>55</v>
      </c>
      <c r="B1212" s="211" t="s">
        <v>58</v>
      </c>
      <c r="C1212" s="211" t="s">
        <v>19</v>
      </c>
      <c r="D1212" s="211" t="s">
        <v>12</v>
      </c>
      <c r="E1212" s="208">
        <v>42948</v>
      </c>
      <c r="F1212" s="209">
        <v>3.7</v>
      </c>
      <c r="G1212" s="210" t="s">
        <v>13</v>
      </c>
      <c r="H1212" s="211" t="s">
        <v>18</v>
      </c>
      <c r="I1212" s="210">
        <v>1</v>
      </c>
      <c r="J1212" s="210" t="s">
        <v>15</v>
      </c>
      <c r="K1212" s="210" t="s">
        <v>54</v>
      </c>
      <c r="L1212" s="211" t="s">
        <v>60</v>
      </c>
      <c r="M1212" s="211" t="s">
        <v>17</v>
      </c>
    </row>
    <row r="1213" spans="1:13" x14ac:dyDescent="0.2">
      <c r="A1213" s="211" t="s">
        <v>55</v>
      </c>
      <c r="B1213" s="211" t="s">
        <v>58</v>
      </c>
      <c r="C1213" s="211" t="s">
        <v>19</v>
      </c>
      <c r="D1213" s="211" t="s">
        <v>12</v>
      </c>
      <c r="E1213" s="208">
        <v>42948</v>
      </c>
      <c r="F1213" s="221">
        <v>1370.0952</v>
      </c>
      <c r="G1213" s="210" t="s">
        <v>16</v>
      </c>
      <c r="H1213" s="211" t="s">
        <v>18</v>
      </c>
      <c r="I1213" s="210">
        <v>1</v>
      </c>
      <c r="J1213" s="210" t="s">
        <v>15</v>
      </c>
      <c r="K1213" s="210" t="s">
        <v>54</v>
      </c>
      <c r="L1213" s="211" t="s">
        <v>60</v>
      </c>
      <c r="M1213" s="211" t="s">
        <v>17</v>
      </c>
    </row>
    <row r="1214" spans="1:13" x14ac:dyDescent="0.2">
      <c r="A1214" s="211" t="s">
        <v>55</v>
      </c>
      <c r="B1214" s="211" t="s">
        <v>58</v>
      </c>
      <c r="C1214" s="211" t="s">
        <v>19</v>
      </c>
      <c r="D1214" s="211" t="s">
        <v>12</v>
      </c>
      <c r="E1214" s="208">
        <v>42947</v>
      </c>
      <c r="F1214" s="209">
        <v>9.3081312999999994</v>
      </c>
      <c r="G1214" s="210" t="s">
        <v>13</v>
      </c>
      <c r="H1214" s="211" t="s">
        <v>14</v>
      </c>
      <c r="I1214" s="210">
        <v>1</v>
      </c>
      <c r="J1214" s="210" t="s">
        <v>15</v>
      </c>
      <c r="K1214" s="210" t="s">
        <v>54</v>
      </c>
      <c r="L1214" s="211" t="s">
        <v>60</v>
      </c>
      <c r="M1214" s="211" t="s">
        <v>56</v>
      </c>
    </row>
    <row r="1215" spans="1:13" x14ac:dyDescent="0.2">
      <c r="A1215" s="211" t="s">
        <v>55</v>
      </c>
      <c r="B1215" s="211" t="s">
        <v>58</v>
      </c>
      <c r="C1215" s="211" t="s">
        <v>19</v>
      </c>
      <c r="D1215" s="211" t="s">
        <v>12</v>
      </c>
      <c r="E1215" s="208">
        <v>42947</v>
      </c>
      <c r="F1215" s="221">
        <v>3366.8050907000002</v>
      </c>
      <c r="G1215" s="210" t="s">
        <v>16</v>
      </c>
      <c r="H1215" s="211" t="s">
        <v>14</v>
      </c>
      <c r="I1215" s="210">
        <v>1</v>
      </c>
      <c r="J1215" s="210" t="s">
        <v>15</v>
      </c>
      <c r="K1215" s="210" t="s">
        <v>54</v>
      </c>
      <c r="L1215" s="211" t="s">
        <v>60</v>
      </c>
      <c r="M1215" s="211" t="s">
        <v>56</v>
      </c>
    </row>
    <row r="1216" spans="1:13" x14ac:dyDescent="0.2">
      <c r="A1216" s="211" t="s">
        <v>55</v>
      </c>
      <c r="B1216" s="211" t="s">
        <v>58</v>
      </c>
      <c r="C1216" s="211" t="s">
        <v>19</v>
      </c>
      <c r="D1216" s="211" t="s">
        <v>12</v>
      </c>
      <c r="E1216" s="208">
        <v>42947</v>
      </c>
      <c r="F1216" s="209">
        <v>7.63</v>
      </c>
      <c r="G1216" s="210" t="s">
        <v>13</v>
      </c>
      <c r="H1216" s="211" t="s">
        <v>18</v>
      </c>
      <c r="I1216" s="210">
        <v>1</v>
      </c>
      <c r="J1216" s="210" t="s">
        <v>15</v>
      </c>
      <c r="K1216" s="210" t="s">
        <v>54</v>
      </c>
      <c r="L1216" s="211" t="s">
        <v>60</v>
      </c>
      <c r="M1216" s="211" t="s">
        <v>17</v>
      </c>
    </row>
    <row r="1217" spans="1:13" x14ac:dyDescent="0.2">
      <c r="A1217" s="211" t="s">
        <v>55</v>
      </c>
      <c r="B1217" s="211" t="s">
        <v>58</v>
      </c>
      <c r="C1217" s="211" t="s">
        <v>19</v>
      </c>
      <c r="D1217" s="211" t="s">
        <v>12</v>
      </c>
      <c r="E1217" s="208">
        <v>42947</v>
      </c>
      <c r="F1217" s="221">
        <v>2812.6316400000001</v>
      </c>
      <c r="G1217" s="210" t="s">
        <v>16</v>
      </c>
      <c r="H1217" s="211" t="s">
        <v>18</v>
      </c>
      <c r="I1217" s="210">
        <v>1</v>
      </c>
      <c r="J1217" s="210" t="s">
        <v>15</v>
      </c>
      <c r="K1217" s="210" t="s">
        <v>54</v>
      </c>
      <c r="L1217" s="211" t="s">
        <v>60</v>
      </c>
      <c r="M1217" s="211" t="s">
        <v>17</v>
      </c>
    </row>
    <row r="1218" spans="1:13" x14ac:dyDescent="0.2">
      <c r="A1218" s="211" t="s">
        <v>55</v>
      </c>
      <c r="B1218" s="211" t="s">
        <v>58</v>
      </c>
      <c r="C1218" s="211" t="s">
        <v>19</v>
      </c>
      <c r="D1218" s="211" t="s">
        <v>12</v>
      </c>
      <c r="E1218" s="208">
        <v>42946</v>
      </c>
      <c r="F1218" s="209">
        <v>12.4290509</v>
      </c>
      <c r="G1218" s="210" t="s">
        <v>13</v>
      </c>
      <c r="H1218" s="211" t="s">
        <v>14</v>
      </c>
      <c r="I1218" s="210">
        <v>1</v>
      </c>
      <c r="J1218" s="210" t="s">
        <v>15</v>
      </c>
      <c r="K1218" s="210" t="s">
        <v>54</v>
      </c>
      <c r="L1218" s="211" t="s">
        <v>60</v>
      </c>
      <c r="M1218" s="211" t="s">
        <v>56</v>
      </c>
    </row>
    <row r="1219" spans="1:13" x14ac:dyDescent="0.2">
      <c r="A1219" s="211" t="s">
        <v>55</v>
      </c>
      <c r="B1219" s="211" t="s">
        <v>58</v>
      </c>
      <c r="C1219" s="211" t="s">
        <v>19</v>
      </c>
      <c r="D1219" s="211" t="s">
        <v>12</v>
      </c>
      <c r="E1219" s="208">
        <v>42946</v>
      </c>
      <c r="F1219" s="221">
        <v>4387.8551942000004</v>
      </c>
      <c r="G1219" s="210" t="s">
        <v>16</v>
      </c>
      <c r="H1219" s="211" t="s">
        <v>14</v>
      </c>
      <c r="I1219" s="210">
        <v>1</v>
      </c>
      <c r="J1219" s="210" t="s">
        <v>15</v>
      </c>
      <c r="K1219" s="210" t="s">
        <v>54</v>
      </c>
      <c r="L1219" s="211" t="s">
        <v>60</v>
      </c>
      <c r="M1219" s="211" t="s">
        <v>56</v>
      </c>
    </row>
    <row r="1220" spans="1:13" x14ac:dyDescent="0.2">
      <c r="A1220" s="211" t="s">
        <v>55</v>
      </c>
      <c r="B1220" s="211" t="s">
        <v>58</v>
      </c>
      <c r="C1220" s="211" t="s">
        <v>19</v>
      </c>
      <c r="D1220" s="211" t="s">
        <v>12</v>
      </c>
      <c r="E1220" s="208">
        <v>42946</v>
      </c>
      <c r="F1220" s="209">
        <v>8.3699999999999992</v>
      </c>
      <c r="G1220" s="210" t="s">
        <v>13</v>
      </c>
      <c r="H1220" s="211" t="s">
        <v>18</v>
      </c>
      <c r="I1220" s="210">
        <v>1</v>
      </c>
      <c r="J1220" s="210" t="s">
        <v>15</v>
      </c>
      <c r="K1220" s="210" t="s">
        <v>54</v>
      </c>
      <c r="L1220" s="211" t="s">
        <v>60</v>
      </c>
      <c r="M1220" s="211" t="s">
        <v>17</v>
      </c>
    </row>
    <row r="1221" spans="1:13" x14ac:dyDescent="0.2">
      <c r="A1221" s="211" t="s">
        <v>55</v>
      </c>
      <c r="B1221" s="211" t="s">
        <v>58</v>
      </c>
      <c r="C1221" s="211" t="s">
        <v>19</v>
      </c>
      <c r="D1221" s="211" t="s">
        <v>12</v>
      </c>
      <c r="E1221" s="208">
        <v>42946</v>
      </c>
      <c r="F1221" s="221">
        <v>3029.5717199999999</v>
      </c>
      <c r="G1221" s="210" t="s">
        <v>16</v>
      </c>
      <c r="H1221" s="211" t="s">
        <v>18</v>
      </c>
      <c r="I1221" s="210">
        <v>1</v>
      </c>
      <c r="J1221" s="210" t="s">
        <v>15</v>
      </c>
      <c r="K1221" s="210" t="s">
        <v>54</v>
      </c>
      <c r="L1221" s="211" t="s">
        <v>60</v>
      </c>
      <c r="M1221" s="211" t="s">
        <v>17</v>
      </c>
    </row>
    <row r="1222" spans="1:13" x14ac:dyDescent="0.2">
      <c r="A1222" s="211" t="s">
        <v>55</v>
      </c>
      <c r="B1222" s="211" t="s">
        <v>58</v>
      </c>
      <c r="C1222" s="211" t="s">
        <v>19</v>
      </c>
      <c r="D1222" s="211" t="s">
        <v>12</v>
      </c>
      <c r="E1222" s="208">
        <v>42945</v>
      </c>
      <c r="F1222" s="209">
        <v>18.714556399999999</v>
      </c>
      <c r="G1222" s="210" t="s">
        <v>13</v>
      </c>
      <c r="H1222" s="211" t="s">
        <v>14</v>
      </c>
      <c r="I1222" s="210">
        <v>1</v>
      </c>
      <c r="J1222" s="210" t="s">
        <v>15</v>
      </c>
      <c r="K1222" s="210" t="s">
        <v>54</v>
      </c>
      <c r="L1222" s="211" t="s">
        <v>60</v>
      </c>
      <c r="M1222" s="211" t="s">
        <v>56</v>
      </c>
    </row>
    <row r="1223" spans="1:13" x14ac:dyDescent="0.2">
      <c r="A1223" s="211" t="s">
        <v>55</v>
      </c>
      <c r="B1223" s="211" t="s">
        <v>58</v>
      </c>
      <c r="C1223" s="211" t="s">
        <v>19</v>
      </c>
      <c r="D1223" s="211" t="s">
        <v>12</v>
      </c>
      <c r="E1223" s="208">
        <v>42945</v>
      </c>
      <c r="F1223" s="221">
        <v>6794.1363060000003</v>
      </c>
      <c r="G1223" s="210" t="s">
        <v>16</v>
      </c>
      <c r="H1223" s="211" t="s">
        <v>14</v>
      </c>
      <c r="I1223" s="210">
        <v>1</v>
      </c>
      <c r="J1223" s="210" t="s">
        <v>15</v>
      </c>
      <c r="K1223" s="210" t="s">
        <v>54</v>
      </c>
      <c r="L1223" s="211" t="s">
        <v>60</v>
      </c>
      <c r="M1223" s="211" t="s">
        <v>56</v>
      </c>
    </row>
    <row r="1224" spans="1:13" x14ac:dyDescent="0.2">
      <c r="A1224" s="211" t="s">
        <v>55</v>
      </c>
      <c r="B1224" s="211" t="s">
        <v>58</v>
      </c>
      <c r="C1224" s="211" t="s">
        <v>19</v>
      </c>
      <c r="D1224" s="211" t="s">
        <v>12</v>
      </c>
      <c r="E1224" s="208">
        <v>42945</v>
      </c>
      <c r="F1224" s="209">
        <v>8.5</v>
      </c>
      <c r="G1224" s="210" t="s">
        <v>13</v>
      </c>
      <c r="H1224" s="211" t="s">
        <v>18</v>
      </c>
      <c r="I1224" s="210">
        <v>1</v>
      </c>
      <c r="J1224" s="210" t="s">
        <v>15</v>
      </c>
      <c r="K1224" s="210" t="s">
        <v>54</v>
      </c>
      <c r="L1224" s="211" t="s">
        <v>60</v>
      </c>
      <c r="M1224" s="211" t="s">
        <v>17</v>
      </c>
    </row>
    <row r="1225" spans="1:13" x14ac:dyDescent="0.2">
      <c r="A1225" s="211" t="s">
        <v>55</v>
      </c>
      <c r="B1225" s="211" t="s">
        <v>58</v>
      </c>
      <c r="C1225" s="211" t="s">
        <v>19</v>
      </c>
      <c r="D1225" s="211" t="s">
        <v>12</v>
      </c>
      <c r="E1225" s="208">
        <v>42945</v>
      </c>
      <c r="F1225" s="221">
        <v>3147.5160000000001</v>
      </c>
      <c r="G1225" s="210" t="s">
        <v>16</v>
      </c>
      <c r="H1225" s="211" t="s">
        <v>18</v>
      </c>
      <c r="I1225" s="210">
        <v>1</v>
      </c>
      <c r="J1225" s="210" t="s">
        <v>15</v>
      </c>
      <c r="K1225" s="210" t="s">
        <v>54</v>
      </c>
      <c r="L1225" s="211" t="s">
        <v>60</v>
      </c>
      <c r="M1225" s="211" t="s">
        <v>17</v>
      </c>
    </row>
    <row r="1226" spans="1:13" x14ac:dyDescent="0.2">
      <c r="A1226" s="211" t="s">
        <v>55</v>
      </c>
      <c r="B1226" s="211" t="s">
        <v>58</v>
      </c>
      <c r="C1226" s="211" t="s">
        <v>19</v>
      </c>
      <c r="D1226" s="211" t="s">
        <v>12</v>
      </c>
      <c r="E1226" s="208">
        <v>42944</v>
      </c>
      <c r="F1226" s="209">
        <v>11.379174900000001</v>
      </c>
      <c r="G1226" s="210" t="s">
        <v>13</v>
      </c>
      <c r="H1226" s="211" t="s">
        <v>14</v>
      </c>
      <c r="I1226" s="210">
        <v>1</v>
      </c>
      <c r="J1226" s="210" t="s">
        <v>15</v>
      </c>
      <c r="K1226" s="210" t="s">
        <v>54</v>
      </c>
      <c r="L1226" s="211" t="s">
        <v>60</v>
      </c>
      <c r="M1226" s="211" t="s">
        <v>56</v>
      </c>
    </row>
    <row r="1227" spans="1:13" x14ac:dyDescent="0.2">
      <c r="A1227" s="211" t="s">
        <v>55</v>
      </c>
      <c r="B1227" s="211" t="s">
        <v>58</v>
      </c>
      <c r="C1227" s="211" t="s">
        <v>19</v>
      </c>
      <c r="D1227" s="211" t="s">
        <v>12</v>
      </c>
      <c r="E1227" s="208">
        <v>42944</v>
      </c>
      <c r="F1227" s="221">
        <v>4310.4633207999996</v>
      </c>
      <c r="G1227" s="210" t="s">
        <v>16</v>
      </c>
      <c r="H1227" s="211" t="s">
        <v>14</v>
      </c>
      <c r="I1227" s="210">
        <v>1</v>
      </c>
      <c r="J1227" s="210" t="s">
        <v>15</v>
      </c>
      <c r="K1227" s="210" t="s">
        <v>54</v>
      </c>
      <c r="L1227" s="211" t="s">
        <v>60</v>
      </c>
      <c r="M1227" s="211" t="s">
        <v>56</v>
      </c>
    </row>
    <row r="1228" spans="1:13" x14ac:dyDescent="0.2">
      <c r="A1228" s="211" t="s">
        <v>55</v>
      </c>
      <c r="B1228" s="211" t="s">
        <v>58</v>
      </c>
      <c r="C1228" s="211" t="s">
        <v>19</v>
      </c>
      <c r="D1228" s="211" t="s">
        <v>12</v>
      </c>
      <c r="E1228" s="208">
        <v>42944</v>
      </c>
      <c r="F1228" s="209">
        <v>7.36</v>
      </c>
      <c r="G1228" s="210" t="s">
        <v>13</v>
      </c>
      <c r="H1228" s="211" t="s">
        <v>18</v>
      </c>
      <c r="I1228" s="210">
        <v>1</v>
      </c>
      <c r="J1228" s="210" t="s">
        <v>15</v>
      </c>
      <c r="K1228" s="210" t="s">
        <v>54</v>
      </c>
      <c r="L1228" s="211" t="s">
        <v>60</v>
      </c>
      <c r="M1228" s="211" t="s">
        <v>17</v>
      </c>
    </row>
    <row r="1229" spans="1:13" x14ac:dyDescent="0.2">
      <c r="A1229" s="211" t="s">
        <v>55</v>
      </c>
      <c r="B1229" s="211" t="s">
        <v>58</v>
      </c>
      <c r="C1229" s="211" t="s">
        <v>19</v>
      </c>
      <c r="D1229" s="211" t="s">
        <v>12</v>
      </c>
      <c r="E1229" s="208">
        <v>42944</v>
      </c>
      <c r="F1229" s="221">
        <v>2829.7286399999998</v>
      </c>
      <c r="G1229" s="210" t="s">
        <v>16</v>
      </c>
      <c r="H1229" s="211" t="s">
        <v>18</v>
      </c>
      <c r="I1229" s="210">
        <v>1</v>
      </c>
      <c r="J1229" s="210" t="s">
        <v>15</v>
      </c>
      <c r="K1229" s="210" t="s">
        <v>54</v>
      </c>
      <c r="L1229" s="211" t="s">
        <v>60</v>
      </c>
      <c r="M1229" s="211" t="s">
        <v>17</v>
      </c>
    </row>
    <row r="1230" spans="1:13" x14ac:dyDescent="0.2">
      <c r="A1230" s="211" t="s">
        <v>55</v>
      </c>
      <c r="B1230" s="211" t="s">
        <v>58</v>
      </c>
      <c r="C1230" s="211" t="s">
        <v>19</v>
      </c>
      <c r="D1230" s="211" t="s">
        <v>12</v>
      </c>
      <c r="E1230" s="208">
        <v>42943</v>
      </c>
      <c r="F1230" s="209">
        <v>12.205784299999999</v>
      </c>
      <c r="G1230" s="210" t="s">
        <v>13</v>
      </c>
      <c r="H1230" s="211" t="s">
        <v>14</v>
      </c>
      <c r="I1230" s="210">
        <v>1</v>
      </c>
      <c r="J1230" s="210" t="s">
        <v>15</v>
      </c>
      <c r="K1230" s="210" t="s">
        <v>54</v>
      </c>
      <c r="L1230" s="211" t="s">
        <v>60</v>
      </c>
      <c r="M1230" s="211" t="s">
        <v>56</v>
      </c>
    </row>
    <row r="1231" spans="1:13" x14ac:dyDescent="0.2">
      <c r="A1231" s="211" t="s">
        <v>55</v>
      </c>
      <c r="B1231" s="211" t="s">
        <v>58</v>
      </c>
      <c r="C1231" s="211" t="s">
        <v>19</v>
      </c>
      <c r="D1231" s="211" t="s">
        <v>12</v>
      </c>
      <c r="E1231" s="208">
        <v>42943</v>
      </c>
      <c r="F1231" s="221">
        <v>4811.9083215999999</v>
      </c>
      <c r="G1231" s="210" t="s">
        <v>16</v>
      </c>
      <c r="H1231" s="211" t="s">
        <v>14</v>
      </c>
      <c r="I1231" s="210">
        <v>1</v>
      </c>
      <c r="J1231" s="210" t="s">
        <v>15</v>
      </c>
      <c r="K1231" s="210" t="s">
        <v>54</v>
      </c>
      <c r="L1231" s="211" t="s">
        <v>60</v>
      </c>
      <c r="M1231" s="211" t="s">
        <v>56</v>
      </c>
    </row>
    <row r="1232" spans="1:13" x14ac:dyDescent="0.2">
      <c r="A1232" s="211" t="s">
        <v>55</v>
      </c>
      <c r="B1232" s="211" t="s">
        <v>58</v>
      </c>
      <c r="C1232" s="211" t="s">
        <v>19</v>
      </c>
      <c r="D1232" s="211" t="s">
        <v>12</v>
      </c>
      <c r="E1232" s="208">
        <v>42943</v>
      </c>
      <c r="F1232" s="209">
        <v>6.46</v>
      </c>
      <c r="G1232" s="210" t="s">
        <v>13</v>
      </c>
      <c r="H1232" s="211" t="s">
        <v>18</v>
      </c>
      <c r="I1232" s="210">
        <v>1</v>
      </c>
      <c r="J1232" s="210" t="s">
        <v>15</v>
      </c>
      <c r="K1232" s="210" t="s">
        <v>54</v>
      </c>
      <c r="L1232" s="211" t="s">
        <v>60</v>
      </c>
      <c r="M1232" s="211" t="s">
        <v>17</v>
      </c>
    </row>
    <row r="1233" spans="1:13" x14ac:dyDescent="0.2">
      <c r="A1233" s="211" t="s">
        <v>55</v>
      </c>
      <c r="B1233" s="211" t="s">
        <v>58</v>
      </c>
      <c r="C1233" s="211" t="s">
        <v>19</v>
      </c>
      <c r="D1233" s="211" t="s">
        <v>12</v>
      </c>
      <c r="E1233" s="208">
        <v>42943</v>
      </c>
      <c r="F1233" s="221">
        <v>2591.4548399999999</v>
      </c>
      <c r="G1233" s="210" t="s">
        <v>16</v>
      </c>
      <c r="H1233" s="211" t="s">
        <v>18</v>
      </c>
      <c r="I1233" s="210">
        <v>1</v>
      </c>
      <c r="J1233" s="210" t="s">
        <v>15</v>
      </c>
      <c r="K1233" s="210" t="s">
        <v>54</v>
      </c>
      <c r="L1233" s="211" t="s">
        <v>60</v>
      </c>
      <c r="M1233" s="211" t="s">
        <v>17</v>
      </c>
    </row>
    <row r="1234" spans="1:13" x14ac:dyDescent="0.2">
      <c r="A1234" s="211" t="s">
        <v>55</v>
      </c>
      <c r="B1234" s="211" t="s">
        <v>58</v>
      </c>
      <c r="C1234" s="211" t="s">
        <v>19</v>
      </c>
      <c r="D1234" s="211" t="s">
        <v>12</v>
      </c>
      <c r="E1234" s="208">
        <v>42942</v>
      </c>
      <c r="F1234" s="209">
        <v>11.266448799999999</v>
      </c>
      <c r="G1234" s="210" t="s">
        <v>13</v>
      </c>
      <c r="H1234" s="211" t="s">
        <v>14</v>
      </c>
      <c r="I1234" s="210">
        <v>1</v>
      </c>
      <c r="J1234" s="210" t="s">
        <v>15</v>
      </c>
      <c r="K1234" s="210" t="s">
        <v>54</v>
      </c>
      <c r="L1234" s="211" t="s">
        <v>60</v>
      </c>
      <c r="M1234" s="211" t="s">
        <v>56</v>
      </c>
    </row>
    <row r="1235" spans="1:13" x14ac:dyDescent="0.2">
      <c r="A1235" s="211" t="s">
        <v>55</v>
      </c>
      <c r="B1235" s="211" t="s">
        <v>58</v>
      </c>
      <c r="C1235" s="211" t="s">
        <v>19</v>
      </c>
      <c r="D1235" s="211" t="s">
        <v>12</v>
      </c>
      <c r="E1235" s="208">
        <v>42942</v>
      </c>
      <c r="F1235" s="221">
        <v>4925.4976729</v>
      </c>
      <c r="G1235" s="210" t="s">
        <v>16</v>
      </c>
      <c r="H1235" s="211" t="s">
        <v>14</v>
      </c>
      <c r="I1235" s="210">
        <v>1</v>
      </c>
      <c r="J1235" s="210" t="s">
        <v>15</v>
      </c>
      <c r="K1235" s="210" t="s">
        <v>54</v>
      </c>
      <c r="L1235" s="211" t="s">
        <v>60</v>
      </c>
      <c r="M1235" s="211" t="s">
        <v>56</v>
      </c>
    </row>
    <row r="1236" spans="1:13" x14ac:dyDescent="0.2">
      <c r="A1236" s="211" t="s">
        <v>55</v>
      </c>
      <c r="B1236" s="211" t="s">
        <v>58</v>
      </c>
      <c r="C1236" s="211" t="s">
        <v>19</v>
      </c>
      <c r="D1236" s="211" t="s">
        <v>12</v>
      </c>
      <c r="E1236" s="208">
        <v>42942</v>
      </c>
      <c r="F1236" s="209">
        <v>5.77</v>
      </c>
      <c r="G1236" s="210" t="s">
        <v>13</v>
      </c>
      <c r="H1236" s="211" t="s">
        <v>18</v>
      </c>
      <c r="I1236" s="210">
        <v>1</v>
      </c>
      <c r="J1236" s="210" t="s">
        <v>15</v>
      </c>
      <c r="K1236" s="210" t="s">
        <v>54</v>
      </c>
      <c r="L1236" s="211" t="s">
        <v>60</v>
      </c>
      <c r="M1236" s="211" t="s">
        <v>17</v>
      </c>
    </row>
    <row r="1237" spans="1:13" x14ac:dyDescent="0.2">
      <c r="A1237" s="211" t="s">
        <v>55</v>
      </c>
      <c r="B1237" s="211" t="s">
        <v>58</v>
      </c>
      <c r="C1237" s="211" t="s">
        <v>19</v>
      </c>
      <c r="D1237" s="211" t="s">
        <v>12</v>
      </c>
      <c r="E1237" s="208">
        <v>42942</v>
      </c>
      <c r="F1237" s="221">
        <v>2555.2675800000002</v>
      </c>
      <c r="G1237" s="210" t="s">
        <v>16</v>
      </c>
      <c r="H1237" s="211" t="s">
        <v>18</v>
      </c>
      <c r="I1237" s="210">
        <v>1</v>
      </c>
      <c r="J1237" s="210" t="s">
        <v>15</v>
      </c>
      <c r="K1237" s="210" t="s">
        <v>54</v>
      </c>
      <c r="L1237" s="211" t="s">
        <v>60</v>
      </c>
      <c r="M1237" s="211" t="s">
        <v>17</v>
      </c>
    </row>
    <row r="1238" spans="1:13" x14ac:dyDescent="0.2">
      <c r="A1238" s="211" t="s">
        <v>55</v>
      </c>
      <c r="B1238" s="211" t="s">
        <v>58</v>
      </c>
      <c r="C1238" s="211" t="s">
        <v>19</v>
      </c>
      <c r="D1238" s="211" t="s">
        <v>12</v>
      </c>
      <c r="E1238" s="208">
        <v>42941</v>
      </c>
      <c r="F1238" s="209">
        <v>9.4599639</v>
      </c>
      <c r="G1238" s="210" t="s">
        <v>13</v>
      </c>
      <c r="H1238" s="211" t="s">
        <v>14</v>
      </c>
      <c r="I1238" s="210">
        <v>1</v>
      </c>
      <c r="J1238" s="210" t="s">
        <v>15</v>
      </c>
      <c r="K1238" s="210" t="s">
        <v>54</v>
      </c>
      <c r="L1238" s="211" t="s">
        <v>60</v>
      </c>
      <c r="M1238" s="211" t="s">
        <v>56</v>
      </c>
    </row>
    <row r="1239" spans="1:13" x14ac:dyDescent="0.2">
      <c r="A1239" s="211" t="s">
        <v>55</v>
      </c>
      <c r="B1239" s="211" t="s">
        <v>58</v>
      </c>
      <c r="C1239" s="211" t="s">
        <v>19</v>
      </c>
      <c r="D1239" s="211" t="s">
        <v>12</v>
      </c>
      <c r="E1239" s="208">
        <v>42941</v>
      </c>
      <c r="F1239" s="221">
        <v>3593.7173290000001</v>
      </c>
      <c r="G1239" s="210" t="s">
        <v>16</v>
      </c>
      <c r="H1239" s="211" t="s">
        <v>14</v>
      </c>
      <c r="I1239" s="210">
        <v>1</v>
      </c>
      <c r="J1239" s="210" t="s">
        <v>15</v>
      </c>
      <c r="K1239" s="210" t="s">
        <v>54</v>
      </c>
      <c r="L1239" s="211" t="s">
        <v>60</v>
      </c>
      <c r="M1239" s="211" t="s">
        <v>56</v>
      </c>
    </row>
    <row r="1240" spans="1:13" x14ac:dyDescent="0.2">
      <c r="A1240" s="211" t="s">
        <v>55</v>
      </c>
      <c r="B1240" s="211" t="s">
        <v>58</v>
      </c>
      <c r="C1240" s="211" t="s">
        <v>19</v>
      </c>
      <c r="D1240" s="211" t="s">
        <v>12</v>
      </c>
      <c r="E1240" s="208">
        <v>42941</v>
      </c>
      <c r="F1240" s="209">
        <v>4.49</v>
      </c>
      <c r="G1240" s="210" t="s">
        <v>13</v>
      </c>
      <c r="H1240" s="211" t="s">
        <v>18</v>
      </c>
      <c r="I1240" s="210">
        <v>1</v>
      </c>
      <c r="J1240" s="210" t="s">
        <v>15</v>
      </c>
      <c r="K1240" s="210" t="s">
        <v>54</v>
      </c>
      <c r="L1240" s="211" t="s">
        <v>60</v>
      </c>
      <c r="M1240" s="211" t="s">
        <v>17</v>
      </c>
    </row>
    <row r="1241" spans="1:13" x14ac:dyDescent="0.2">
      <c r="A1241" s="211" t="s">
        <v>55</v>
      </c>
      <c r="B1241" s="211" t="s">
        <v>58</v>
      </c>
      <c r="C1241" s="211" t="s">
        <v>19</v>
      </c>
      <c r="D1241" s="211" t="s">
        <v>12</v>
      </c>
      <c r="E1241" s="208">
        <v>42941</v>
      </c>
      <c r="F1241" s="221">
        <v>1745.0115599999999</v>
      </c>
      <c r="G1241" s="210" t="s">
        <v>16</v>
      </c>
      <c r="H1241" s="211" t="s">
        <v>18</v>
      </c>
      <c r="I1241" s="210">
        <v>1</v>
      </c>
      <c r="J1241" s="210" t="s">
        <v>15</v>
      </c>
      <c r="K1241" s="210" t="s">
        <v>54</v>
      </c>
      <c r="L1241" s="211" t="s">
        <v>60</v>
      </c>
      <c r="M1241" s="211" t="s">
        <v>17</v>
      </c>
    </row>
    <row r="1242" spans="1:13" x14ac:dyDescent="0.2">
      <c r="A1242" s="211" t="s">
        <v>55</v>
      </c>
      <c r="B1242" s="211" t="s">
        <v>58</v>
      </c>
      <c r="C1242" s="211" t="s">
        <v>19</v>
      </c>
      <c r="D1242" s="211" t="s">
        <v>12</v>
      </c>
      <c r="E1242" s="208">
        <v>42940</v>
      </c>
      <c r="F1242" s="209">
        <v>10.589519900000001</v>
      </c>
      <c r="G1242" s="210" t="s">
        <v>13</v>
      </c>
      <c r="H1242" s="211" t="s">
        <v>14</v>
      </c>
      <c r="I1242" s="210">
        <v>1</v>
      </c>
      <c r="J1242" s="210" t="s">
        <v>15</v>
      </c>
      <c r="K1242" s="210" t="s">
        <v>54</v>
      </c>
      <c r="L1242" s="211" t="s">
        <v>60</v>
      </c>
      <c r="M1242" s="211" t="s">
        <v>56</v>
      </c>
    </row>
    <row r="1243" spans="1:13" x14ac:dyDescent="0.2">
      <c r="A1243" s="211" t="s">
        <v>55</v>
      </c>
      <c r="B1243" s="211" t="s">
        <v>58</v>
      </c>
      <c r="C1243" s="211" t="s">
        <v>19</v>
      </c>
      <c r="D1243" s="211" t="s">
        <v>12</v>
      </c>
      <c r="E1243" s="208">
        <v>42940</v>
      </c>
      <c r="F1243" s="221">
        <v>4415.8298058999999</v>
      </c>
      <c r="G1243" s="210" t="s">
        <v>16</v>
      </c>
      <c r="H1243" s="211" t="s">
        <v>14</v>
      </c>
      <c r="I1243" s="210">
        <v>1</v>
      </c>
      <c r="J1243" s="210" t="s">
        <v>15</v>
      </c>
      <c r="K1243" s="210" t="s">
        <v>54</v>
      </c>
      <c r="L1243" s="211" t="s">
        <v>60</v>
      </c>
      <c r="M1243" s="211" t="s">
        <v>56</v>
      </c>
    </row>
    <row r="1244" spans="1:13" x14ac:dyDescent="0.2">
      <c r="A1244" s="211" t="s">
        <v>55</v>
      </c>
      <c r="B1244" s="211" t="s">
        <v>58</v>
      </c>
      <c r="C1244" s="211" t="s">
        <v>19</v>
      </c>
      <c r="D1244" s="211" t="s">
        <v>12</v>
      </c>
      <c r="E1244" s="208">
        <v>42940</v>
      </c>
      <c r="F1244" s="209">
        <v>5.15</v>
      </c>
      <c r="G1244" s="210" t="s">
        <v>13</v>
      </c>
      <c r="H1244" s="211" t="s">
        <v>18</v>
      </c>
      <c r="I1244" s="210">
        <v>1</v>
      </c>
      <c r="J1244" s="210" t="s">
        <v>15</v>
      </c>
      <c r="K1244" s="210" t="s">
        <v>54</v>
      </c>
      <c r="L1244" s="211" t="s">
        <v>60</v>
      </c>
      <c r="M1244" s="211" t="s">
        <v>17</v>
      </c>
    </row>
    <row r="1245" spans="1:13" x14ac:dyDescent="0.2">
      <c r="A1245" s="211" t="s">
        <v>55</v>
      </c>
      <c r="B1245" s="211" t="s">
        <v>58</v>
      </c>
      <c r="C1245" s="211" t="s">
        <v>19</v>
      </c>
      <c r="D1245" s="211" t="s">
        <v>12</v>
      </c>
      <c r="E1245" s="208">
        <v>42940</v>
      </c>
      <c r="F1245" s="221">
        <v>2147.5500000000002</v>
      </c>
      <c r="G1245" s="210" t="s">
        <v>16</v>
      </c>
      <c r="H1245" s="211" t="s">
        <v>18</v>
      </c>
      <c r="I1245" s="210">
        <v>1</v>
      </c>
      <c r="J1245" s="210" t="s">
        <v>15</v>
      </c>
      <c r="K1245" s="210" t="s">
        <v>54</v>
      </c>
      <c r="L1245" s="211" t="s">
        <v>60</v>
      </c>
      <c r="M1245" s="211" t="s">
        <v>17</v>
      </c>
    </row>
    <row r="1246" spans="1:13" x14ac:dyDescent="0.2">
      <c r="A1246" s="211" t="s">
        <v>55</v>
      </c>
      <c r="B1246" s="211" t="s">
        <v>58</v>
      </c>
      <c r="C1246" s="211" t="s">
        <v>19</v>
      </c>
      <c r="D1246" s="211" t="s">
        <v>12</v>
      </c>
      <c r="E1246" s="208">
        <v>42939</v>
      </c>
      <c r="F1246" s="209">
        <v>14.773069100000001</v>
      </c>
      <c r="G1246" s="210" t="s">
        <v>13</v>
      </c>
      <c r="H1246" s="211" t="s">
        <v>14</v>
      </c>
      <c r="I1246" s="210">
        <v>1</v>
      </c>
      <c r="J1246" s="210" t="s">
        <v>15</v>
      </c>
      <c r="K1246" s="210" t="s">
        <v>54</v>
      </c>
      <c r="L1246" s="211" t="s">
        <v>60</v>
      </c>
      <c r="M1246" s="211" t="s">
        <v>56</v>
      </c>
    </row>
    <row r="1247" spans="1:13" x14ac:dyDescent="0.2">
      <c r="A1247" s="211" t="s">
        <v>55</v>
      </c>
      <c r="B1247" s="211" t="s">
        <v>58</v>
      </c>
      <c r="C1247" s="211" t="s">
        <v>19</v>
      </c>
      <c r="D1247" s="211" t="s">
        <v>12</v>
      </c>
      <c r="E1247" s="208">
        <v>42939</v>
      </c>
      <c r="F1247" s="221">
        <v>6061.8038999999999</v>
      </c>
      <c r="G1247" s="210" t="s">
        <v>16</v>
      </c>
      <c r="H1247" s="211" t="s">
        <v>14</v>
      </c>
      <c r="I1247" s="210">
        <v>1</v>
      </c>
      <c r="J1247" s="210" t="s">
        <v>15</v>
      </c>
      <c r="K1247" s="210" t="s">
        <v>54</v>
      </c>
      <c r="L1247" s="211" t="s">
        <v>60</v>
      </c>
      <c r="M1247" s="211" t="s">
        <v>56</v>
      </c>
    </row>
    <row r="1248" spans="1:13" x14ac:dyDescent="0.2">
      <c r="A1248" s="211" t="s">
        <v>55</v>
      </c>
      <c r="B1248" s="211" t="s">
        <v>58</v>
      </c>
      <c r="C1248" s="211" t="s">
        <v>19</v>
      </c>
      <c r="D1248" s="211" t="s">
        <v>12</v>
      </c>
      <c r="E1248" s="208">
        <v>42939</v>
      </c>
      <c r="F1248" s="209">
        <v>4.1900000000000004</v>
      </c>
      <c r="G1248" s="210" t="s">
        <v>13</v>
      </c>
      <c r="H1248" s="211" t="s">
        <v>18</v>
      </c>
      <c r="I1248" s="210">
        <v>1</v>
      </c>
      <c r="J1248" s="210" t="s">
        <v>15</v>
      </c>
      <c r="K1248" s="210" t="s">
        <v>54</v>
      </c>
      <c r="L1248" s="211" t="s">
        <v>60</v>
      </c>
      <c r="M1248" s="211" t="s">
        <v>17</v>
      </c>
    </row>
    <row r="1249" spans="1:13" x14ac:dyDescent="0.2">
      <c r="A1249" s="211" t="s">
        <v>55</v>
      </c>
      <c r="B1249" s="211" t="s">
        <v>58</v>
      </c>
      <c r="C1249" s="211" t="s">
        <v>19</v>
      </c>
      <c r="D1249" s="211" t="s">
        <v>12</v>
      </c>
      <c r="E1249" s="208">
        <v>42939</v>
      </c>
      <c r="F1249" s="221">
        <v>1719.27432</v>
      </c>
      <c r="G1249" s="210" t="s">
        <v>16</v>
      </c>
      <c r="H1249" s="211" t="s">
        <v>18</v>
      </c>
      <c r="I1249" s="210">
        <v>1</v>
      </c>
      <c r="J1249" s="210" t="s">
        <v>15</v>
      </c>
      <c r="K1249" s="210" t="s">
        <v>54</v>
      </c>
      <c r="L1249" s="211" t="s">
        <v>60</v>
      </c>
      <c r="M1249" s="211" t="s">
        <v>17</v>
      </c>
    </row>
    <row r="1250" spans="1:13" x14ac:dyDescent="0.2">
      <c r="A1250" s="211" t="s">
        <v>55</v>
      </c>
      <c r="B1250" s="211" t="s">
        <v>58</v>
      </c>
      <c r="C1250" s="211" t="s">
        <v>19</v>
      </c>
      <c r="D1250" s="211" t="s">
        <v>12</v>
      </c>
      <c r="E1250" s="208">
        <v>42938</v>
      </c>
      <c r="F1250" s="209">
        <v>11.2087301</v>
      </c>
      <c r="G1250" s="210" t="s">
        <v>13</v>
      </c>
      <c r="H1250" s="211" t="s">
        <v>14</v>
      </c>
      <c r="I1250" s="210">
        <v>1</v>
      </c>
      <c r="J1250" s="210" t="s">
        <v>15</v>
      </c>
      <c r="K1250" s="210" t="s">
        <v>54</v>
      </c>
      <c r="L1250" s="211" t="s">
        <v>60</v>
      </c>
      <c r="M1250" s="211" t="s">
        <v>56</v>
      </c>
    </row>
    <row r="1251" spans="1:13" x14ac:dyDescent="0.2">
      <c r="A1251" s="211" t="s">
        <v>55</v>
      </c>
      <c r="B1251" s="211" t="s">
        <v>58</v>
      </c>
      <c r="C1251" s="211" t="s">
        <v>19</v>
      </c>
      <c r="D1251" s="211" t="s">
        <v>12</v>
      </c>
      <c r="E1251" s="208">
        <v>42938</v>
      </c>
      <c r="F1251" s="221">
        <v>5300.3618999999999</v>
      </c>
      <c r="G1251" s="210" t="s">
        <v>16</v>
      </c>
      <c r="H1251" s="211" t="s">
        <v>14</v>
      </c>
      <c r="I1251" s="210">
        <v>1</v>
      </c>
      <c r="J1251" s="210" t="s">
        <v>15</v>
      </c>
      <c r="K1251" s="210" t="s">
        <v>54</v>
      </c>
      <c r="L1251" s="211" t="s">
        <v>60</v>
      </c>
      <c r="M1251" s="211" t="s">
        <v>56</v>
      </c>
    </row>
    <row r="1252" spans="1:13" x14ac:dyDescent="0.2">
      <c r="A1252" s="211" t="s">
        <v>55</v>
      </c>
      <c r="B1252" s="211" t="s">
        <v>58</v>
      </c>
      <c r="C1252" s="211" t="s">
        <v>19</v>
      </c>
      <c r="D1252" s="211" t="s">
        <v>12</v>
      </c>
      <c r="E1252" s="208">
        <v>42938</v>
      </c>
      <c r="F1252" s="209">
        <v>6.12</v>
      </c>
      <c r="G1252" s="210" t="s">
        <v>13</v>
      </c>
      <c r="H1252" s="211" t="s">
        <v>18</v>
      </c>
      <c r="I1252" s="210">
        <v>1</v>
      </c>
      <c r="J1252" s="210" t="s">
        <v>15</v>
      </c>
      <c r="K1252" s="210" t="s">
        <v>54</v>
      </c>
      <c r="L1252" s="211" t="s">
        <v>60</v>
      </c>
      <c r="M1252" s="211" t="s">
        <v>17</v>
      </c>
    </row>
    <row r="1253" spans="1:13" x14ac:dyDescent="0.2">
      <c r="A1253" s="211" t="s">
        <v>55</v>
      </c>
      <c r="B1253" s="211" t="s">
        <v>58</v>
      </c>
      <c r="C1253" s="211" t="s">
        <v>19</v>
      </c>
      <c r="D1253" s="211" t="s">
        <v>12</v>
      </c>
      <c r="E1253" s="208">
        <v>42938</v>
      </c>
      <c r="F1253" s="221">
        <v>2894.0133599999999</v>
      </c>
      <c r="G1253" s="210" t="s">
        <v>16</v>
      </c>
      <c r="H1253" s="211" t="s">
        <v>18</v>
      </c>
      <c r="I1253" s="210">
        <v>1</v>
      </c>
      <c r="J1253" s="210" t="s">
        <v>15</v>
      </c>
      <c r="K1253" s="210" t="s">
        <v>54</v>
      </c>
      <c r="L1253" s="211" t="s">
        <v>60</v>
      </c>
      <c r="M1253" s="211" t="s">
        <v>17</v>
      </c>
    </row>
    <row r="1254" spans="1:13" x14ac:dyDescent="0.2">
      <c r="A1254" s="211" t="s">
        <v>55</v>
      </c>
      <c r="B1254" s="211" t="s">
        <v>58</v>
      </c>
      <c r="C1254" s="211" t="s">
        <v>19</v>
      </c>
      <c r="D1254" s="211" t="s">
        <v>12</v>
      </c>
      <c r="E1254" s="208">
        <v>42937</v>
      </c>
      <c r="F1254" s="209">
        <v>12.1425169</v>
      </c>
      <c r="G1254" s="210" t="s">
        <v>13</v>
      </c>
      <c r="H1254" s="211" t="s">
        <v>14</v>
      </c>
      <c r="I1254" s="210">
        <v>1</v>
      </c>
      <c r="J1254" s="210" t="s">
        <v>15</v>
      </c>
      <c r="K1254" s="210" t="s">
        <v>54</v>
      </c>
      <c r="L1254" s="211" t="s">
        <v>60</v>
      </c>
      <c r="M1254" s="211" t="s">
        <v>56</v>
      </c>
    </row>
    <row r="1255" spans="1:13" x14ac:dyDescent="0.2">
      <c r="A1255" s="211" t="s">
        <v>55</v>
      </c>
      <c r="B1255" s="211" t="s">
        <v>58</v>
      </c>
      <c r="C1255" s="211" t="s">
        <v>19</v>
      </c>
      <c r="D1255" s="211" t="s">
        <v>12</v>
      </c>
      <c r="E1255" s="208">
        <v>42937</v>
      </c>
      <c r="F1255" s="221">
        <v>6275.6146283999997</v>
      </c>
      <c r="G1255" s="210" t="s">
        <v>16</v>
      </c>
      <c r="H1255" s="211" t="s">
        <v>14</v>
      </c>
      <c r="I1255" s="210">
        <v>1</v>
      </c>
      <c r="J1255" s="210" t="s">
        <v>15</v>
      </c>
      <c r="K1255" s="210" t="s">
        <v>54</v>
      </c>
      <c r="L1255" s="211" t="s">
        <v>60</v>
      </c>
      <c r="M1255" s="211" t="s">
        <v>56</v>
      </c>
    </row>
    <row r="1256" spans="1:13" x14ac:dyDescent="0.2">
      <c r="A1256" s="211" t="s">
        <v>55</v>
      </c>
      <c r="B1256" s="211" t="s">
        <v>58</v>
      </c>
      <c r="C1256" s="211" t="s">
        <v>19</v>
      </c>
      <c r="D1256" s="211" t="s">
        <v>12</v>
      </c>
      <c r="E1256" s="208">
        <v>42937</v>
      </c>
      <c r="F1256" s="209">
        <v>8.1300000000000008</v>
      </c>
      <c r="G1256" s="210" t="s">
        <v>13</v>
      </c>
      <c r="H1256" s="211" t="s">
        <v>18</v>
      </c>
      <c r="I1256" s="210">
        <v>1</v>
      </c>
      <c r="J1256" s="210" t="s">
        <v>15</v>
      </c>
      <c r="K1256" s="210" t="s">
        <v>54</v>
      </c>
      <c r="L1256" s="211" t="s">
        <v>60</v>
      </c>
      <c r="M1256" s="211" t="s">
        <v>17</v>
      </c>
    </row>
    <row r="1257" spans="1:13" x14ac:dyDescent="0.2">
      <c r="A1257" s="211" t="s">
        <v>55</v>
      </c>
      <c r="B1257" s="211" t="s">
        <v>58</v>
      </c>
      <c r="C1257" s="211" t="s">
        <v>19</v>
      </c>
      <c r="D1257" s="211" t="s">
        <v>12</v>
      </c>
      <c r="E1257" s="208">
        <v>42937</v>
      </c>
      <c r="F1257" s="221">
        <v>4237.7624999999998</v>
      </c>
      <c r="G1257" s="210" t="s">
        <v>16</v>
      </c>
      <c r="H1257" s="211" t="s">
        <v>18</v>
      </c>
      <c r="I1257" s="210">
        <v>1</v>
      </c>
      <c r="J1257" s="210" t="s">
        <v>15</v>
      </c>
      <c r="K1257" s="210" t="s">
        <v>54</v>
      </c>
      <c r="L1257" s="211" t="s">
        <v>60</v>
      </c>
      <c r="M1257" s="211" t="s">
        <v>17</v>
      </c>
    </row>
    <row r="1258" spans="1:13" x14ac:dyDescent="0.2">
      <c r="A1258" s="211" t="s">
        <v>55</v>
      </c>
      <c r="B1258" s="211" t="s">
        <v>58</v>
      </c>
      <c r="C1258" s="211" t="s">
        <v>19</v>
      </c>
      <c r="D1258" s="211" t="s">
        <v>12</v>
      </c>
      <c r="E1258" s="208">
        <v>42936</v>
      </c>
      <c r="F1258" s="209">
        <v>13.148543500000001</v>
      </c>
      <c r="G1258" s="210" t="s">
        <v>13</v>
      </c>
      <c r="H1258" s="211" t="s">
        <v>14</v>
      </c>
      <c r="I1258" s="210">
        <v>1</v>
      </c>
      <c r="J1258" s="210" t="s">
        <v>15</v>
      </c>
      <c r="K1258" s="210" t="s">
        <v>54</v>
      </c>
      <c r="L1258" s="211" t="s">
        <v>60</v>
      </c>
      <c r="M1258" s="211" t="s">
        <v>56</v>
      </c>
    </row>
    <row r="1259" spans="1:13" x14ac:dyDescent="0.2">
      <c r="A1259" s="211" t="s">
        <v>55</v>
      </c>
      <c r="B1259" s="211" t="s">
        <v>58</v>
      </c>
      <c r="C1259" s="211" t="s">
        <v>19</v>
      </c>
      <c r="D1259" s="211" t="s">
        <v>12</v>
      </c>
      <c r="E1259" s="208">
        <v>42936</v>
      </c>
      <c r="F1259" s="221">
        <v>5105.7162116999998</v>
      </c>
      <c r="G1259" s="210" t="s">
        <v>16</v>
      </c>
      <c r="H1259" s="211" t="s">
        <v>14</v>
      </c>
      <c r="I1259" s="210">
        <v>1</v>
      </c>
      <c r="J1259" s="210" t="s">
        <v>15</v>
      </c>
      <c r="K1259" s="210" t="s">
        <v>54</v>
      </c>
      <c r="L1259" s="211" t="s">
        <v>60</v>
      </c>
      <c r="M1259" s="211" t="s">
        <v>56</v>
      </c>
    </row>
    <row r="1260" spans="1:13" x14ac:dyDescent="0.2">
      <c r="A1260" s="211" t="s">
        <v>55</v>
      </c>
      <c r="B1260" s="211" t="s">
        <v>58</v>
      </c>
      <c r="C1260" s="211" t="s">
        <v>19</v>
      </c>
      <c r="D1260" s="211" t="s">
        <v>12</v>
      </c>
      <c r="E1260" s="208">
        <v>42936</v>
      </c>
      <c r="F1260" s="209">
        <v>7.47</v>
      </c>
      <c r="G1260" s="210" t="s">
        <v>13</v>
      </c>
      <c r="H1260" s="211" t="s">
        <v>18</v>
      </c>
      <c r="I1260" s="210">
        <v>1</v>
      </c>
      <c r="J1260" s="210" t="s">
        <v>15</v>
      </c>
      <c r="K1260" s="210" t="s">
        <v>54</v>
      </c>
      <c r="L1260" s="211" t="s">
        <v>60</v>
      </c>
      <c r="M1260" s="211" t="s">
        <v>17</v>
      </c>
    </row>
    <row r="1261" spans="1:13" x14ac:dyDescent="0.2">
      <c r="A1261" s="211" t="s">
        <v>55</v>
      </c>
      <c r="B1261" s="211" t="s">
        <v>58</v>
      </c>
      <c r="C1261" s="211" t="s">
        <v>19</v>
      </c>
      <c r="D1261" s="211" t="s">
        <v>12</v>
      </c>
      <c r="E1261" s="208">
        <v>42936</v>
      </c>
      <c r="F1261" s="221">
        <v>2996.6203799999998</v>
      </c>
      <c r="G1261" s="210" t="s">
        <v>16</v>
      </c>
      <c r="H1261" s="211" t="s">
        <v>18</v>
      </c>
      <c r="I1261" s="210">
        <v>1</v>
      </c>
      <c r="J1261" s="210" t="s">
        <v>15</v>
      </c>
      <c r="K1261" s="210" t="s">
        <v>54</v>
      </c>
      <c r="L1261" s="211" t="s">
        <v>60</v>
      </c>
      <c r="M1261" s="211" t="s">
        <v>17</v>
      </c>
    </row>
    <row r="1262" spans="1:13" x14ac:dyDescent="0.2">
      <c r="A1262" s="211" t="s">
        <v>55</v>
      </c>
      <c r="B1262" s="211" t="s">
        <v>58</v>
      </c>
      <c r="C1262" s="211" t="s">
        <v>19</v>
      </c>
      <c r="D1262" s="211" t="s">
        <v>12</v>
      </c>
      <c r="E1262" s="208">
        <v>42935</v>
      </c>
      <c r="F1262" s="209">
        <v>13.157120600000001</v>
      </c>
      <c r="G1262" s="210" t="s">
        <v>13</v>
      </c>
      <c r="H1262" s="211" t="s">
        <v>14</v>
      </c>
      <c r="I1262" s="210">
        <v>1</v>
      </c>
      <c r="J1262" s="210" t="s">
        <v>15</v>
      </c>
      <c r="K1262" s="210" t="s">
        <v>54</v>
      </c>
      <c r="L1262" s="211" t="s">
        <v>60</v>
      </c>
      <c r="M1262" s="211" t="s">
        <v>56</v>
      </c>
    </row>
    <row r="1263" spans="1:13" x14ac:dyDescent="0.2">
      <c r="A1263" s="211" t="s">
        <v>55</v>
      </c>
      <c r="B1263" s="211" t="s">
        <v>58</v>
      </c>
      <c r="C1263" s="211" t="s">
        <v>19</v>
      </c>
      <c r="D1263" s="211" t="s">
        <v>12</v>
      </c>
      <c r="E1263" s="208">
        <v>42935</v>
      </c>
      <c r="F1263" s="221">
        <v>5323.0210229000004</v>
      </c>
      <c r="G1263" s="210" t="s">
        <v>16</v>
      </c>
      <c r="H1263" s="211" t="s">
        <v>14</v>
      </c>
      <c r="I1263" s="210">
        <v>1</v>
      </c>
      <c r="J1263" s="210" t="s">
        <v>15</v>
      </c>
      <c r="K1263" s="210" t="s">
        <v>54</v>
      </c>
      <c r="L1263" s="211" t="s">
        <v>60</v>
      </c>
      <c r="M1263" s="211" t="s">
        <v>56</v>
      </c>
    </row>
    <row r="1264" spans="1:13" x14ac:dyDescent="0.2">
      <c r="A1264" s="211" t="s">
        <v>55</v>
      </c>
      <c r="B1264" s="211" t="s">
        <v>58</v>
      </c>
      <c r="C1264" s="211" t="s">
        <v>19</v>
      </c>
      <c r="D1264" s="211" t="s">
        <v>12</v>
      </c>
      <c r="E1264" s="208">
        <v>42935</v>
      </c>
      <c r="F1264" s="209">
        <v>7.19</v>
      </c>
      <c r="G1264" s="210" t="s">
        <v>13</v>
      </c>
      <c r="H1264" s="211" t="s">
        <v>18</v>
      </c>
      <c r="I1264" s="210">
        <v>1</v>
      </c>
      <c r="J1264" s="210" t="s">
        <v>15</v>
      </c>
      <c r="K1264" s="210" t="s">
        <v>54</v>
      </c>
      <c r="L1264" s="211" t="s">
        <v>60</v>
      </c>
      <c r="M1264" s="211" t="s">
        <v>17</v>
      </c>
    </row>
    <row r="1265" spans="1:13" x14ac:dyDescent="0.2">
      <c r="A1265" s="211" t="s">
        <v>55</v>
      </c>
      <c r="B1265" s="211" t="s">
        <v>58</v>
      </c>
      <c r="C1265" s="211" t="s">
        <v>19</v>
      </c>
      <c r="D1265" s="211" t="s">
        <v>12</v>
      </c>
      <c r="E1265" s="208">
        <v>42935</v>
      </c>
      <c r="F1265" s="221">
        <v>3004.2264599999999</v>
      </c>
      <c r="G1265" s="210" t="s">
        <v>16</v>
      </c>
      <c r="H1265" s="211" t="s">
        <v>18</v>
      </c>
      <c r="I1265" s="210">
        <v>1</v>
      </c>
      <c r="J1265" s="210" t="s">
        <v>15</v>
      </c>
      <c r="K1265" s="210" t="s">
        <v>54</v>
      </c>
      <c r="L1265" s="211" t="s">
        <v>60</v>
      </c>
      <c r="M1265" s="211" t="s">
        <v>17</v>
      </c>
    </row>
    <row r="1266" spans="1:13" x14ac:dyDescent="0.2">
      <c r="A1266" s="211" t="s">
        <v>55</v>
      </c>
      <c r="B1266" s="211" t="s">
        <v>58</v>
      </c>
      <c r="C1266" s="211" t="s">
        <v>19</v>
      </c>
      <c r="D1266" s="211" t="s">
        <v>12</v>
      </c>
      <c r="E1266" s="208">
        <v>42934</v>
      </c>
      <c r="F1266" s="209">
        <v>12.7441558</v>
      </c>
      <c r="G1266" s="210" t="s">
        <v>13</v>
      </c>
      <c r="H1266" s="211" t="s">
        <v>14</v>
      </c>
      <c r="I1266" s="210">
        <v>1</v>
      </c>
      <c r="J1266" s="210" t="s">
        <v>15</v>
      </c>
      <c r="K1266" s="210" t="s">
        <v>54</v>
      </c>
      <c r="L1266" s="211" t="s">
        <v>60</v>
      </c>
      <c r="M1266" s="211" t="s">
        <v>56</v>
      </c>
    </row>
    <row r="1267" spans="1:13" x14ac:dyDescent="0.2">
      <c r="A1267" s="211" t="s">
        <v>55</v>
      </c>
      <c r="B1267" s="211" t="s">
        <v>58</v>
      </c>
      <c r="C1267" s="211" t="s">
        <v>19</v>
      </c>
      <c r="D1267" s="211" t="s">
        <v>12</v>
      </c>
      <c r="E1267" s="208">
        <v>42934</v>
      </c>
      <c r="F1267" s="221">
        <v>5070.9174523000001</v>
      </c>
      <c r="G1267" s="210" t="s">
        <v>16</v>
      </c>
      <c r="H1267" s="211" t="s">
        <v>14</v>
      </c>
      <c r="I1267" s="210">
        <v>1</v>
      </c>
      <c r="J1267" s="210" t="s">
        <v>15</v>
      </c>
      <c r="K1267" s="210" t="s">
        <v>54</v>
      </c>
      <c r="L1267" s="211" t="s">
        <v>60</v>
      </c>
      <c r="M1267" s="211" t="s">
        <v>56</v>
      </c>
    </row>
    <row r="1268" spans="1:13" x14ac:dyDescent="0.2">
      <c r="A1268" s="211" t="s">
        <v>55</v>
      </c>
      <c r="B1268" s="211" t="s">
        <v>58</v>
      </c>
      <c r="C1268" s="211" t="s">
        <v>19</v>
      </c>
      <c r="D1268" s="211" t="s">
        <v>12</v>
      </c>
      <c r="E1268" s="208">
        <v>42934</v>
      </c>
      <c r="F1268" s="209">
        <v>9.2200000000000006</v>
      </c>
      <c r="G1268" s="210" t="s">
        <v>13</v>
      </c>
      <c r="H1268" s="211" t="s">
        <v>18</v>
      </c>
      <c r="I1268" s="210">
        <v>1</v>
      </c>
      <c r="J1268" s="210" t="s">
        <v>15</v>
      </c>
      <c r="K1268" s="210" t="s">
        <v>54</v>
      </c>
      <c r="L1268" s="211" t="s">
        <v>60</v>
      </c>
      <c r="M1268" s="211" t="s">
        <v>17</v>
      </c>
    </row>
    <row r="1269" spans="1:13" x14ac:dyDescent="0.2">
      <c r="A1269" s="211" t="s">
        <v>55</v>
      </c>
      <c r="B1269" s="211" t="s">
        <v>58</v>
      </c>
      <c r="C1269" s="211" t="s">
        <v>19</v>
      </c>
      <c r="D1269" s="211" t="s">
        <v>12</v>
      </c>
      <c r="E1269" s="208">
        <v>42934</v>
      </c>
      <c r="F1269" s="221">
        <v>3783.2241600000002</v>
      </c>
      <c r="G1269" s="210" t="s">
        <v>16</v>
      </c>
      <c r="H1269" s="211" t="s">
        <v>18</v>
      </c>
      <c r="I1269" s="210">
        <v>1</v>
      </c>
      <c r="J1269" s="210" t="s">
        <v>15</v>
      </c>
      <c r="K1269" s="210" t="s">
        <v>54</v>
      </c>
      <c r="L1269" s="211" t="s">
        <v>60</v>
      </c>
      <c r="M1269" s="211" t="s">
        <v>17</v>
      </c>
    </row>
    <row r="1270" spans="1:13" x14ac:dyDescent="0.2">
      <c r="A1270" s="211" t="s">
        <v>55</v>
      </c>
      <c r="B1270" s="211" t="s">
        <v>58</v>
      </c>
      <c r="C1270" s="211" t="s">
        <v>19</v>
      </c>
      <c r="D1270" s="211" t="s">
        <v>12</v>
      </c>
      <c r="E1270" s="208">
        <v>42933</v>
      </c>
      <c r="F1270" s="209">
        <v>12.136493700000001</v>
      </c>
      <c r="G1270" s="210" t="s">
        <v>13</v>
      </c>
      <c r="H1270" s="211" t="s">
        <v>14</v>
      </c>
      <c r="I1270" s="210">
        <v>1</v>
      </c>
      <c r="J1270" s="210" t="s">
        <v>15</v>
      </c>
      <c r="K1270" s="210" t="s">
        <v>54</v>
      </c>
      <c r="L1270" s="211" t="s">
        <v>60</v>
      </c>
      <c r="M1270" s="211" t="s">
        <v>56</v>
      </c>
    </row>
    <row r="1271" spans="1:13" x14ac:dyDescent="0.2">
      <c r="A1271" s="211" t="s">
        <v>55</v>
      </c>
      <c r="B1271" s="211" t="s">
        <v>58</v>
      </c>
      <c r="C1271" s="211" t="s">
        <v>19</v>
      </c>
      <c r="D1271" s="211" t="s">
        <v>12</v>
      </c>
      <c r="E1271" s="208">
        <v>42933</v>
      </c>
      <c r="F1271" s="221">
        <v>4584.1794203999998</v>
      </c>
      <c r="G1271" s="210" t="s">
        <v>16</v>
      </c>
      <c r="H1271" s="211" t="s">
        <v>14</v>
      </c>
      <c r="I1271" s="210">
        <v>1</v>
      </c>
      <c r="J1271" s="210" t="s">
        <v>15</v>
      </c>
      <c r="K1271" s="210" t="s">
        <v>54</v>
      </c>
      <c r="L1271" s="211" t="s">
        <v>60</v>
      </c>
      <c r="M1271" s="211" t="s">
        <v>56</v>
      </c>
    </row>
    <row r="1272" spans="1:13" x14ac:dyDescent="0.2">
      <c r="A1272" s="211" t="s">
        <v>55</v>
      </c>
      <c r="B1272" s="211" t="s">
        <v>58</v>
      </c>
      <c r="C1272" s="211" t="s">
        <v>19</v>
      </c>
      <c r="D1272" s="211" t="s">
        <v>12</v>
      </c>
      <c r="E1272" s="208">
        <v>42933</v>
      </c>
      <c r="F1272" s="209">
        <v>12.4</v>
      </c>
      <c r="G1272" s="210" t="s">
        <v>13</v>
      </c>
      <c r="H1272" s="211" t="s">
        <v>18</v>
      </c>
      <c r="I1272" s="210">
        <v>1</v>
      </c>
      <c r="J1272" s="210" t="s">
        <v>15</v>
      </c>
      <c r="K1272" s="210" t="s">
        <v>54</v>
      </c>
      <c r="L1272" s="211" t="s">
        <v>60</v>
      </c>
      <c r="M1272" s="211" t="s">
        <v>17</v>
      </c>
    </row>
    <row r="1273" spans="1:13" x14ac:dyDescent="0.2">
      <c r="A1273" s="211" t="s">
        <v>55</v>
      </c>
      <c r="B1273" s="211" t="s">
        <v>58</v>
      </c>
      <c r="C1273" s="211" t="s">
        <v>19</v>
      </c>
      <c r="D1273" s="211" t="s">
        <v>12</v>
      </c>
      <c r="E1273" s="208">
        <v>42933</v>
      </c>
      <c r="F1273" s="221">
        <v>4788.1607999999997</v>
      </c>
      <c r="G1273" s="210" t="s">
        <v>16</v>
      </c>
      <c r="H1273" s="211" t="s">
        <v>18</v>
      </c>
      <c r="I1273" s="210">
        <v>1</v>
      </c>
      <c r="J1273" s="210" t="s">
        <v>15</v>
      </c>
      <c r="K1273" s="210" t="s">
        <v>54</v>
      </c>
      <c r="L1273" s="211" t="s">
        <v>60</v>
      </c>
      <c r="M1273" s="211" t="s">
        <v>17</v>
      </c>
    </row>
    <row r="1274" spans="1:13" x14ac:dyDescent="0.2">
      <c r="A1274" s="211" t="s">
        <v>55</v>
      </c>
      <c r="B1274" s="211" t="s">
        <v>58</v>
      </c>
      <c r="C1274" s="211" t="s">
        <v>19</v>
      </c>
      <c r="D1274" s="211" t="s">
        <v>12</v>
      </c>
      <c r="E1274" s="208">
        <v>42932</v>
      </c>
      <c r="F1274" s="209">
        <v>19.754897799999998</v>
      </c>
      <c r="G1274" s="210" t="s">
        <v>13</v>
      </c>
      <c r="H1274" s="211" t="s">
        <v>14</v>
      </c>
      <c r="I1274" s="210">
        <v>1</v>
      </c>
      <c r="J1274" s="210" t="s">
        <v>15</v>
      </c>
      <c r="K1274" s="210" t="s">
        <v>54</v>
      </c>
      <c r="L1274" s="211" t="s">
        <v>60</v>
      </c>
      <c r="M1274" s="211" t="s">
        <v>56</v>
      </c>
    </row>
    <row r="1275" spans="1:13" x14ac:dyDescent="0.2">
      <c r="A1275" s="211" t="s">
        <v>55</v>
      </c>
      <c r="B1275" s="211" t="s">
        <v>58</v>
      </c>
      <c r="C1275" s="211" t="s">
        <v>19</v>
      </c>
      <c r="D1275" s="211" t="s">
        <v>12</v>
      </c>
      <c r="E1275" s="208">
        <v>42932</v>
      </c>
      <c r="F1275" s="221">
        <v>7699.0407713000004</v>
      </c>
      <c r="G1275" s="210" t="s">
        <v>16</v>
      </c>
      <c r="H1275" s="211" t="s">
        <v>14</v>
      </c>
      <c r="I1275" s="210">
        <v>1</v>
      </c>
      <c r="J1275" s="210" t="s">
        <v>15</v>
      </c>
      <c r="K1275" s="210" t="s">
        <v>54</v>
      </c>
      <c r="L1275" s="211" t="s">
        <v>60</v>
      </c>
      <c r="M1275" s="211" t="s">
        <v>56</v>
      </c>
    </row>
    <row r="1276" spans="1:13" x14ac:dyDescent="0.2">
      <c r="A1276" s="211" t="s">
        <v>55</v>
      </c>
      <c r="B1276" s="211" t="s">
        <v>58</v>
      </c>
      <c r="C1276" s="211" t="s">
        <v>19</v>
      </c>
      <c r="D1276" s="211" t="s">
        <v>12</v>
      </c>
      <c r="E1276" s="208">
        <v>42932</v>
      </c>
      <c r="F1276" s="209">
        <v>6.28</v>
      </c>
      <c r="G1276" s="210" t="s">
        <v>13</v>
      </c>
      <c r="H1276" s="211" t="s">
        <v>18</v>
      </c>
      <c r="I1276" s="210">
        <v>1</v>
      </c>
      <c r="J1276" s="210" t="s">
        <v>15</v>
      </c>
      <c r="K1276" s="210" t="s">
        <v>54</v>
      </c>
      <c r="L1276" s="211" t="s">
        <v>60</v>
      </c>
      <c r="M1276" s="211" t="s">
        <v>17</v>
      </c>
    </row>
    <row r="1277" spans="1:13" x14ac:dyDescent="0.2">
      <c r="A1277" s="211" t="s">
        <v>55</v>
      </c>
      <c r="B1277" s="211" t="s">
        <v>58</v>
      </c>
      <c r="C1277" s="211" t="s">
        <v>19</v>
      </c>
      <c r="D1277" s="211" t="s">
        <v>12</v>
      </c>
      <c r="E1277" s="208">
        <v>42932</v>
      </c>
      <c r="F1277" s="221">
        <v>2461.6343999999999</v>
      </c>
      <c r="G1277" s="210" t="s">
        <v>16</v>
      </c>
      <c r="H1277" s="211" t="s">
        <v>18</v>
      </c>
      <c r="I1277" s="210">
        <v>1</v>
      </c>
      <c r="J1277" s="210" t="s">
        <v>15</v>
      </c>
      <c r="K1277" s="210" t="s">
        <v>54</v>
      </c>
      <c r="L1277" s="211" t="s">
        <v>60</v>
      </c>
      <c r="M1277" s="211" t="s">
        <v>17</v>
      </c>
    </row>
    <row r="1278" spans="1:13" x14ac:dyDescent="0.2">
      <c r="A1278" s="211" t="s">
        <v>55</v>
      </c>
      <c r="B1278" s="211" t="s">
        <v>58</v>
      </c>
      <c r="C1278" s="211" t="s">
        <v>19</v>
      </c>
      <c r="D1278" s="211" t="s">
        <v>12</v>
      </c>
      <c r="E1278" s="208">
        <v>42931</v>
      </c>
      <c r="F1278" s="209">
        <v>13.013043700000001</v>
      </c>
      <c r="G1278" s="210" t="s">
        <v>13</v>
      </c>
      <c r="H1278" s="211" t="s">
        <v>14</v>
      </c>
      <c r="I1278" s="210">
        <v>1</v>
      </c>
      <c r="J1278" s="210" t="s">
        <v>15</v>
      </c>
      <c r="K1278" s="210" t="s">
        <v>54</v>
      </c>
      <c r="L1278" s="211" t="s">
        <v>60</v>
      </c>
      <c r="M1278" s="211" t="s">
        <v>56</v>
      </c>
    </row>
    <row r="1279" spans="1:13" x14ac:dyDescent="0.2">
      <c r="A1279" s="211" t="s">
        <v>55</v>
      </c>
      <c r="B1279" s="211" t="s">
        <v>58</v>
      </c>
      <c r="C1279" s="211" t="s">
        <v>19</v>
      </c>
      <c r="D1279" s="211" t="s">
        <v>12</v>
      </c>
      <c r="E1279" s="208">
        <v>42931</v>
      </c>
      <c r="F1279" s="221">
        <v>4561.4648224000002</v>
      </c>
      <c r="G1279" s="210" t="s">
        <v>16</v>
      </c>
      <c r="H1279" s="211" t="s">
        <v>14</v>
      </c>
      <c r="I1279" s="210">
        <v>1</v>
      </c>
      <c r="J1279" s="210" t="s">
        <v>15</v>
      </c>
      <c r="K1279" s="210" t="s">
        <v>54</v>
      </c>
      <c r="L1279" s="211" t="s">
        <v>60</v>
      </c>
      <c r="M1279" s="211" t="s">
        <v>56</v>
      </c>
    </row>
    <row r="1280" spans="1:13" x14ac:dyDescent="0.2">
      <c r="A1280" s="211" t="s">
        <v>55</v>
      </c>
      <c r="B1280" s="211" t="s">
        <v>58</v>
      </c>
      <c r="C1280" s="211" t="s">
        <v>19</v>
      </c>
      <c r="D1280" s="211" t="s">
        <v>12</v>
      </c>
      <c r="E1280" s="208">
        <v>42931</v>
      </c>
      <c r="F1280" s="209">
        <v>6.56</v>
      </c>
      <c r="G1280" s="210" t="s">
        <v>13</v>
      </c>
      <c r="H1280" s="211" t="s">
        <v>18</v>
      </c>
      <c r="I1280" s="210">
        <v>1</v>
      </c>
      <c r="J1280" s="210" t="s">
        <v>15</v>
      </c>
      <c r="K1280" s="210" t="s">
        <v>54</v>
      </c>
      <c r="L1280" s="211" t="s">
        <v>60</v>
      </c>
      <c r="M1280" s="211" t="s">
        <v>17</v>
      </c>
    </row>
    <row r="1281" spans="1:13" x14ac:dyDescent="0.2">
      <c r="A1281" s="211" t="s">
        <v>55</v>
      </c>
      <c r="B1281" s="211" t="s">
        <v>58</v>
      </c>
      <c r="C1281" s="211" t="s">
        <v>19</v>
      </c>
      <c r="D1281" s="211" t="s">
        <v>12</v>
      </c>
      <c r="E1281" s="208">
        <v>42931</v>
      </c>
      <c r="F1281" s="221">
        <v>2374.43136</v>
      </c>
      <c r="G1281" s="210" t="s">
        <v>16</v>
      </c>
      <c r="H1281" s="211" t="s">
        <v>18</v>
      </c>
      <c r="I1281" s="210">
        <v>1</v>
      </c>
      <c r="J1281" s="210" t="s">
        <v>15</v>
      </c>
      <c r="K1281" s="210" t="s">
        <v>54</v>
      </c>
      <c r="L1281" s="211" t="s">
        <v>60</v>
      </c>
      <c r="M1281" s="211" t="s">
        <v>17</v>
      </c>
    </row>
    <row r="1282" spans="1:13" x14ac:dyDescent="0.2">
      <c r="A1282" s="211" t="s">
        <v>55</v>
      </c>
      <c r="B1282" s="211" t="s">
        <v>58</v>
      </c>
      <c r="C1282" s="211" t="s">
        <v>19</v>
      </c>
      <c r="D1282" s="211" t="s">
        <v>12</v>
      </c>
      <c r="E1282" s="208">
        <v>42930</v>
      </c>
      <c r="F1282" s="209">
        <v>12.4306815</v>
      </c>
      <c r="G1282" s="210" t="s">
        <v>13</v>
      </c>
      <c r="H1282" s="211" t="s">
        <v>14</v>
      </c>
      <c r="I1282" s="210">
        <v>1</v>
      </c>
      <c r="J1282" s="210" t="s">
        <v>15</v>
      </c>
      <c r="K1282" s="210" t="s">
        <v>54</v>
      </c>
      <c r="L1282" s="211" t="s">
        <v>60</v>
      </c>
      <c r="M1282" s="211" t="s">
        <v>56</v>
      </c>
    </row>
    <row r="1283" spans="1:13" x14ac:dyDescent="0.2">
      <c r="A1283" s="211" t="s">
        <v>55</v>
      </c>
      <c r="B1283" s="211" t="s">
        <v>58</v>
      </c>
      <c r="C1283" s="211" t="s">
        <v>19</v>
      </c>
      <c r="D1283" s="211" t="s">
        <v>12</v>
      </c>
      <c r="E1283" s="208">
        <v>42930</v>
      </c>
      <c r="F1283" s="221">
        <v>4672.4918338999996</v>
      </c>
      <c r="G1283" s="210" t="s">
        <v>16</v>
      </c>
      <c r="H1283" s="211" t="s">
        <v>14</v>
      </c>
      <c r="I1283" s="210">
        <v>1</v>
      </c>
      <c r="J1283" s="210" t="s">
        <v>15</v>
      </c>
      <c r="K1283" s="210" t="s">
        <v>54</v>
      </c>
      <c r="L1283" s="211" t="s">
        <v>60</v>
      </c>
      <c r="M1283" s="211" t="s">
        <v>56</v>
      </c>
    </row>
    <row r="1284" spans="1:13" x14ac:dyDescent="0.2">
      <c r="A1284" s="211" t="s">
        <v>55</v>
      </c>
      <c r="B1284" s="211" t="s">
        <v>58</v>
      </c>
      <c r="C1284" s="211" t="s">
        <v>19</v>
      </c>
      <c r="D1284" s="211" t="s">
        <v>12</v>
      </c>
      <c r="E1284" s="208">
        <v>42930</v>
      </c>
      <c r="F1284" s="209">
        <v>7.47</v>
      </c>
      <c r="G1284" s="210" t="s">
        <v>13</v>
      </c>
      <c r="H1284" s="211" t="s">
        <v>18</v>
      </c>
      <c r="I1284" s="210">
        <v>1</v>
      </c>
      <c r="J1284" s="210" t="s">
        <v>15</v>
      </c>
      <c r="K1284" s="210" t="s">
        <v>54</v>
      </c>
      <c r="L1284" s="211" t="s">
        <v>60</v>
      </c>
      <c r="M1284" s="211" t="s">
        <v>17</v>
      </c>
    </row>
    <row r="1285" spans="1:13" x14ac:dyDescent="0.2">
      <c r="A1285" s="211" t="s">
        <v>55</v>
      </c>
      <c r="B1285" s="211" t="s">
        <v>58</v>
      </c>
      <c r="C1285" s="211" t="s">
        <v>19</v>
      </c>
      <c r="D1285" s="211" t="s">
        <v>12</v>
      </c>
      <c r="E1285" s="208">
        <v>42930</v>
      </c>
      <c r="F1285" s="221">
        <v>2909.4006599999998</v>
      </c>
      <c r="G1285" s="210" t="s">
        <v>16</v>
      </c>
      <c r="H1285" s="211" t="s">
        <v>18</v>
      </c>
      <c r="I1285" s="210">
        <v>1</v>
      </c>
      <c r="J1285" s="210" t="s">
        <v>15</v>
      </c>
      <c r="K1285" s="210" t="s">
        <v>54</v>
      </c>
      <c r="L1285" s="211" t="s">
        <v>60</v>
      </c>
      <c r="M1285" s="211" t="s">
        <v>17</v>
      </c>
    </row>
    <row r="1286" spans="1:13" x14ac:dyDescent="0.2">
      <c r="A1286" s="211" t="s">
        <v>55</v>
      </c>
      <c r="B1286" s="211" t="s">
        <v>58</v>
      </c>
      <c r="C1286" s="211" t="s">
        <v>19</v>
      </c>
      <c r="D1286" s="211" t="s">
        <v>12</v>
      </c>
      <c r="E1286" s="208">
        <v>42929</v>
      </c>
      <c r="F1286" s="209">
        <v>9.6255489999999995</v>
      </c>
      <c r="G1286" s="210" t="s">
        <v>13</v>
      </c>
      <c r="H1286" s="211" t="s">
        <v>14</v>
      </c>
      <c r="I1286" s="210">
        <v>1</v>
      </c>
      <c r="J1286" s="210" t="s">
        <v>15</v>
      </c>
      <c r="K1286" s="210" t="s">
        <v>54</v>
      </c>
      <c r="L1286" s="211" t="s">
        <v>60</v>
      </c>
      <c r="M1286" s="211" t="s">
        <v>56</v>
      </c>
    </row>
    <row r="1287" spans="1:13" x14ac:dyDescent="0.2">
      <c r="A1287" s="211" t="s">
        <v>55</v>
      </c>
      <c r="B1287" s="211" t="s">
        <v>58</v>
      </c>
      <c r="C1287" s="211" t="s">
        <v>19</v>
      </c>
      <c r="D1287" s="211" t="s">
        <v>12</v>
      </c>
      <c r="E1287" s="208">
        <v>42929</v>
      </c>
      <c r="F1287" s="221">
        <v>3830.0194624999999</v>
      </c>
      <c r="G1287" s="210" t="s">
        <v>16</v>
      </c>
      <c r="H1287" s="211" t="s">
        <v>14</v>
      </c>
      <c r="I1287" s="210">
        <v>1</v>
      </c>
      <c r="J1287" s="210" t="s">
        <v>15</v>
      </c>
      <c r="K1287" s="210" t="s">
        <v>54</v>
      </c>
      <c r="L1287" s="211" t="s">
        <v>60</v>
      </c>
      <c r="M1287" s="211" t="s">
        <v>56</v>
      </c>
    </row>
    <row r="1288" spans="1:13" x14ac:dyDescent="0.2">
      <c r="A1288" s="211" t="s">
        <v>55</v>
      </c>
      <c r="B1288" s="211" t="s">
        <v>58</v>
      </c>
      <c r="C1288" s="211" t="s">
        <v>19</v>
      </c>
      <c r="D1288" s="211" t="s">
        <v>12</v>
      </c>
      <c r="E1288" s="208">
        <v>42929</v>
      </c>
      <c r="F1288" s="209">
        <v>6.47</v>
      </c>
      <c r="G1288" s="210" t="s">
        <v>13</v>
      </c>
      <c r="H1288" s="211" t="s">
        <v>18</v>
      </c>
      <c r="I1288" s="210">
        <v>1</v>
      </c>
      <c r="J1288" s="210" t="s">
        <v>15</v>
      </c>
      <c r="K1288" s="210" t="s">
        <v>54</v>
      </c>
      <c r="L1288" s="211" t="s">
        <v>60</v>
      </c>
      <c r="M1288" s="211" t="s">
        <v>17</v>
      </c>
    </row>
    <row r="1289" spans="1:13" x14ac:dyDescent="0.2">
      <c r="A1289" s="211" t="s">
        <v>55</v>
      </c>
      <c r="B1289" s="211" t="s">
        <v>58</v>
      </c>
      <c r="C1289" s="211" t="s">
        <v>19</v>
      </c>
      <c r="D1289" s="211" t="s">
        <v>12</v>
      </c>
      <c r="E1289" s="208">
        <v>42929</v>
      </c>
      <c r="F1289" s="221">
        <v>2660.2181399999999</v>
      </c>
      <c r="G1289" s="210" t="s">
        <v>16</v>
      </c>
      <c r="H1289" s="211" t="s">
        <v>18</v>
      </c>
      <c r="I1289" s="210">
        <v>1</v>
      </c>
      <c r="J1289" s="210" t="s">
        <v>15</v>
      </c>
      <c r="K1289" s="210" t="s">
        <v>54</v>
      </c>
      <c r="L1289" s="211" t="s">
        <v>60</v>
      </c>
      <c r="M1289" s="211" t="s">
        <v>17</v>
      </c>
    </row>
    <row r="1290" spans="1:13" x14ac:dyDescent="0.2">
      <c r="A1290" s="211" t="s">
        <v>55</v>
      </c>
      <c r="B1290" s="211" t="s">
        <v>58</v>
      </c>
      <c r="C1290" s="211" t="s">
        <v>19</v>
      </c>
      <c r="D1290" s="211" t="s">
        <v>12</v>
      </c>
      <c r="E1290" s="208">
        <v>42928</v>
      </c>
      <c r="F1290" s="209">
        <v>11.6664841</v>
      </c>
      <c r="G1290" s="210" t="s">
        <v>13</v>
      </c>
      <c r="H1290" s="211" t="s">
        <v>14</v>
      </c>
      <c r="I1290" s="210">
        <v>1</v>
      </c>
      <c r="J1290" s="210" t="s">
        <v>15</v>
      </c>
      <c r="K1290" s="210" t="s">
        <v>54</v>
      </c>
      <c r="L1290" s="211" t="s">
        <v>60</v>
      </c>
      <c r="M1290" s="211" t="s">
        <v>56</v>
      </c>
    </row>
    <row r="1291" spans="1:13" x14ac:dyDescent="0.2">
      <c r="A1291" s="211" t="s">
        <v>55</v>
      </c>
      <c r="B1291" s="211" t="s">
        <v>58</v>
      </c>
      <c r="C1291" s="211" t="s">
        <v>19</v>
      </c>
      <c r="D1291" s="211" t="s">
        <v>12</v>
      </c>
      <c r="E1291" s="208">
        <v>42928</v>
      </c>
      <c r="F1291" s="221">
        <v>4831.8424284000002</v>
      </c>
      <c r="G1291" s="210" t="s">
        <v>16</v>
      </c>
      <c r="H1291" s="211" t="s">
        <v>14</v>
      </c>
      <c r="I1291" s="210">
        <v>1</v>
      </c>
      <c r="J1291" s="210" t="s">
        <v>15</v>
      </c>
      <c r="K1291" s="210" t="s">
        <v>54</v>
      </c>
      <c r="L1291" s="211" t="s">
        <v>60</v>
      </c>
      <c r="M1291" s="211" t="s">
        <v>56</v>
      </c>
    </row>
    <row r="1292" spans="1:13" x14ac:dyDescent="0.2">
      <c r="A1292" s="211" t="s">
        <v>55</v>
      </c>
      <c r="B1292" s="211" t="s">
        <v>58</v>
      </c>
      <c r="C1292" s="211" t="s">
        <v>19</v>
      </c>
      <c r="D1292" s="211" t="s">
        <v>12</v>
      </c>
      <c r="E1292" s="208">
        <v>42928</v>
      </c>
      <c r="F1292" s="209">
        <v>5.1100000000000003</v>
      </c>
      <c r="G1292" s="210" t="s">
        <v>13</v>
      </c>
      <c r="H1292" s="211" t="s">
        <v>18</v>
      </c>
      <c r="I1292" s="210">
        <v>1</v>
      </c>
      <c r="J1292" s="210" t="s">
        <v>15</v>
      </c>
      <c r="K1292" s="210" t="s">
        <v>54</v>
      </c>
      <c r="L1292" s="211" t="s">
        <v>60</v>
      </c>
      <c r="M1292" s="211" t="s">
        <v>17</v>
      </c>
    </row>
    <row r="1293" spans="1:13" x14ac:dyDescent="0.2">
      <c r="A1293" s="211" t="s">
        <v>55</v>
      </c>
      <c r="B1293" s="211" t="s">
        <v>58</v>
      </c>
      <c r="C1293" s="211" t="s">
        <v>19</v>
      </c>
      <c r="D1293" s="211" t="s">
        <v>12</v>
      </c>
      <c r="E1293" s="208">
        <v>42928</v>
      </c>
      <c r="F1293" s="221">
        <v>2135.1317399999998</v>
      </c>
      <c r="G1293" s="210" t="s">
        <v>16</v>
      </c>
      <c r="H1293" s="211" t="s">
        <v>18</v>
      </c>
      <c r="I1293" s="210">
        <v>1</v>
      </c>
      <c r="J1293" s="210" t="s">
        <v>15</v>
      </c>
      <c r="K1293" s="210" t="s">
        <v>54</v>
      </c>
      <c r="L1293" s="211" t="s">
        <v>60</v>
      </c>
      <c r="M1293" s="211" t="s">
        <v>17</v>
      </c>
    </row>
    <row r="1294" spans="1:13" x14ac:dyDescent="0.2">
      <c r="A1294" s="211" t="s">
        <v>55</v>
      </c>
      <c r="B1294" s="211" t="s">
        <v>58</v>
      </c>
      <c r="C1294" s="211" t="s">
        <v>19</v>
      </c>
      <c r="D1294" s="211" t="s">
        <v>12</v>
      </c>
      <c r="E1294" s="208">
        <v>42927</v>
      </c>
      <c r="F1294" s="209">
        <v>7.0549429000000003</v>
      </c>
      <c r="G1294" s="210" t="s">
        <v>13</v>
      </c>
      <c r="H1294" s="211" t="s">
        <v>14</v>
      </c>
      <c r="I1294" s="210">
        <v>1</v>
      </c>
      <c r="J1294" s="210" t="s">
        <v>15</v>
      </c>
      <c r="K1294" s="210" t="s">
        <v>54</v>
      </c>
      <c r="L1294" s="211" t="s">
        <v>60</v>
      </c>
      <c r="M1294" s="211" t="s">
        <v>56</v>
      </c>
    </row>
    <row r="1295" spans="1:13" x14ac:dyDescent="0.2">
      <c r="A1295" s="211" t="s">
        <v>55</v>
      </c>
      <c r="B1295" s="211" t="s">
        <v>58</v>
      </c>
      <c r="C1295" s="211" t="s">
        <v>19</v>
      </c>
      <c r="D1295" s="211" t="s">
        <v>12</v>
      </c>
      <c r="E1295" s="208">
        <v>42927</v>
      </c>
      <c r="F1295" s="221">
        <v>2912.4920885000001</v>
      </c>
      <c r="G1295" s="210" t="s">
        <v>16</v>
      </c>
      <c r="H1295" s="211" t="s">
        <v>14</v>
      </c>
      <c r="I1295" s="210">
        <v>1</v>
      </c>
      <c r="J1295" s="210" t="s">
        <v>15</v>
      </c>
      <c r="K1295" s="210" t="s">
        <v>54</v>
      </c>
      <c r="L1295" s="211" t="s">
        <v>60</v>
      </c>
      <c r="M1295" s="211" t="s">
        <v>56</v>
      </c>
    </row>
    <row r="1296" spans="1:13" x14ac:dyDescent="0.2">
      <c r="A1296" s="211" t="s">
        <v>55</v>
      </c>
      <c r="B1296" s="211" t="s">
        <v>58</v>
      </c>
      <c r="C1296" s="211" t="s">
        <v>19</v>
      </c>
      <c r="D1296" s="211" t="s">
        <v>12</v>
      </c>
      <c r="E1296" s="208">
        <v>42927</v>
      </c>
      <c r="F1296" s="209">
        <v>4.76</v>
      </c>
      <c r="G1296" s="210" t="s">
        <v>13</v>
      </c>
      <c r="H1296" s="211" t="s">
        <v>18</v>
      </c>
      <c r="I1296" s="210">
        <v>1</v>
      </c>
      <c r="J1296" s="210" t="s">
        <v>15</v>
      </c>
      <c r="K1296" s="210" t="s">
        <v>54</v>
      </c>
      <c r="L1296" s="211" t="s">
        <v>60</v>
      </c>
      <c r="M1296" s="211" t="s">
        <v>17</v>
      </c>
    </row>
    <row r="1297" spans="1:13" x14ac:dyDescent="0.2">
      <c r="A1297" s="211" t="s">
        <v>55</v>
      </c>
      <c r="B1297" s="211" t="s">
        <v>58</v>
      </c>
      <c r="C1297" s="211" t="s">
        <v>19</v>
      </c>
      <c r="D1297" s="211" t="s">
        <v>12</v>
      </c>
      <c r="E1297" s="208">
        <v>42927</v>
      </c>
      <c r="F1297" s="221">
        <v>1965.0708</v>
      </c>
      <c r="G1297" s="210" t="s">
        <v>16</v>
      </c>
      <c r="H1297" s="211" t="s">
        <v>18</v>
      </c>
      <c r="I1297" s="210">
        <v>1</v>
      </c>
      <c r="J1297" s="210" t="s">
        <v>15</v>
      </c>
      <c r="K1297" s="210" t="s">
        <v>54</v>
      </c>
      <c r="L1297" s="211" t="s">
        <v>60</v>
      </c>
      <c r="M1297" s="211" t="s">
        <v>17</v>
      </c>
    </row>
    <row r="1298" spans="1:13" x14ac:dyDescent="0.2">
      <c r="A1298" s="211" t="s">
        <v>55</v>
      </c>
      <c r="B1298" s="211" t="s">
        <v>58</v>
      </c>
      <c r="C1298" s="211" t="s">
        <v>19</v>
      </c>
      <c r="D1298" s="211" t="s">
        <v>12</v>
      </c>
      <c r="E1298" s="208">
        <v>42926</v>
      </c>
      <c r="F1298" s="209">
        <v>9.4391729000000009</v>
      </c>
      <c r="G1298" s="210" t="s">
        <v>13</v>
      </c>
      <c r="H1298" s="211" t="s">
        <v>14</v>
      </c>
      <c r="I1298" s="210">
        <v>1</v>
      </c>
      <c r="J1298" s="210" t="s">
        <v>15</v>
      </c>
      <c r="K1298" s="210" t="s">
        <v>54</v>
      </c>
      <c r="L1298" s="211" t="s">
        <v>60</v>
      </c>
      <c r="M1298" s="211" t="s">
        <v>56</v>
      </c>
    </row>
    <row r="1299" spans="1:13" x14ac:dyDescent="0.2">
      <c r="A1299" s="211" t="s">
        <v>55</v>
      </c>
      <c r="B1299" s="211" t="s">
        <v>58</v>
      </c>
      <c r="C1299" s="211" t="s">
        <v>19</v>
      </c>
      <c r="D1299" s="211" t="s">
        <v>12</v>
      </c>
      <c r="E1299" s="208">
        <v>42926</v>
      </c>
      <c r="F1299" s="221">
        <v>4414.7691371999999</v>
      </c>
      <c r="G1299" s="210" t="s">
        <v>16</v>
      </c>
      <c r="H1299" s="211" t="s">
        <v>14</v>
      </c>
      <c r="I1299" s="210">
        <v>1</v>
      </c>
      <c r="J1299" s="210" t="s">
        <v>15</v>
      </c>
      <c r="K1299" s="210" t="s">
        <v>54</v>
      </c>
      <c r="L1299" s="211" t="s">
        <v>60</v>
      </c>
      <c r="M1299" s="211" t="s">
        <v>56</v>
      </c>
    </row>
    <row r="1300" spans="1:13" x14ac:dyDescent="0.2">
      <c r="A1300" s="211" t="s">
        <v>55</v>
      </c>
      <c r="B1300" s="211" t="s">
        <v>58</v>
      </c>
      <c r="C1300" s="211" t="s">
        <v>19</v>
      </c>
      <c r="D1300" s="211" t="s">
        <v>12</v>
      </c>
      <c r="E1300" s="208">
        <v>42926</v>
      </c>
      <c r="F1300" s="209">
        <v>7.35</v>
      </c>
      <c r="G1300" s="210" t="s">
        <v>13</v>
      </c>
      <c r="H1300" s="211" t="s">
        <v>18</v>
      </c>
      <c r="I1300" s="210">
        <v>1</v>
      </c>
      <c r="J1300" s="210" t="s">
        <v>15</v>
      </c>
      <c r="K1300" s="210" t="s">
        <v>54</v>
      </c>
      <c r="L1300" s="211" t="s">
        <v>60</v>
      </c>
      <c r="M1300" s="211" t="s">
        <v>17</v>
      </c>
    </row>
    <row r="1301" spans="1:13" x14ac:dyDescent="0.2">
      <c r="A1301" s="211" t="s">
        <v>55</v>
      </c>
      <c r="B1301" s="211" t="s">
        <v>58</v>
      </c>
      <c r="C1301" s="211" t="s">
        <v>19</v>
      </c>
      <c r="D1301" s="211" t="s">
        <v>12</v>
      </c>
      <c r="E1301" s="208">
        <v>42926</v>
      </c>
      <c r="F1301" s="221">
        <v>3451.1336999999999</v>
      </c>
      <c r="G1301" s="210" t="s">
        <v>16</v>
      </c>
      <c r="H1301" s="211" t="s">
        <v>18</v>
      </c>
      <c r="I1301" s="210">
        <v>1</v>
      </c>
      <c r="J1301" s="210" t="s">
        <v>15</v>
      </c>
      <c r="K1301" s="210" t="s">
        <v>54</v>
      </c>
      <c r="L1301" s="211" t="s">
        <v>60</v>
      </c>
      <c r="M1301" s="211" t="s">
        <v>17</v>
      </c>
    </row>
    <row r="1302" spans="1:13" x14ac:dyDescent="0.2">
      <c r="A1302" s="211" t="s">
        <v>55</v>
      </c>
      <c r="B1302" s="211" t="s">
        <v>58</v>
      </c>
      <c r="C1302" s="211" t="s">
        <v>19</v>
      </c>
      <c r="D1302" s="211" t="s">
        <v>12</v>
      </c>
      <c r="E1302" s="208">
        <v>42925</v>
      </c>
      <c r="F1302" s="209">
        <v>11.813988800000001</v>
      </c>
      <c r="G1302" s="210" t="s">
        <v>13</v>
      </c>
      <c r="H1302" s="211" t="s">
        <v>14</v>
      </c>
      <c r="I1302" s="210">
        <v>1</v>
      </c>
      <c r="J1302" s="210" t="s">
        <v>15</v>
      </c>
      <c r="K1302" s="210" t="s">
        <v>54</v>
      </c>
      <c r="L1302" s="211" t="s">
        <v>60</v>
      </c>
      <c r="M1302" s="211" t="s">
        <v>56</v>
      </c>
    </row>
    <row r="1303" spans="1:13" x14ac:dyDescent="0.2">
      <c r="A1303" s="211" t="s">
        <v>55</v>
      </c>
      <c r="B1303" s="211" t="s">
        <v>58</v>
      </c>
      <c r="C1303" s="211" t="s">
        <v>19</v>
      </c>
      <c r="D1303" s="211" t="s">
        <v>12</v>
      </c>
      <c r="E1303" s="208">
        <v>42925</v>
      </c>
      <c r="F1303" s="221">
        <v>4491.9219419000001</v>
      </c>
      <c r="G1303" s="210" t="s">
        <v>16</v>
      </c>
      <c r="H1303" s="211" t="s">
        <v>14</v>
      </c>
      <c r="I1303" s="210">
        <v>1</v>
      </c>
      <c r="J1303" s="210" t="s">
        <v>15</v>
      </c>
      <c r="K1303" s="210" t="s">
        <v>54</v>
      </c>
      <c r="L1303" s="211" t="s">
        <v>60</v>
      </c>
      <c r="M1303" s="211" t="s">
        <v>56</v>
      </c>
    </row>
    <row r="1304" spans="1:13" x14ac:dyDescent="0.2">
      <c r="A1304" s="211" t="s">
        <v>55</v>
      </c>
      <c r="B1304" s="211" t="s">
        <v>58</v>
      </c>
      <c r="C1304" s="211" t="s">
        <v>19</v>
      </c>
      <c r="D1304" s="211" t="s">
        <v>12</v>
      </c>
      <c r="E1304" s="208">
        <v>42925</v>
      </c>
      <c r="F1304" s="209">
        <v>7.7</v>
      </c>
      <c r="G1304" s="210" t="s">
        <v>13</v>
      </c>
      <c r="H1304" s="211" t="s">
        <v>18</v>
      </c>
      <c r="I1304" s="210">
        <v>1</v>
      </c>
      <c r="J1304" s="210" t="s">
        <v>15</v>
      </c>
      <c r="K1304" s="210" t="s">
        <v>54</v>
      </c>
      <c r="L1304" s="211" t="s">
        <v>60</v>
      </c>
      <c r="M1304" s="211" t="s">
        <v>17</v>
      </c>
    </row>
    <row r="1305" spans="1:13" x14ac:dyDescent="0.2">
      <c r="A1305" s="211" t="s">
        <v>55</v>
      </c>
      <c r="B1305" s="211" t="s">
        <v>58</v>
      </c>
      <c r="C1305" s="211" t="s">
        <v>19</v>
      </c>
      <c r="D1305" s="211" t="s">
        <v>12</v>
      </c>
      <c r="E1305" s="208">
        <v>42925</v>
      </c>
      <c r="F1305" s="221">
        <v>3018.2460000000001</v>
      </c>
      <c r="G1305" s="210" t="s">
        <v>16</v>
      </c>
      <c r="H1305" s="211" t="s">
        <v>18</v>
      </c>
      <c r="I1305" s="210">
        <v>1</v>
      </c>
      <c r="J1305" s="210" t="s">
        <v>15</v>
      </c>
      <c r="K1305" s="210" t="s">
        <v>54</v>
      </c>
      <c r="L1305" s="211" t="s">
        <v>60</v>
      </c>
      <c r="M1305" s="211" t="s">
        <v>17</v>
      </c>
    </row>
    <row r="1306" spans="1:13" x14ac:dyDescent="0.2">
      <c r="A1306" s="211" t="s">
        <v>55</v>
      </c>
      <c r="B1306" s="211" t="s">
        <v>58</v>
      </c>
      <c r="C1306" s="211" t="s">
        <v>19</v>
      </c>
      <c r="D1306" s="211" t="s">
        <v>12</v>
      </c>
      <c r="E1306" s="208">
        <v>42924</v>
      </c>
      <c r="F1306" s="209">
        <v>13.0915251</v>
      </c>
      <c r="G1306" s="210" t="s">
        <v>13</v>
      </c>
      <c r="H1306" s="211" t="s">
        <v>14</v>
      </c>
      <c r="I1306" s="210">
        <v>1</v>
      </c>
      <c r="J1306" s="210" t="s">
        <v>15</v>
      </c>
      <c r="K1306" s="210" t="s">
        <v>54</v>
      </c>
      <c r="L1306" s="211" t="s">
        <v>60</v>
      </c>
      <c r="M1306" s="211" t="s">
        <v>56</v>
      </c>
    </row>
    <row r="1307" spans="1:13" x14ac:dyDescent="0.2">
      <c r="A1307" s="211" t="s">
        <v>55</v>
      </c>
      <c r="B1307" s="211" t="s">
        <v>58</v>
      </c>
      <c r="C1307" s="211" t="s">
        <v>19</v>
      </c>
      <c r="D1307" s="211" t="s">
        <v>12</v>
      </c>
      <c r="E1307" s="208">
        <v>42924</v>
      </c>
      <c r="F1307" s="221">
        <v>4606.4442662000001</v>
      </c>
      <c r="G1307" s="210" t="s">
        <v>16</v>
      </c>
      <c r="H1307" s="211" t="s">
        <v>14</v>
      </c>
      <c r="I1307" s="210">
        <v>1</v>
      </c>
      <c r="J1307" s="210" t="s">
        <v>15</v>
      </c>
      <c r="K1307" s="210" t="s">
        <v>54</v>
      </c>
      <c r="L1307" s="211" t="s">
        <v>60</v>
      </c>
      <c r="M1307" s="211" t="s">
        <v>56</v>
      </c>
    </row>
    <row r="1308" spans="1:13" x14ac:dyDescent="0.2">
      <c r="A1308" s="211" t="s">
        <v>55</v>
      </c>
      <c r="B1308" s="211" t="s">
        <v>58</v>
      </c>
      <c r="C1308" s="211" t="s">
        <v>19</v>
      </c>
      <c r="D1308" s="211" t="s">
        <v>12</v>
      </c>
      <c r="E1308" s="208">
        <v>42924</v>
      </c>
      <c r="F1308" s="209">
        <v>7.12</v>
      </c>
      <c r="G1308" s="210" t="s">
        <v>13</v>
      </c>
      <c r="H1308" s="211" t="s">
        <v>18</v>
      </c>
      <c r="I1308" s="210">
        <v>1</v>
      </c>
      <c r="J1308" s="210" t="s">
        <v>15</v>
      </c>
      <c r="K1308" s="210" t="s">
        <v>54</v>
      </c>
      <c r="L1308" s="211" t="s">
        <v>60</v>
      </c>
      <c r="M1308" s="211" t="s">
        <v>17</v>
      </c>
    </row>
    <row r="1309" spans="1:13" x14ac:dyDescent="0.2">
      <c r="A1309" s="211" t="s">
        <v>55</v>
      </c>
      <c r="B1309" s="211" t="s">
        <v>58</v>
      </c>
      <c r="C1309" s="211" t="s">
        <v>19</v>
      </c>
      <c r="D1309" s="211" t="s">
        <v>12</v>
      </c>
      <c r="E1309" s="208">
        <v>42924</v>
      </c>
      <c r="F1309" s="221">
        <v>2600.8790399999998</v>
      </c>
      <c r="G1309" s="210" t="s">
        <v>16</v>
      </c>
      <c r="H1309" s="211" t="s">
        <v>18</v>
      </c>
      <c r="I1309" s="210">
        <v>1</v>
      </c>
      <c r="J1309" s="210" t="s">
        <v>15</v>
      </c>
      <c r="K1309" s="210" t="s">
        <v>54</v>
      </c>
      <c r="L1309" s="211" t="s">
        <v>60</v>
      </c>
      <c r="M1309" s="211" t="s">
        <v>17</v>
      </c>
    </row>
    <row r="1310" spans="1:13" x14ac:dyDescent="0.2">
      <c r="A1310" s="211" t="s">
        <v>55</v>
      </c>
      <c r="B1310" s="211" t="s">
        <v>58</v>
      </c>
      <c r="C1310" s="211" t="s">
        <v>19</v>
      </c>
      <c r="D1310" s="211" t="s">
        <v>12</v>
      </c>
      <c r="E1310" s="208">
        <v>42923</v>
      </c>
      <c r="F1310" s="209">
        <v>12.093137</v>
      </c>
      <c r="G1310" s="210" t="s">
        <v>13</v>
      </c>
      <c r="H1310" s="211" t="s">
        <v>14</v>
      </c>
      <c r="I1310" s="210">
        <v>1</v>
      </c>
      <c r="J1310" s="210" t="s">
        <v>15</v>
      </c>
      <c r="K1310" s="210" t="s">
        <v>54</v>
      </c>
      <c r="L1310" s="211" t="s">
        <v>60</v>
      </c>
      <c r="M1310" s="211" t="s">
        <v>56</v>
      </c>
    </row>
    <row r="1311" spans="1:13" x14ac:dyDescent="0.2">
      <c r="A1311" s="211" t="s">
        <v>55</v>
      </c>
      <c r="B1311" s="211" t="s">
        <v>58</v>
      </c>
      <c r="C1311" s="211" t="s">
        <v>19</v>
      </c>
      <c r="D1311" s="211" t="s">
        <v>12</v>
      </c>
      <c r="E1311" s="208">
        <v>42923</v>
      </c>
      <c r="F1311" s="221">
        <v>4385.2520593999998</v>
      </c>
      <c r="G1311" s="210" t="s">
        <v>16</v>
      </c>
      <c r="H1311" s="211" t="s">
        <v>14</v>
      </c>
      <c r="I1311" s="210">
        <v>1</v>
      </c>
      <c r="J1311" s="210" t="s">
        <v>15</v>
      </c>
      <c r="K1311" s="210" t="s">
        <v>54</v>
      </c>
      <c r="L1311" s="211" t="s">
        <v>60</v>
      </c>
      <c r="M1311" s="211" t="s">
        <v>56</v>
      </c>
    </row>
    <row r="1312" spans="1:13" x14ac:dyDescent="0.2">
      <c r="A1312" s="211" t="s">
        <v>55</v>
      </c>
      <c r="B1312" s="211" t="s">
        <v>58</v>
      </c>
      <c r="C1312" s="211" t="s">
        <v>19</v>
      </c>
      <c r="D1312" s="211" t="s">
        <v>12</v>
      </c>
      <c r="E1312" s="208">
        <v>42923</v>
      </c>
      <c r="F1312" s="209">
        <v>7</v>
      </c>
      <c r="G1312" s="210" t="s">
        <v>13</v>
      </c>
      <c r="H1312" s="211" t="s">
        <v>18</v>
      </c>
      <c r="I1312" s="210">
        <v>1</v>
      </c>
      <c r="J1312" s="210" t="s">
        <v>15</v>
      </c>
      <c r="K1312" s="210" t="s">
        <v>54</v>
      </c>
      <c r="L1312" s="211" t="s">
        <v>60</v>
      </c>
      <c r="M1312" s="211" t="s">
        <v>17</v>
      </c>
    </row>
    <row r="1313" spans="1:13" x14ac:dyDescent="0.2">
      <c r="A1313" s="211" t="s">
        <v>55</v>
      </c>
      <c r="B1313" s="211" t="s">
        <v>58</v>
      </c>
      <c r="C1313" s="211" t="s">
        <v>19</v>
      </c>
      <c r="D1313" s="211" t="s">
        <v>12</v>
      </c>
      <c r="E1313" s="208">
        <v>42923</v>
      </c>
      <c r="F1313" s="221">
        <v>2632.9380000000001</v>
      </c>
      <c r="G1313" s="210" t="s">
        <v>16</v>
      </c>
      <c r="H1313" s="211" t="s">
        <v>18</v>
      </c>
      <c r="I1313" s="210">
        <v>1</v>
      </c>
      <c r="J1313" s="210" t="s">
        <v>15</v>
      </c>
      <c r="K1313" s="210" t="s">
        <v>54</v>
      </c>
      <c r="L1313" s="211" t="s">
        <v>60</v>
      </c>
      <c r="M1313" s="211" t="s">
        <v>17</v>
      </c>
    </row>
    <row r="1314" spans="1:13" x14ac:dyDescent="0.2">
      <c r="A1314" s="211" t="s">
        <v>55</v>
      </c>
      <c r="B1314" s="211" t="s">
        <v>58</v>
      </c>
      <c r="C1314" s="211" t="s">
        <v>19</v>
      </c>
      <c r="D1314" s="211" t="s">
        <v>12</v>
      </c>
      <c r="E1314" s="208">
        <v>42922</v>
      </c>
      <c r="F1314" s="209">
        <v>12.3970901</v>
      </c>
      <c r="G1314" s="210" t="s">
        <v>13</v>
      </c>
      <c r="H1314" s="211" t="s">
        <v>14</v>
      </c>
      <c r="I1314" s="210">
        <v>1</v>
      </c>
      <c r="J1314" s="210" t="s">
        <v>15</v>
      </c>
      <c r="K1314" s="210" t="s">
        <v>54</v>
      </c>
      <c r="L1314" s="211" t="s">
        <v>60</v>
      </c>
      <c r="M1314" s="211" t="s">
        <v>56</v>
      </c>
    </row>
    <row r="1315" spans="1:13" x14ac:dyDescent="0.2">
      <c r="A1315" s="211" t="s">
        <v>55</v>
      </c>
      <c r="B1315" s="211" t="s">
        <v>58</v>
      </c>
      <c r="C1315" s="211" t="s">
        <v>19</v>
      </c>
      <c r="D1315" s="211" t="s">
        <v>12</v>
      </c>
      <c r="E1315" s="208">
        <v>42922</v>
      </c>
      <c r="F1315" s="221">
        <v>4698.1202982000004</v>
      </c>
      <c r="G1315" s="210" t="s">
        <v>16</v>
      </c>
      <c r="H1315" s="211" t="s">
        <v>14</v>
      </c>
      <c r="I1315" s="210">
        <v>1</v>
      </c>
      <c r="J1315" s="210" t="s">
        <v>15</v>
      </c>
      <c r="K1315" s="210" t="s">
        <v>54</v>
      </c>
      <c r="L1315" s="211" t="s">
        <v>60</v>
      </c>
      <c r="M1315" s="211" t="s">
        <v>56</v>
      </c>
    </row>
    <row r="1316" spans="1:13" x14ac:dyDescent="0.2">
      <c r="A1316" s="211" t="s">
        <v>55</v>
      </c>
      <c r="B1316" s="211" t="s">
        <v>58</v>
      </c>
      <c r="C1316" s="211" t="s">
        <v>19</v>
      </c>
      <c r="D1316" s="211" t="s">
        <v>12</v>
      </c>
      <c r="E1316" s="208">
        <v>42922</v>
      </c>
      <c r="F1316" s="209">
        <v>6.77</v>
      </c>
      <c r="G1316" s="210" t="s">
        <v>13</v>
      </c>
      <c r="H1316" s="211" t="s">
        <v>18</v>
      </c>
      <c r="I1316" s="210">
        <v>1</v>
      </c>
      <c r="J1316" s="210" t="s">
        <v>15</v>
      </c>
      <c r="K1316" s="210" t="s">
        <v>54</v>
      </c>
      <c r="L1316" s="211" t="s">
        <v>60</v>
      </c>
      <c r="M1316" s="211" t="s">
        <v>17</v>
      </c>
    </row>
    <row r="1317" spans="1:13" x14ac:dyDescent="0.2">
      <c r="A1317" s="211" t="s">
        <v>55</v>
      </c>
      <c r="B1317" s="211" t="s">
        <v>58</v>
      </c>
      <c r="C1317" s="211" t="s">
        <v>19</v>
      </c>
      <c r="D1317" s="211" t="s">
        <v>12</v>
      </c>
      <c r="E1317" s="208">
        <v>42922</v>
      </c>
      <c r="F1317" s="221">
        <v>2642.4122400000001</v>
      </c>
      <c r="G1317" s="210" t="s">
        <v>16</v>
      </c>
      <c r="H1317" s="211" t="s">
        <v>18</v>
      </c>
      <c r="I1317" s="210">
        <v>1</v>
      </c>
      <c r="J1317" s="210" t="s">
        <v>15</v>
      </c>
      <c r="K1317" s="210" t="s">
        <v>54</v>
      </c>
      <c r="L1317" s="211" t="s">
        <v>60</v>
      </c>
      <c r="M1317" s="211" t="s">
        <v>17</v>
      </c>
    </row>
    <row r="1318" spans="1:13" x14ac:dyDescent="0.2">
      <c r="A1318" s="211" t="s">
        <v>55</v>
      </c>
      <c r="B1318" s="211" t="s">
        <v>58</v>
      </c>
      <c r="C1318" s="211" t="s">
        <v>19</v>
      </c>
      <c r="D1318" s="211" t="s">
        <v>12</v>
      </c>
      <c r="E1318" s="208">
        <v>42921</v>
      </c>
      <c r="F1318" s="209">
        <v>12.181786499999999</v>
      </c>
      <c r="G1318" s="210" t="s">
        <v>13</v>
      </c>
      <c r="H1318" s="211" t="s">
        <v>14</v>
      </c>
      <c r="I1318" s="210">
        <v>1</v>
      </c>
      <c r="J1318" s="210" t="s">
        <v>15</v>
      </c>
      <c r="K1318" s="210" t="s">
        <v>54</v>
      </c>
      <c r="L1318" s="211" t="s">
        <v>60</v>
      </c>
      <c r="M1318" s="211" t="s">
        <v>56</v>
      </c>
    </row>
    <row r="1319" spans="1:13" x14ac:dyDescent="0.2">
      <c r="A1319" s="211" t="s">
        <v>55</v>
      </c>
      <c r="B1319" s="211" t="s">
        <v>58</v>
      </c>
      <c r="C1319" s="211" t="s">
        <v>19</v>
      </c>
      <c r="D1319" s="211" t="s">
        <v>12</v>
      </c>
      <c r="E1319" s="208">
        <v>42921</v>
      </c>
      <c r="F1319" s="221">
        <v>4539.3137562000002</v>
      </c>
      <c r="G1319" s="210" t="s">
        <v>16</v>
      </c>
      <c r="H1319" s="211" t="s">
        <v>14</v>
      </c>
      <c r="I1319" s="210">
        <v>1</v>
      </c>
      <c r="J1319" s="210" t="s">
        <v>15</v>
      </c>
      <c r="K1319" s="210" t="s">
        <v>54</v>
      </c>
      <c r="L1319" s="211" t="s">
        <v>60</v>
      </c>
      <c r="M1319" s="211" t="s">
        <v>56</v>
      </c>
    </row>
    <row r="1320" spans="1:13" x14ac:dyDescent="0.2">
      <c r="A1320" s="211" t="s">
        <v>55</v>
      </c>
      <c r="B1320" s="211" t="s">
        <v>58</v>
      </c>
      <c r="C1320" s="211" t="s">
        <v>19</v>
      </c>
      <c r="D1320" s="211" t="s">
        <v>12</v>
      </c>
      <c r="E1320" s="208">
        <v>42921</v>
      </c>
      <c r="F1320" s="209">
        <v>7.55</v>
      </c>
      <c r="G1320" s="210" t="s">
        <v>13</v>
      </c>
      <c r="H1320" s="211" t="s">
        <v>18</v>
      </c>
      <c r="I1320" s="210">
        <v>1</v>
      </c>
      <c r="J1320" s="210" t="s">
        <v>15</v>
      </c>
      <c r="K1320" s="210" t="s">
        <v>54</v>
      </c>
      <c r="L1320" s="211" t="s">
        <v>60</v>
      </c>
      <c r="M1320" s="211" t="s">
        <v>17</v>
      </c>
    </row>
    <row r="1321" spans="1:13" x14ac:dyDescent="0.2">
      <c r="A1321" s="211" t="s">
        <v>55</v>
      </c>
      <c r="B1321" s="211" t="s">
        <v>58</v>
      </c>
      <c r="C1321" s="211" t="s">
        <v>19</v>
      </c>
      <c r="D1321" s="211" t="s">
        <v>12</v>
      </c>
      <c r="E1321" s="208">
        <v>42921</v>
      </c>
      <c r="F1321" s="221">
        <v>2909.0754000000002</v>
      </c>
      <c r="G1321" s="210" t="s">
        <v>16</v>
      </c>
      <c r="H1321" s="211" t="s">
        <v>18</v>
      </c>
      <c r="I1321" s="210">
        <v>1</v>
      </c>
      <c r="J1321" s="210" t="s">
        <v>15</v>
      </c>
      <c r="K1321" s="210" t="s">
        <v>54</v>
      </c>
      <c r="L1321" s="211" t="s">
        <v>60</v>
      </c>
      <c r="M1321" s="211" t="s">
        <v>17</v>
      </c>
    </row>
    <row r="1322" spans="1:13" x14ac:dyDescent="0.2">
      <c r="A1322" s="211" t="s">
        <v>55</v>
      </c>
      <c r="B1322" s="211" t="s">
        <v>58</v>
      </c>
      <c r="C1322" s="211" t="s">
        <v>19</v>
      </c>
      <c r="D1322" s="211" t="s">
        <v>12</v>
      </c>
      <c r="E1322" s="208">
        <v>42920</v>
      </c>
      <c r="F1322" s="209">
        <v>9.6921575999999998</v>
      </c>
      <c r="G1322" s="210" t="s">
        <v>13</v>
      </c>
      <c r="H1322" s="211" t="s">
        <v>14</v>
      </c>
      <c r="I1322" s="210">
        <v>1</v>
      </c>
      <c r="J1322" s="210" t="s">
        <v>15</v>
      </c>
      <c r="K1322" s="210" t="s">
        <v>54</v>
      </c>
      <c r="L1322" s="211" t="s">
        <v>60</v>
      </c>
      <c r="M1322" s="211" t="s">
        <v>56</v>
      </c>
    </row>
    <row r="1323" spans="1:13" x14ac:dyDescent="0.2">
      <c r="A1323" s="211" t="s">
        <v>55</v>
      </c>
      <c r="B1323" s="211" t="s">
        <v>58</v>
      </c>
      <c r="C1323" s="211" t="s">
        <v>19</v>
      </c>
      <c r="D1323" s="211" t="s">
        <v>12</v>
      </c>
      <c r="E1323" s="208">
        <v>42920</v>
      </c>
      <c r="F1323" s="221">
        <v>3350.5110651999998</v>
      </c>
      <c r="G1323" s="210" t="s">
        <v>16</v>
      </c>
      <c r="H1323" s="211" t="s">
        <v>14</v>
      </c>
      <c r="I1323" s="210">
        <v>1</v>
      </c>
      <c r="J1323" s="210" t="s">
        <v>15</v>
      </c>
      <c r="K1323" s="210" t="s">
        <v>54</v>
      </c>
      <c r="L1323" s="211" t="s">
        <v>60</v>
      </c>
      <c r="M1323" s="211" t="s">
        <v>56</v>
      </c>
    </row>
    <row r="1324" spans="1:13" x14ac:dyDescent="0.2">
      <c r="A1324" s="211" t="s">
        <v>55</v>
      </c>
      <c r="B1324" s="211" t="s">
        <v>58</v>
      </c>
      <c r="C1324" s="211" t="s">
        <v>19</v>
      </c>
      <c r="D1324" s="211" t="s">
        <v>12</v>
      </c>
      <c r="E1324" s="208">
        <v>42920</v>
      </c>
      <c r="F1324" s="209">
        <v>7.55</v>
      </c>
      <c r="G1324" s="210" t="s">
        <v>13</v>
      </c>
      <c r="H1324" s="211" t="s">
        <v>18</v>
      </c>
      <c r="I1324" s="210">
        <v>1</v>
      </c>
      <c r="J1324" s="210" t="s">
        <v>15</v>
      </c>
      <c r="K1324" s="210" t="s">
        <v>54</v>
      </c>
      <c r="L1324" s="211" t="s">
        <v>60</v>
      </c>
      <c r="M1324" s="211" t="s">
        <v>17</v>
      </c>
    </row>
    <row r="1325" spans="1:13" x14ac:dyDescent="0.2">
      <c r="A1325" s="211" t="s">
        <v>55</v>
      </c>
      <c r="B1325" s="211" t="s">
        <v>58</v>
      </c>
      <c r="C1325" s="211" t="s">
        <v>19</v>
      </c>
      <c r="D1325" s="211" t="s">
        <v>12</v>
      </c>
      <c r="E1325" s="208">
        <v>42920</v>
      </c>
      <c r="F1325" s="221">
        <v>2701.2842999999998</v>
      </c>
      <c r="G1325" s="210" t="s">
        <v>16</v>
      </c>
      <c r="H1325" s="211" t="s">
        <v>18</v>
      </c>
      <c r="I1325" s="210">
        <v>1</v>
      </c>
      <c r="J1325" s="210" t="s">
        <v>15</v>
      </c>
      <c r="K1325" s="210" t="s">
        <v>54</v>
      </c>
      <c r="L1325" s="211" t="s">
        <v>60</v>
      </c>
      <c r="M1325" s="211" t="s">
        <v>17</v>
      </c>
    </row>
    <row r="1326" spans="1:13" x14ac:dyDescent="0.2">
      <c r="A1326" s="211" t="s">
        <v>55</v>
      </c>
      <c r="B1326" s="211" t="s">
        <v>58</v>
      </c>
      <c r="C1326" s="211" t="s">
        <v>19</v>
      </c>
      <c r="D1326" s="211" t="s">
        <v>12</v>
      </c>
      <c r="E1326" s="208">
        <v>42918</v>
      </c>
      <c r="F1326" s="209">
        <v>14.4193073</v>
      </c>
      <c r="G1326" s="210" t="s">
        <v>13</v>
      </c>
      <c r="H1326" s="211" t="s">
        <v>14</v>
      </c>
      <c r="I1326" s="210">
        <v>1</v>
      </c>
      <c r="J1326" s="210" t="s">
        <v>15</v>
      </c>
      <c r="K1326" s="210" t="s">
        <v>54</v>
      </c>
      <c r="L1326" s="211" t="s">
        <v>60</v>
      </c>
      <c r="M1326" s="211" t="s">
        <v>56</v>
      </c>
    </row>
    <row r="1327" spans="1:13" x14ac:dyDescent="0.2">
      <c r="A1327" s="211" t="s">
        <v>55</v>
      </c>
      <c r="B1327" s="211" t="s">
        <v>58</v>
      </c>
      <c r="C1327" s="211" t="s">
        <v>19</v>
      </c>
      <c r="D1327" s="211" t="s">
        <v>12</v>
      </c>
      <c r="E1327" s="208">
        <v>42918</v>
      </c>
      <c r="F1327" s="221">
        <v>4847.5606074999996</v>
      </c>
      <c r="G1327" s="210" t="s">
        <v>16</v>
      </c>
      <c r="H1327" s="211" t="s">
        <v>14</v>
      </c>
      <c r="I1327" s="210">
        <v>1</v>
      </c>
      <c r="J1327" s="210" t="s">
        <v>15</v>
      </c>
      <c r="K1327" s="210" t="s">
        <v>54</v>
      </c>
      <c r="L1327" s="211" t="s">
        <v>60</v>
      </c>
      <c r="M1327" s="211" t="s">
        <v>56</v>
      </c>
    </row>
    <row r="1328" spans="1:13" x14ac:dyDescent="0.2">
      <c r="A1328" s="211" t="s">
        <v>55</v>
      </c>
      <c r="B1328" s="211" t="s">
        <v>58</v>
      </c>
      <c r="C1328" s="211" t="s">
        <v>19</v>
      </c>
      <c r="D1328" s="211" t="s">
        <v>12</v>
      </c>
      <c r="E1328" s="208">
        <v>42918</v>
      </c>
      <c r="F1328" s="209">
        <v>7.85</v>
      </c>
      <c r="G1328" s="210" t="s">
        <v>13</v>
      </c>
      <c r="H1328" s="211" t="s">
        <v>18</v>
      </c>
      <c r="I1328" s="210">
        <v>1</v>
      </c>
      <c r="J1328" s="210" t="s">
        <v>15</v>
      </c>
      <c r="K1328" s="210" t="s">
        <v>54</v>
      </c>
      <c r="L1328" s="211" t="s">
        <v>60</v>
      </c>
      <c r="M1328" s="211" t="s">
        <v>17</v>
      </c>
    </row>
    <row r="1329" spans="1:13" x14ac:dyDescent="0.2">
      <c r="A1329" s="211" t="s">
        <v>55</v>
      </c>
      <c r="B1329" s="211" t="s">
        <v>58</v>
      </c>
      <c r="C1329" s="211" t="s">
        <v>19</v>
      </c>
      <c r="D1329" s="211" t="s">
        <v>12</v>
      </c>
      <c r="E1329" s="208">
        <v>42918</v>
      </c>
      <c r="F1329" s="221">
        <v>2736.6042000000002</v>
      </c>
      <c r="G1329" s="210" t="s">
        <v>16</v>
      </c>
      <c r="H1329" s="211" t="s">
        <v>18</v>
      </c>
      <c r="I1329" s="210">
        <v>1</v>
      </c>
      <c r="J1329" s="210" t="s">
        <v>15</v>
      </c>
      <c r="K1329" s="210" t="s">
        <v>54</v>
      </c>
      <c r="L1329" s="211" t="s">
        <v>60</v>
      </c>
      <c r="M1329" s="211" t="s">
        <v>17</v>
      </c>
    </row>
    <row r="1330" spans="1:13" x14ac:dyDescent="0.2">
      <c r="A1330" s="211" t="s">
        <v>55</v>
      </c>
      <c r="B1330" s="211" t="s">
        <v>58</v>
      </c>
      <c r="C1330" s="211" t="s">
        <v>19</v>
      </c>
      <c r="D1330" s="211" t="s">
        <v>12</v>
      </c>
      <c r="E1330" s="208">
        <v>42917</v>
      </c>
      <c r="F1330" s="209">
        <v>11.724426599999999</v>
      </c>
      <c r="G1330" s="210" t="s">
        <v>13</v>
      </c>
      <c r="H1330" s="211" t="s">
        <v>14</v>
      </c>
      <c r="I1330" s="210">
        <v>1</v>
      </c>
      <c r="J1330" s="210" t="s">
        <v>15</v>
      </c>
      <c r="K1330" s="210" t="s">
        <v>54</v>
      </c>
      <c r="L1330" s="211" t="s">
        <v>60</v>
      </c>
      <c r="M1330" s="211" t="s">
        <v>56</v>
      </c>
    </row>
    <row r="1331" spans="1:13" x14ac:dyDescent="0.2">
      <c r="A1331" s="211" t="s">
        <v>55</v>
      </c>
      <c r="B1331" s="211" t="s">
        <v>58</v>
      </c>
      <c r="C1331" s="211" t="s">
        <v>19</v>
      </c>
      <c r="D1331" s="211" t="s">
        <v>12</v>
      </c>
      <c r="E1331" s="208">
        <v>42917</v>
      </c>
      <c r="F1331" s="221">
        <v>4117.5881403000003</v>
      </c>
      <c r="G1331" s="210" t="s">
        <v>16</v>
      </c>
      <c r="H1331" s="211" t="s">
        <v>14</v>
      </c>
      <c r="I1331" s="210">
        <v>1</v>
      </c>
      <c r="J1331" s="210" t="s">
        <v>15</v>
      </c>
      <c r="K1331" s="210" t="s">
        <v>54</v>
      </c>
      <c r="L1331" s="211" t="s">
        <v>60</v>
      </c>
      <c r="M1331" s="211" t="s">
        <v>56</v>
      </c>
    </row>
    <row r="1332" spans="1:13" x14ac:dyDescent="0.2">
      <c r="A1332" s="211" t="s">
        <v>55</v>
      </c>
      <c r="B1332" s="211" t="s">
        <v>58</v>
      </c>
      <c r="C1332" s="211" t="s">
        <v>19</v>
      </c>
      <c r="D1332" s="211" t="s">
        <v>12</v>
      </c>
      <c r="E1332" s="208">
        <v>42917</v>
      </c>
      <c r="F1332" s="209">
        <v>7.5</v>
      </c>
      <c r="G1332" s="210" t="s">
        <v>13</v>
      </c>
      <c r="H1332" s="211" t="s">
        <v>18</v>
      </c>
      <c r="I1332" s="210">
        <v>1</v>
      </c>
      <c r="J1332" s="210" t="s">
        <v>15</v>
      </c>
      <c r="K1332" s="210" t="s">
        <v>54</v>
      </c>
      <c r="L1332" s="211" t="s">
        <v>60</v>
      </c>
      <c r="M1332" s="211" t="s">
        <v>17</v>
      </c>
    </row>
    <row r="1333" spans="1:13" x14ac:dyDescent="0.2">
      <c r="A1333" s="211" t="s">
        <v>55</v>
      </c>
      <c r="B1333" s="211" t="s">
        <v>58</v>
      </c>
      <c r="C1333" s="211" t="s">
        <v>19</v>
      </c>
      <c r="D1333" s="211" t="s">
        <v>12</v>
      </c>
      <c r="E1333" s="208">
        <v>42917</v>
      </c>
      <c r="F1333" s="221">
        <v>2727.18</v>
      </c>
      <c r="G1333" s="210" t="s">
        <v>16</v>
      </c>
      <c r="H1333" s="211" t="s">
        <v>18</v>
      </c>
      <c r="I1333" s="210">
        <v>1</v>
      </c>
      <c r="J1333" s="210" t="s">
        <v>15</v>
      </c>
      <c r="K1333" s="210" t="s">
        <v>54</v>
      </c>
      <c r="L1333" s="211" t="s">
        <v>60</v>
      </c>
      <c r="M1333" s="211" t="s">
        <v>17</v>
      </c>
    </row>
    <row r="1334" spans="1:13" x14ac:dyDescent="0.2">
      <c r="A1334" s="211" t="s">
        <v>55</v>
      </c>
      <c r="B1334" s="211" t="s">
        <v>58</v>
      </c>
      <c r="C1334" s="211" t="s">
        <v>19</v>
      </c>
      <c r="D1334" s="211" t="s">
        <v>12</v>
      </c>
      <c r="E1334" s="208">
        <v>42912</v>
      </c>
      <c r="F1334" s="209">
        <v>12.999000000000001</v>
      </c>
      <c r="G1334" s="210" t="s">
        <v>13</v>
      </c>
      <c r="H1334" s="211" t="s">
        <v>14</v>
      </c>
      <c r="I1334" s="210">
        <v>1</v>
      </c>
      <c r="J1334" s="210" t="s">
        <v>15</v>
      </c>
      <c r="K1334" s="210" t="s">
        <v>54</v>
      </c>
      <c r="L1334" s="211" t="s">
        <v>60</v>
      </c>
      <c r="M1334" s="211" t="s">
        <v>56</v>
      </c>
    </row>
    <row r="1335" spans="1:13" x14ac:dyDescent="0.2">
      <c r="A1335" s="211" t="s">
        <v>55</v>
      </c>
      <c r="B1335" s="211" t="s">
        <v>58</v>
      </c>
      <c r="C1335" s="211" t="s">
        <v>19</v>
      </c>
      <c r="D1335" s="211" t="s">
        <v>12</v>
      </c>
      <c r="E1335" s="208">
        <v>42912</v>
      </c>
      <c r="F1335" s="221">
        <v>4986.9363599999997</v>
      </c>
      <c r="G1335" s="210" t="s">
        <v>16</v>
      </c>
      <c r="H1335" s="211" t="s">
        <v>14</v>
      </c>
      <c r="I1335" s="210">
        <v>1</v>
      </c>
      <c r="J1335" s="210" t="s">
        <v>15</v>
      </c>
      <c r="K1335" s="210" t="s">
        <v>54</v>
      </c>
      <c r="L1335" s="211" t="s">
        <v>60</v>
      </c>
      <c r="M1335" s="211" t="s">
        <v>56</v>
      </c>
    </row>
    <row r="1336" spans="1:13" x14ac:dyDescent="0.2">
      <c r="A1336" s="211" t="s">
        <v>55</v>
      </c>
      <c r="B1336" s="211" t="s">
        <v>58</v>
      </c>
      <c r="C1336" s="211" t="s">
        <v>19</v>
      </c>
      <c r="D1336" s="211" t="s">
        <v>12</v>
      </c>
      <c r="E1336" s="208">
        <v>42912</v>
      </c>
      <c r="F1336" s="209">
        <v>8.16</v>
      </c>
      <c r="G1336" s="210" t="s">
        <v>13</v>
      </c>
      <c r="H1336" s="211" t="s">
        <v>18</v>
      </c>
      <c r="I1336" s="210">
        <v>1</v>
      </c>
      <c r="J1336" s="210" t="s">
        <v>15</v>
      </c>
      <c r="K1336" s="210" t="s">
        <v>54</v>
      </c>
      <c r="L1336" s="211" t="s">
        <v>60</v>
      </c>
      <c r="M1336" s="211" t="s">
        <v>17</v>
      </c>
    </row>
    <row r="1337" spans="1:13" x14ac:dyDescent="0.2">
      <c r="A1337" s="211" t="s">
        <v>55</v>
      </c>
      <c r="B1337" s="211" t="s">
        <v>58</v>
      </c>
      <c r="C1337" s="211" t="s">
        <v>19</v>
      </c>
      <c r="D1337" s="211" t="s">
        <v>12</v>
      </c>
      <c r="E1337" s="208">
        <v>42912</v>
      </c>
      <c r="F1337" s="221">
        <v>3130.5023999999999</v>
      </c>
      <c r="G1337" s="210" t="s">
        <v>16</v>
      </c>
      <c r="H1337" s="211" t="s">
        <v>18</v>
      </c>
      <c r="I1337" s="210">
        <v>1</v>
      </c>
      <c r="J1337" s="210" t="s">
        <v>15</v>
      </c>
      <c r="K1337" s="210" t="s">
        <v>54</v>
      </c>
      <c r="L1337" s="211" t="s">
        <v>60</v>
      </c>
      <c r="M1337" s="211" t="s">
        <v>17</v>
      </c>
    </row>
    <row r="1338" spans="1:13" x14ac:dyDescent="0.2">
      <c r="A1338" s="211" t="s">
        <v>55</v>
      </c>
      <c r="B1338" s="211" t="s">
        <v>58</v>
      </c>
      <c r="C1338" s="211" t="s">
        <v>19</v>
      </c>
      <c r="D1338" s="211" t="s">
        <v>12</v>
      </c>
      <c r="E1338" s="208">
        <v>42911</v>
      </c>
      <c r="F1338" s="209">
        <v>13.598568200000001</v>
      </c>
      <c r="G1338" s="210" t="s">
        <v>13</v>
      </c>
      <c r="H1338" s="211" t="s">
        <v>14</v>
      </c>
      <c r="I1338" s="210">
        <v>1</v>
      </c>
      <c r="J1338" s="210" t="s">
        <v>15</v>
      </c>
      <c r="K1338" s="210" t="s">
        <v>54</v>
      </c>
      <c r="L1338" s="211" t="s">
        <v>60</v>
      </c>
      <c r="M1338" s="211" t="s">
        <v>56</v>
      </c>
    </row>
    <row r="1339" spans="1:13" x14ac:dyDescent="0.2">
      <c r="A1339" s="211" t="s">
        <v>55</v>
      </c>
      <c r="B1339" s="211" t="s">
        <v>58</v>
      </c>
      <c r="C1339" s="211" t="s">
        <v>19</v>
      </c>
      <c r="D1339" s="211" t="s">
        <v>12</v>
      </c>
      <c r="E1339" s="208">
        <v>42911</v>
      </c>
      <c r="F1339" s="221">
        <v>5069.5190400000001</v>
      </c>
      <c r="G1339" s="210" t="s">
        <v>16</v>
      </c>
      <c r="H1339" s="211" t="s">
        <v>14</v>
      </c>
      <c r="I1339" s="210">
        <v>1</v>
      </c>
      <c r="J1339" s="210" t="s">
        <v>15</v>
      </c>
      <c r="K1339" s="210" t="s">
        <v>54</v>
      </c>
      <c r="L1339" s="211" t="s">
        <v>60</v>
      </c>
      <c r="M1339" s="211" t="s">
        <v>56</v>
      </c>
    </row>
    <row r="1340" spans="1:13" x14ac:dyDescent="0.2">
      <c r="A1340" s="211" t="s">
        <v>55</v>
      </c>
      <c r="B1340" s="211" t="s">
        <v>58</v>
      </c>
      <c r="C1340" s="211" t="s">
        <v>19</v>
      </c>
      <c r="D1340" s="211" t="s">
        <v>12</v>
      </c>
      <c r="E1340" s="208">
        <v>42911</v>
      </c>
      <c r="F1340" s="209">
        <v>7.63</v>
      </c>
      <c r="G1340" s="210" t="s">
        <v>13</v>
      </c>
      <c r="H1340" s="211" t="s">
        <v>18</v>
      </c>
      <c r="I1340" s="210">
        <v>1</v>
      </c>
      <c r="J1340" s="210" t="s">
        <v>15</v>
      </c>
      <c r="K1340" s="210" t="s">
        <v>54</v>
      </c>
      <c r="L1340" s="211" t="s">
        <v>60</v>
      </c>
      <c r="M1340" s="211" t="s">
        <v>17</v>
      </c>
    </row>
    <row r="1341" spans="1:13" x14ac:dyDescent="0.2">
      <c r="A1341" s="211" t="s">
        <v>55</v>
      </c>
      <c r="B1341" s="211" t="s">
        <v>58</v>
      </c>
      <c r="C1341" s="211" t="s">
        <v>19</v>
      </c>
      <c r="D1341" s="211" t="s">
        <v>12</v>
      </c>
      <c r="E1341" s="208">
        <v>42911</v>
      </c>
      <c r="F1341" s="221">
        <v>2844.4487399999998</v>
      </c>
      <c r="G1341" s="210" t="s">
        <v>16</v>
      </c>
      <c r="H1341" s="211" t="s">
        <v>18</v>
      </c>
      <c r="I1341" s="210">
        <v>1</v>
      </c>
      <c r="J1341" s="210" t="s">
        <v>15</v>
      </c>
      <c r="K1341" s="210" t="s">
        <v>54</v>
      </c>
      <c r="L1341" s="211" t="s">
        <v>60</v>
      </c>
      <c r="M1341" s="211" t="s">
        <v>17</v>
      </c>
    </row>
    <row r="1342" spans="1:13" x14ac:dyDescent="0.2">
      <c r="A1342" s="211" t="s">
        <v>55</v>
      </c>
      <c r="B1342" s="211" t="s">
        <v>58</v>
      </c>
      <c r="C1342" s="211" t="s">
        <v>19</v>
      </c>
      <c r="D1342" s="211" t="s">
        <v>12</v>
      </c>
      <c r="E1342" s="208">
        <v>42909</v>
      </c>
      <c r="F1342" s="209">
        <v>14.2050847</v>
      </c>
      <c r="G1342" s="210" t="s">
        <v>13</v>
      </c>
      <c r="H1342" s="211" t="s">
        <v>14</v>
      </c>
      <c r="I1342" s="210">
        <v>1</v>
      </c>
      <c r="J1342" s="210" t="s">
        <v>15</v>
      </c>
      <c r="K1342" s="210" t="s">
        <v>54</v>
      </c>
      <c r="L1342" s="211" t="s">
        <v>60</v>
      </c>
      <c r="M1342" s="211" t="s">
        <v>56</v>
      </c>
    </row>
    <row r="1343" spans="1:13" x14ac:dyDescent="0.2">
      <c r="A1343" s="211" t="s">
        <v>55</v>
      </c>
      <c r="B1343" s="211" t="s">
        <v>58</v>
      </c>
      <c r="C1343" s="211" t="s">
        <v>19</v>
      </c>
      <c r="D1343" s="211" t="s">
        <v>12</v>
      </c>
      <c r="E1343" s="208">
        <v>42909</v>
      </c>
      <c r="F1343" s="221">
        <v>5591.8032000000003</v>
      </c>
      <c r="G1343" s="210" t="s">
        <v>16</v>
      </c>
      <c r="H1343" s="211" t="s">
        <v>14</v>
      </c>
      <c r="I1343" s="210">
        <v>1</v>
      </c>
      <c r="J1343" s="210" t="s">
        <v>15</v>
      </c>
      <c r="K1343" s="210" t="s">
        <v>54</v>
      </c>
      <c r="L1343" s="211" t="s">
        <v>60</v>
      </c>
      <c r="M1343" s="211" t="s">
        <v>56</v>
      </c>
    </row>
    <row r="1344" spans="1:13" x14ac:dyDescent="0.2">
      <c r="A1344" s="211" t="s">
        <v>55</v>
      </c>
      <c r="B1344" s="211" t="s">
        <v>58</v>
      </c>
      <c r="C1344" s="211" t="s">
        <v>19</v>
      </c>
      <c r="D1344" s="211" t="s">
        <v>12</v>
      </c>
      <c r="E1344" s="208">
        <v>42909</v>
      </c>
      <c r="F1344" s="209">
        <v>6.64</v>
      </c>
      <c r="G1344" s="210" t="s">
        <v>13</v>
      </c>
      <c r="H1344" s="211" t="s">
        <v>18</v>
      </c>
      <c r="I1344" s="210">
        <v>1</v>
      </c>
      <c r="J1344" s="210" t="s">
        <v>15</v>
      </c>
      <c r="K1344" s="210" t="s">
        <v>54</v>
      </c>
      <c r="L1344" s="211" t="s">
        <v>60</v>
      </c>
      <c r="M1344" s="211" t="s">
        <v>17</v>
      </c>
    </row>
    <row r="1345" spans="1:13" x14ac:dyDescent="0.2">
      <c r="A1345" s="211" t="s">
        <v>55</v>
      </c>
      <c r="B1345" s="211" t="s">
        <v>58</v>
      </c>
      <c r="C1345" s="211" t="s">
        <v>19</v>
      </c>
      <c r="D1345" s="211" t="s">
        <v>12</v>
      </c>
      <c r="E1345" s="208">
        <v>42909</v>
      </c>
      <c r="F1345" s="221">
        <v>2613.8227200000001</v>
      </c>
      <c r="G1345" s="210" t="s">
        <v>16</v>
      </c>
      <c r="H1345" s="211" t="s">
        <v>18</v>
      </c>
      <c r="I1345" s="210">
        <v>1</v>
      </c>
      <c r="J1345" s="210" t="s">
        <v>15</v>
      </c>
      <c r="K1345" s="210" t="s">
        <v>54</v>
      </c>
      <c r="L1345" s="211" t="s">
        <v>60</v>
      </c>
      <c r="M1345" s="211" t="s">
        <v>17</v>
      </c>
    </row>
    <row r="1346" spans="1:13" x14ac:dyDescent="0.2">
      <c r="A1346" s="211" t="s">
        <v>55</v>
      </c>
      <c r="B1346" s="211" t="s">
        <v>58</v>
      </c>
      <c r="C1346" s="211" t="s">
        <v>19</v>
      </c>
      <c r="D1346" s="211" t="s">
        <v>12</v>
      </c>
      <c r="E1346" s="208">
        <v>42908</v>
      </c>
      <c r="F1346" s="209">
        <v>13.3474007</v>
      </c>
      <c r="G1346" s="210" t="s">
        <v>13</v>
      </c>
      <c r="H1346" s="211" t="s">
        <v>14</v>
      </c>
      <c r="I1346" s="210">
        <v>1</v>
      </c>
      <c r="J1346" s="210" t="s">
        <v>15</v>
      </c>
      <c r="K1346" s="210" t="s">
        <v>54</v>
      </c>
      <c r="L1346" s="211" t="s">
        <v>60</v>
      </c>
      <c r="M1346" s="211" t="s">
        <v>56</v>
      </c>
    </row>
    <row r="1347" spans="1:13" x14ac:dyDescent="0.2">
      <c r="A1347" s="211" t="s">
        <v>55</v>
      </c>
      <c r="B1347" s="211" t="s">
        <v>58</v>
      </c>
      <c r="C1347" s="211" t="s">
        <v>19</v>
      </c>
      <c r="D1347" s="211" t="s">
        <v>12</v>
      </c>
      <c r="E1347" s="208">
        <v>42908</v>
      </c>
      <c r="F1347" s="221">
        <v>5610.3930600000003</v>
      </c>
      <c r="G1347" s="210" t="s">
        <v>16</v>
      </c>
      <c r="H1347" s="211" t="s">
        <v>14</v>
      </c>
      <c r="I1347" s="210">
        <v>1</v>
      </c>
      <c r="J1347" s="210" t="s">
        <v>15</v>
      </c>
      <c r="K1347" s="210" t="s">
        <v>54</v>
      </c>
      <c r="L1347" s="211" t="s">
        <v>60</v>
      </c>
      <c r="M1347" s="211" t="s">
        <v>56</v>
      </c>
    </row>
    <row r="1348" spans="1:13" x14ac:dyDescent="0.2">
      <c r="A1348" s="211" t="s">
        <v>55</v>
      </c>
      <c r="B1348" s="211" t="s">
        <v>58</v>
      </c>
      <c r="C1348" s="211" t="s">
        <v>19</v>
      </c>
      <c r="D1348" s="211" t="s">
        <v>12</v>
      </c>
      <c r="E1348" s="208">
        <v>42908</v>
      </c>
      <c r="F1348" s="209">
        <v>7.2</v>
      </c>
      <c r="G1348" s="210" t="s">
        <v>13</v>
      </c>
      <c r="H1348" s="211" t="s">
        <v>18</v>
      </c>
      <c r="I1348" s="210">
        <v>1</v>
      </c>
      <c r="J1348" s="210" t="s">
        <v>15</v>
      </c>
      <c r="K1348" s="210" t="s">
        <v>54</v>
      </c>
      <c r="L1348" s="211" t="s">
        <v>60</v>
      </c>
      <c r="M1348" s="211" t="s">
        <v>17</v>
      </c>
    </row>
    <row r="1349" spans="1:13" x14ac:dyDescent="0.2">
      <c r="A1349" s="211" t="s">
        <v>55</v>
      </c>
      <c r="B1349" s="211" t="s">
        <v>58</v>
      </c>
      <c r="C1349" s="211" t="s">
        <v>19</v>
      </c>
      <c r="D1349" s="211" t="s">
        <v>12</v>
      </c>
      <c r="E1349" s="208">
        <v>42908</v>
      </c>
      <c r="F1349" s="221">
        <v>3026.4191999999998</v>
      </c>
      <c r="G1349" s="210" t="s">
        <v>16</v>
      </c>
      <c r="H1349" s="211" t="s">
        <v>18</v>
      </c>
      <c r="I1349" s="210">
        <v>1</v>
      </c>
      <c r="J1349" s="210" t="s">
        <v>15</v>
      </c>
      <c r="K1349" s="210" t="s">
        <v>54</v>
      </c>
      <c r="L1349" s="211" t="s">
        <v>60</v>
      </c>
      <c r="M1349" s="211" t="s">
        <v>17</v>
      </c>
    </row>
    <row r="1350" spans="1:13" x14ac:dyDescent="0.2">
      <c r="A1350" s="211" t="s">
        <v>55</v>
      </c>
      <c r="B1350" s="211" t="s">
        <v>58</v>
      </c>
      <c r="C1350" s="211" t="s">
        <v>19</v>
      </c>
      <c r="D1350" s="211" t="s">
        <v>12</v>
      </c>
      <c r="E1350" s="208">
        <v>42907</v>
      </c>
      <c r="F1350" s="209">
        <v>12.431480000000001</v>
      </c>
      <c r="G1350" s="210" t="s">
        <v>13</v>
      </c>
      <c r="H1350" s="211" t="s">
        <v>14</v>
      </c>
      <c r="I1350" s="210">
        <v>1</v>
      </c>
      <c r="J1350" s="210" t="s">
        <v>15</v>
      </c>
      <c r="K1350" s="210" t="s">
        <v>54</v>
      </c>
      <c r="L1350" s="211" t="s">
        <v>60</v>
      </c>
      <c r="M1350" s="211" t="s">
        <v>56</v>
      </c>
    </row>
    <row r="1351" spans="1:13" x14ac:dyDescent="0.2">
      <c r="A1351" s="211" t="s">
        <v>55</v>
      </c>
      <c r="B1351" s="211" t="s">
        <v>58</v>
      </c>
      <c r="C1351" s="211" t="s">
        <v>19</v>
      </c>
      <c r="D1351" s="211" t="s">
        <v>12</v>
      </c>
      <c r="E1351" s="208">
        <v>42907</v>
      </c>
      <c r="F1351" s="221">
        <v>5183.9271600000002</v>
      </c>
      <c r="G1351" s="210" t="s">
        <v>16</v>
      </c>
      <c r="H1351" s="211" t="s">
        <v>14</v>
      </c>
      <c r="I1351" s="210">
        <v>1</v>
      </c>
      <c r="J1351" s="210" t="s">
        <v>15</v>
      </c>
      <c r="K1351" s="210" t="s">
        <v>54</v>
      </c>
      <c r="L1351" s="211" t="s">
        <v>60</v>
      </c>
      <c r="M1351" s="211" t="s">
        <v>56</v>
      </c>
    </row>
    <row r="1352" spans="1:13" x14ac:dyDescent="0.2">
      <c r="A1352" s="211" t="s">
        <v>55</v>
      </c>
      <c r="B1352" s="211" t="s">
        <v>58</v>
      </c>
      <c r="C1352" s="211" t="s">
        <v>19</v>
      </c>
      <c r="D1352" s="211" t="s">
        <v>12</v>
      </c>
      <c r="E1352" s="208">
        <v>42907</v>
      </c>
      <c r="F1352" s="209">
        <v>8.0299999999999994</v>
      </c>
      <c r="G1352" s="210" t="s">
        <v>13</v>
      </c>
      <c r="H1352" s="211" t="s">
        <v>18</v>
      </c>
      <c r="I1352" s="210">
        <v>1</v>
      </c>
      <c r="J1352" s="210" t="s">
        <v>15</v>
      </c>
      <c r="K1352" s="210" t="s">
        <v>54</v>
      </c>
      <c r="L1352" s="211" t="s">
        <v>60</v>
      </c>
      <c r="M1352" s="211" t="s">
        <v>17</v>
      </c>
    </row>
    <row r="1353" spans="1:13" x14ac:dyDescent="0.2">
      <c r="A1353" s="211" t="s">
        <v>55</v>
      </c>
      <c r="B1353" s="211" t="s">
        <v>58</v>
      </c>
      <c r="C1353" s="211" t="s">
        <v>19</v>
      </c>
      <c r="D1353" s="211" t="s">
        <v>12</v>
      </c>
      <c r="E1353" s="208">
        <v>42907</v>
      </c>
      <c r="F1353" s="221">
        <v>3348.51</v>
      </c>
      <c r="G1353" s="210" t="s">
        <v>16</v>
      </c>
      <c r="H1353" s="211" t="s">
        <v>18</v>
      </c>
      <c r="I1353" s="210">
        <v>1</v>
      </c>
      <c r="J1353" s="210" t="s">
        <v>15</v>
      </c>
      <c r="K1353" s="210" t="s">
        <v>54</v>
      </c>
      <c r="L1353" s="211" t="s">
        <v>60</v>
      </c>
      <c r="M1353" s="211" t="s">
        <v>17</v>
      </c>
    </row>
    <row r="1354" spans="1:13" x14ac:dyDescent="0.2">
      <c r="A1354" s="211" t="s">
        <v>55</v>
      </c>
      <c r="B1354" s="211" t="s">
        <v>58</v>
      </c>
      <c r="C1354" s="211" t="s">
        <v>19</v>
      </c>
      <c r="D1354" s="211" t="s">
        <v>12</v>
      </c>
      <c r="E1354" s="208">
        <v>42906</v>
      </c>
      <c r="F1354" s="209">
        <v>11.861269099999999</v>
      </c>
      <c r="G1354" s="210" t="s">
        <v>13</v>
      </c>
      <c r="H1354" s="211" t="s">
        <v>14</v>
      </c>
      <c r="I1354" s="210">
        <v>1</v>
      </c>
      <c r="J1354" s="210" t="s">
        <v>15</v>
      </c>
      <c r="K1354" s="210" t="s">
        <v>54</v>
      </c>
      <c r="L1354" s="211" t="s">
        <v>60</v>
      </c>
      <c r="M1354" s="211" t="s">
        <v>56</v>
      </c>
    </row>
    <row r="1355" spans="1:13" x14ac:dyDescent="0.2">
      <c r="A1355" s="211" t="s">
        <v>55</v>
      </c>
      <c r="B1355" s="211" t="s">
        <v>58</v>
      </c>
      <c r="C1355" s="211" t="s">
        <v>19</v>
      </c>
      <c r="D1355" s="211" t="s">
        <v>12</v>
      </c>
      <c r="E1355" s="208">
        <v>42906</v>
      </c>
      <c r="F1355" s="221">
        <v>4520.7803999999996</v>
      </c>
      <c r="G1355" s="210" t="s">
        <v>16</v>
      </c>
      <c r="H1355" s="211" t="s">
        <v>14</v>
      </c>
      <c r="I1355" s="210">
        <v>1</v>
      </c>
      <c r="J1355" s="210" t="s">
        <v>15</v>
      </c>
      <c r="K1355" s="210" t="s">
        <v>54</v>
      </c>
      <c r="L1355" s="211" t="s">
        <v>60</v>
      </c>
      <c r="M1355" s="211" t="s">
        <v>56</v>
      </c>
    </row>
    <row r="1356" spans="1:13" x14ac:dyDescent="0.2">
      <c r="A1356" s="211" t="s">
        <v>55</v>
      </c>
      <c r="B1356" s="211" t="s">
        <v>58</v>
      </c>
      <c r="C1356" s="211" t="s">
        <v>19</v>
      </c>
      <c r="D1356" s="211" t="s">
        <v>12</v>
      </c>
      <c r="E1356" s="208">
        <v>42906</v>
      </c>
      <c r="F1356" s="209">
        <v>7.98</v>
      </c>
      <c r="G1356" s="210" t="s">
        <v>13</v>
      </c>
      <c r="H1356" s="211" t="s">
        <v>18</v>
      </c>
      <c r="I1356" s="210">
        <v>1</v>
      </c>
      <c r="J1356" s="210" t="s">
        <v>15</v>
      </c>
      <c r="K1356" s="210" t="s">
        <v>54</v>
      </c>
      <c r="L1356" s="211" t="s">
        <v>60</v>
      </c>
      <c r="M1356" s="211" t="s">
        <v>17</v>
      </c>
    </row>
    <row r="1357" spans="1:13" x14ac:dyDescent="0.2">
      <c r="A1357" s="211" t="s">
        <v>55</v>
      </c>
      <c r="B1357" s="211" t="s">
        <v>58</v>
      </c>
      <c r="C1357" s="211" t="s">
        <v>19</v>
      </c>
      <c r="D1357" s="211" t="s">
        <v>12</v>
      </c>
      <c r="E1357" s="208">
        <v>42906</v>
      </c>
      <c r="F1357" s="221">
        <v>3041.4812400000001</v>
      </c>
      <c r="G1357" s="210" t="s">
        <v>16</v>
      </c>
      <c r="H1357" s="211" t="s">
        <v>18</v>
      </c>
      <c r="I1357" s="210">
        <v>1</v>
      </c>
      <c r="J1357" s="210" t="s">
        <v>15</v>
      </c>
      <c r="K1357" s="210" t="s">
        <v>54</v>
      </c>
      <c r="L1357" s="211" t="s">
        <v>60</v>
      </c>
      <c r="M1357" s="211" t="s">
        <v>17</v>
      </c>
    </row>
    <row r="1358" spans="1:13" x14ac:dyDescent="0.2">
      <c r="A1358" s="211" t="s">
        <v>55</v>
      </c>
      <c r="B1358" s="211" t="s">
        <v>58</v>
      </c>
      <c r="C1358" s="211" t="s">
        <v>19</v>
      </c>
      <c r="D1358" s="211" t="s">
        <v>12</v>
      </c>
      <c r="E1358" s="208">
        <v>42905</v>
      </c>
      <c r="F1358" s="209">
        <v>10.1417951</v>
      </c>
      <c r="G1358" s="210" t="s">
        <v>13</v>
      </c>
      <c r="H1358" s="211" t="s">
        <v>14</v>
      </c>
      <c r="I1358" s="210">
        <v>1</v>
      </c>
      <c r="J1358" s="210" t="s">
        <v>15</v>
      </c>
      <c r="K1358" s="210" t="s">
        <v>54</v>
      </c>
      <c r="L1358" s="211" t="s">
        <v>60</v>
      </c>
      <c r="M1358" s="211" t="s">
        <v>56</v>
      </c>
    </row>
    <row r="1359" spans="1:13" x14ac:dyDescent="0.2">
      <c r="A1359" s="211" t="s">
        <v>55</v>
      </c>
      <c r="B1359" s="211" t="s">
        <v>58</v>
      </c>
      <c r="C1359" s="211" t="s">
        <v>19</v>
      </c>
      <c r="D1359" s="211" t="s">
        <v>12</v>
      </c>
      <c r="E1359" s="208">
        <v>42905</v>
      </c>
      <c r="F1359" s="221">
        <v>3797.7574439999999</v>
      </c>
      <c r="G1359" s="210" t="s">
        <v>16</v>
      </c>
      <c r="H1359" s="211" t="s">
        <v>14</v>
      </c>
      <c r="I1359" s="210">
        <v>1</v>
      </c>
      <c r="J1359" s="210" t="s">
        <v>15</v>
      </c>
      <c r="K1359" s="210" t="s">
        <v>54</v>
      </c>
      <c r="L1359" s="211" t="s">
        <v>60</v>
      </c>
      <c r="M1359" s="211" t="s">
        <v>56</v>
      </c>
    </row>
    <row r="1360" spans="1:13" x14ac:dyDescent="0.2">
      <c r="A1360" s="211" t="s">
        <v>55</v>
      </c>
      <c r="B1360" s="211" t="s">
        <v>58</v>
      </c>
      <c r="C1360" s="211" t="s">
        <v>19</v>
      </c>
      <c r="D1360" s="211" t="s">
        <v>12</v>
      </c>
      <c r="E1360" s="208">
        <v>42905</v>
      </c>
      <c r="F1360" s="209">
        <v>8.35</v>
      </c>
      <c r="G1360" s="210" t="s">
        <v>13</v>
      </c>
      <c r="H1360" s="211" t="s">
        <v>18</v>
      </c>
      <c r="I1360" s="210">
        <v>1</v>
      </c>
      <c r="J1360" s="210" t="s">
        <v>15</v>
      </c>
      <c r="K1360" s="210" t="s">
        <v>54</v>
      </c>
      <c r="L1360" s="211" t="s">
        <v>60</v>
      </c>
      <c r="M1360" s="211" t="s">
        <v>17</v>
      </c>
    </row>
    <row r="1361" spans="1:13" x14ac:dyDescent="0.2">
      <c r="A1361" s="211" t="s">
        <v>55</v>
      </c>
      <c r="B1361" s="211" t="s">
        <v>58</v>
      </c>
      <c r="C1361" s="211" t="s">
        <v>19</v>
      </c>
      <c r="D1361" s="211" t="s">
        <v>12</v>
      </c>
      <c r="E1361" s="208">
        <v>42905</v>
      </c>
      <c r="F1361" s="221">
        <v>3126.7910999999999</v>
      </c>
      <c r="G1361" s="210" t="s">
        <v>16</v>
      </c>
      <c r="H1361" s="211" t="s">
        <v>18</v>
      </c>
      <c r="I1361" s="210">
        <v>1</v>
      </c>
      <c r="J1361" s="210" t="s">
        <v>15</v>
      </c>
      <c r="K1361" s="210" t="s">
        <v>54</v>
      </c>
      <c r="L1361" s="211" t="s">
        <v>60</v>
      </c>
      <c r="M1361" s="211" t="s">
        <v>17</v>
      </c>
    </row>
    <row r="1362" spans="1:13" x14ac:dyDescent="0.2">
      <c r="A1362" s="211" t="s">
        <v>55</v>
      </c>
      <c r="B1362" s="211" t="s">
        <v>58</v>
      </c>
      <c r="C1362" s="211" t="s">
        <v>19</v>
      </c>
      <c r="D1362" s="211" t="s">
        <v>12</v>
      </c>
      <c r="E1362" s="208">
        <v>42904</v>
      </c>
      <c r="F1362" s="209">
        <v>14.510284800000001</v>
      </c>
      <c r="G1362" s="210" t="s">
        <v>13</v>
      </c>
      <c r="H1362" s="211" t="s">
        <v>14</v>
      </c>
      <c r="I1362" s="210">
        <v>1</v>
      </c>
      <c r="J1362" s="210" t="s">
        <v>15</v>
      </c>
      <c r="K1362" s="210" t="s">
        <v>54</v>
      </c>
      <c r="L1362" s="211" t="s">
        <v>60</v>
      </c>
      <c r="M1362" s="211" t="s">
        <v>56</v>
      </c>
    </row>
    <row r="1363" spans="1:13" x14ac:dyDescent="0.2">
      <c r="A1363" s="211" t="s">
        <v>55</v>
      </c>
      <c r="B1363" s="211" t="s">
        <v>58</v>
      </c>
      <c r="C1363" s="211" t="s">
        <v>19</v>
      </c>
      <c r="D1363" s="211" t="s">
        <v>12</v>
      </c>
      <c r="E1363" s="208">
        <v>42904</v>
      </c>
      <c r="F1363" s="221">
        <v>5736.1477500000001</v>
      </c>
      <c r="G1363" s="210" t="s">
        <v>16</v>
      </c>
      <c r="H1363" s="211" t="s">
        <v>14</v>
      </c>
      <c r="I1363" s="210">
        <v>1</v>
      </c>
      <c r="J1363" s="210" t="s">
        <v>15</v>
      </c>
      <c r="K1363" s="210" t="s">
        <v>54</v>
      </c>
      <c r="L1363" s="211" t="s">
        <v>60</v>
      </c>
      <c r="M1363" s="211" t="s">
        <v>56</v>
      </c>
    </row>
    <row r="1364" spans="1:13" x14ac:dyDescent="0.2">
      <c r="A1364" s="211" t="s">
        <v>55</v>
      </c>
      <c r="B1364" s="211" t="s">
        <v>58</v>
      </c>
      <c r="C1364" s="211" t="s">
        <v>19</v>
      </c>
      <c r="D1364" s="211" t="s">
        <v>12</v>
      </c>
      <c r="E1364" s="208">
        <v>42904</v>
      </c>
      <c r="F1364" s="209">
        <v>7.68</v>
      </c>
      <c r="G1364" s="210" t="s">
        <v>13</v>
      </c>
      <c r="H1364" s="211" t="s">
        <v>18</v>
      </c>
      <c r="I1364" s="210">
        <v>1</v>
      </c>
      <c r="J1364" s="210" t="s">
        <v>15</v>
      </c>
      <c r="K1364" s="210" t="s">
        <v>54</v>
      </c>
      <c r="L1364" s="211" t="s">
        <v>60</v>
      </c>
      <c r="M1364" s="211" t="s">
        <v>17</v>
      </c>
    </row>
    <row r="1365" spans="1:13" x14ac:dyDescent="0.2">
      <c r="A1365" s="211" t="s">
        <v>55</v>
      </c>
      <c r="B1365" s="211" t="s">
        <v>58</v>
      </c>
      <c r="C1365" s="211" t="s">
        <v>19</v>
      </c>
      <c r="D1365" s="211" t="s">
        <v>12</v>
      </c>
      <c r="E1365" s="208">
        <v>42904</v>
      </c>
      <c r="F1365" s="221">
        <v>3036.0268799999999</v>
      </c>
      <c r="G1365" s="210" t="s">
        <v>16</v>
      </c>
      <c r="H1365" s="211" t="s">
        <v>18</v>
      </c>
      <c r="I1365" s="210">
        <v>1</v>
      </c>
      <c r="J1365" s="210" t="s">
        <v>15</v>
      </c>
      <c r="K1365" s="210" t="s">
        <v>54</v>
      </c>
      <c r="L1365" s="211" t="s">
        <v>60</v>
      </c>
      <c r="M1365" s="211" t="s">
        <v>17</v>
      </c>
    </row>
    <row r="1366" spans="1:13" x14ac:dyDescent="0.2">
      <c r="A1366" s="211" t="s">
        <v>55</v>
      </c>
      <c r="B1366" s="211" t="s">
        <v>58</v>
      </c>
      <c r="C1366" s="211" t="s">
        <v>19</v>
      </c>
      <c r="D1366" s="211" t="s">
        <v>12</v>
      </c>
      <c r="E1366" s="208">
        <v>42903</v>
      </c>
      <c r="F1366" s="209">
        <v>10.4095797</v>
      </c>
      <c r="G1366" s="210" t="s">
        <v>13</v>
      </c>
      <c r="H1366" s="211" t="s">
        <v>14</v>
      </c>
      <c r="I1366" s="210">
        <v>1</v>
      </c>
      <c r="J1366" s="210" t="s">
        <v>15</v>
      </c>
      <c r="K1366" s="210" t="s">
        <v>54</v>
      </c>
      <c r="L1366" s="211" t="s">
        <v>60</v>
      </c>
      <c r="M1366" s="211" t="s">
        <v>56</v>
      </c>
    </row>
    <row r="1367" spans="1:13" x14ac:dyDescent="0.2">
      <c r="A1367" s="211" t="s">
        <v>55</v>
      </c>
      <c r="B1367" s="211" t="s">
        <v>58</v>
      </c>
      <c r="C1367" s="211" t="s">
        <v>19</v>
      </c>
      <c r="D1367" s="211" t="s">
        <v>12</v>
      </c>
      <c r="E1367" s="208">
        <v>42903</v>
      </c>
      <c r="F1367" s="221">
        <v>4297.3868279999997</v>
      </c>
      <c r="G1367" s="210" t="s">
        <v>16</v>
      </c>
      <c r="H1367" s="211" t="s">
        <v>14</v>
      </c>
      <c r="I1367" s="210">
        <v>1</v>
      </c>
      <c r="J1367" s="210" t="s">
        <v>15</v>
      </c>
      <c r="K1367" s="210" t="s">
        <v>54</v>
      </c>
      <c r="L1367" s="211" t="s">
        <v>60</v>
      </c>
      <c r="M1367" s="211" t="s">
        <v>56</v>
      </c>
    </row>
    <row r="1368" spans="1:13" x14ac:dyDescent="0.2">
      <c r="A1368" s="211" t="s">
        <v>55</v>
      </c>
      <c r="B1368" s="211" t="s">
        <v>58</v>
      </c>
      <c r="C1368" s="211" t="s">
        <v>19</v>
      </c>
      <c r="D1368" s="211" t="s">
        <v>12</v>
      </c>
      <c r="E1368" s="208">
        <v>42903</v>
      </c>
      <c r="F1368" s="209">
        <v>9.2899999999999991</v>
      </c>
      <c r="G1368" s="210" t="s">
        <v>13</v>
      </c>
      <c r="H1368" s="211" t="s">
        <v>18</v>
      </c>
      <c r="I1368" s="210">
        <v>1</v>
      </c>
      <c r="J1368" s="210" t="s">
        <v>15</v>
      </c>
      <c r="K1368" s="210" t="s">
        <v>54</v>
      </c>
      <c r="L1368" s="211" t="s">
        <v>60</v>
      </c>
      <c r="M1368" s="211" t="s">
        <v>17</v>
      </c>
    </row>
    <row r="1369" spans="1:13" x14ac:dyDescent="0.2">
      <c r="A1369" s="211" t="s">
        <v>55</v>
      </c>
      <c r="B1369" s="211" t="s">
        <v>58</v>
      </c>
      <c r="C1369" s="211" t="s">
        <v>19</v>
      </c>
      <c r="D1369" s="211" t="s">
        <v>12</v>
      </c>
      <c r="E1369" s="208">
        <v>42903</v>
      </c>
      <c r="F1369" s="221">
        <v>3835.1907000000001</v>
      </c>
      <c r="G1369" s="210" t="s">
        <v>16</v>
      </c>
      <c r="H1369" s="211" t="s">
        <v>18</v>
      </c>
      <c r="I1369" s="210">
        <v>1</v>
      </c>
      <c r="J1369" s="210" t="s">
        <v>15</v>
      </c>
      <c r="K1369" s="210" t="s">
        <v>54</v>
      </c>
      <c r="L1369" s="211" t="s">
        <v>60</v>
      </c>
      <c r="M1369" s="211" t="s">
        <v>17</v>
      </c>
    </row>
    <row r="1370" spans="1:13" x14ac:dyDescent="0.2">
      <c r="A1370" s="211" t="s">
        <v>55</v>
      </c>
      <c r="B1370" s="211" t="s">
        <v>58</v>
      </c>
      <c r="C1370" s="211" t="s">
        <v>19</v>
      </c>
      <c r="D1370" s="211" t="s">
        <v>12</v>
      </c>
      <c r="E1370" s="208">
        <v>42902</v>
      </c>
      <c r="F1370" s="209">
        <v>13.9707335</v>
      </c>
      <c r="G1370" s="210" t="s">
        <v>13</v>
      </c>
      <c r="H1370" s="211" t="s">
        <v>14</v>
      </c>
      <c r="I1370" s="210">
        <v>1</v>
      </c>
      <c r="J1370" s="210" t="s">
        <v>15</v>
      </c>
      <c r="K1370" s="210" t="s">
        <v>54</v>
      </c>
      <c r="L1370" s="211" t="s">
        <v>60</v>
      </c>
      <c r="M1370" s="211" t="s">
        <v>56</v>
      </c>
    </row>
    <row r="1371" spans="1:13" x14ac:dyDescent="0.2">
      <c r="A1371" s="211" t="s">
        <v>55</v>
      </c>
      <c r="B1371" s="211" t="s">
        <v>58</v>
      </c>
      <c r="C1371" s="211" t="s">
        <v>19</v>
      </c>
      <c r="D1371" s="211" t="s">
        <v>12</v>
      </c>
      <c r="E1371" s="208">
        <v>42902</v>
      </c>
      <c r="F1371" s="221">
        <v>6035.5245599999998</v>
      </c>
      <c r="G1371" s="210" t="s">
        <v>16</v>
      </c>
      <c r="H1371" s="211" t="s">
        <v>14</v>
      </c>
      <c r="I1371" s="210">
        <v>1</v>
      </c>
      <c r="J1371" s="210" t="s">
        <v>15</v>
      </c>
      <c r="K1371" s="210" t="s">
        <v>54</v>
      </c>
      <c r="L1371" s="211" t="s">
        <v>60</v>
      </c>
      <c r="M1371" s="211" t="s">
        <v>56</v>
      </c>
    </row>
    <row r="1372" spans="1:13" x14ac:dyDescent="0.2">
      <c r="A1372" s="211" t="s">
        <v>55</v>
      </c>
      <c r="B1372" s="211" t="s">
        <v>58</v>
      </c>
      <c r="C1372" s="211" t="s">
        <v>19</v>
      </c>
      <c r="D1372" s="211" t="s">
        <v>12</v>
      </c>
      <c r="E1372" s="208">
        <v>42902</v>
      </c>
      <c r="F1372" s="209">
        <v>7.85</v>
      </c>
      <c r="G1372" s="210" t="s">
        <v>13</v>
      </c>
      <c r="H1372" s="211" t="s">
        <v>18</v>
      </c>
      <c r="I1372" s="210">
        <v>1</v>
      </c>
      <c r="J1372" s="210" t="s">
        <v>15</v>
      </c>
      <c r="K1372" s="210" t="s">
        <v>54</v>
      </c>
      <c r="L1372" s="211" t="s">
        <v>60</v>
      </c>
      <c r="M1372" s="211" t="s">
        <v>17</v>
      </c>
    </row>
    <row r="1373" spans="1:13" x14ac:dyDescent="0.2">
      <c r="A1373" s="211" t="s">
        <v>55</v>
      </c>
      <c r="B1373" s="211" t="s">
        <v>58</v>
      </c>
      <c r="C1373" s="211" t="s">
        <v>19</v>
      </c>
      <c r="D1373" s="211" t="s">
        <v>12</v>
      </c>
      <c r="E1373" s="208">
        <v>42902</v>
      </c>
      <c r="F1373" s="221">
        <v>3391.2941999999998</v>
      </c>
      <c r="G1373" s="210" t="s">
        <v>16</v>
      </c>
      <c r="H1373" s="211" t="s">
        <v>18</v>
      </c>
      <c r="I1373" s="210">
        <v>1</v>
      </c>
      <c r="J1373" s="210" t="s">
        <v>15</v>
      </c>
      <c r="K1373" s="210" t="s">
        <v>54</v>
      </c>
      <c r="L1373" s="211" t="s">
        <v>60</v>
      </c>
      <c r="M1373" s="211" t="s">
        <v>17</v>
      </c>
    </row>
    <row r="1374" spans="1:13" x14ac:dyDescent="0.2">
      <c r="A1374" s="211" t="s">
        <v>55</v>
      </c>
      <c r="B1374" s="211" t="s">
        <v>58</v>
      </c>
      <c r="C1374" s="211" t="s">
        <v>19</v>
      </c>
      <c r="D1374" s="211" t="s">
        <v>12</v>
      </c>
      <c r="E1374" s="208">
        <v>42900</v>
      </c>
      <c r="F1374" s="209">
        <v>9.7908203999999994</v>
      </c>
      <c r="G1374" s="210" t="s">
        <v>13</v>
      </c>
      <c r="H1374" s="211" t="s">
        <v>14</v>
      </c>
      <c r="I1374" s="210">
        <v>1</v>
      </c>
      <c r="J1374" s="210" t="s">
        <v>15</v>
      </c>
      <c r="K1374" s="210" t="s">
        <v>54</v>
      </c>
      <c r="L1374" s="211" t="s">
        <v>60</v>
      </c>
      <c r="M1374" s="211" t="s">
        <v>56</v>
      </c>
    </row>
    <row r="1375" spans="1:13" x14ac:dyDescent="0.2">
      <c r="A1375" s="211" t="s">
        <v>55</v>
      </c>
      <c r="B1375" s="211" t="s">
        <v>58</v>
      </c>
      <c r="C1375" s="211" t="s">
        <v>19</v>
      </c>
      <c r="D1375" s="211" t="s">
        <v>12</v>
      </c>
      <c r="E1375" s="208">
        <v>42900</v>
      </c>
      <c r="F1375" s="221">
        <v>4319.5728959999997</v>
      </c>
      <c r="G1375" s="210" t="s">
        <v>16</v>
      </c>
      <c r="H1375" s="211" t="s">
        <v>14</v>
      </c>
      <c r="I1375" s="210">
        <v>1</v>
      </c>
      <c r="J1375" s="210" t="s">
        <v>15</v>
      </c>
      <c r="K1375" s="210" t="s">
        <v>54</v>
      </c>
      <c r="L1375" s="211" t="s">
        <v>60</v>
      </c>
      <c r="M1375" s="211" t="s">
        <v>56</v>
      </c>
    </row>
    <row r="1376" spans="1:13" x14ac:dyDescent="0.2">
      <c r="A1376" s="211" t="s">
        <v>55</v>
      </c>
      <c r="B1376" s="211" t="s">
        <v>58</v>
      </c>
      <c r="C1376" s="211" t="s">
        <v>19</v>
      </c>
      <c r="D1376" s="211" t="s">
        <v>12</v>
      </c>
      <c r="E1376" s="208">
        <v>42900</v>
      </c>
      <c r="F1376" s="209">
        <v>7.43</v>
      </c>
      <c r="G1376" s="210" t="s">
        <v>13</v>
      </c>
      <c r="H1376" s="211" t="s">
        <v>18</v>
      </c>
      <c r="I1376" s="210">
        <v>1</v>
      </c>
      <c r="J1376" s="210" t="s">
        <v>15</v>
      </c>
      <c r="K1376" s="210" t="s">
        <v>54</v>
      </c>
      <c r="L1376" s="211" t="s">
        <v>60</v>
      </c>
      <c r="M1376" s="211" t="s">
        <v>17</v>
      </c>
    </row>
    <row r="1377" spans="1:13" x14ac:dyDescent="0.2">
      <c r="A1377" s="211" t="s">
        <v>55</v>
      </c>
      <c r="B1377" s="211" t="s">
        <v>58</v>
      </c>
      <c r="C1377" s="211" t="s">
        <v>19</v>
      </c>
      <c r="D1377" s="211" t="s">
        <v>12</v>
      </c>
      <c r="E1377" s="208">
        <v>42900</v>
      </c>
      <c r="F1377" s="221">
        <v>3278.0119800000002</v>
      </c>
      <c r="G1377" s="210" t="s">
        <v>16</v>
      </c>
      <c r="H1377" s="211" t="s">
        <v>18</v>
      </c>
      <c r="I1377" s="210">
        <v>1</v>
      </c>
      <c r="J1377" s="210" t="s">
        <v>15</v>
      </c>
      <c r="K1377" s="210" t="s">
        <v>54</v>
      </c>
      <c r="L1377" s="211" t="s">
        <v>60</v>
      </c>
      <c r="M1377" s="211" t="s">
        <v>17</v>
      </c>
    </row>
    <row r="1378" spans="1:13" x14ac:dyDescent="0.2">
      <c r="A1378" s="211" t="s">
        <v>55</v>
      </c>
      <c r="B1378" s="211" t="s">
        <v>58</v>
      </c>
      <c r="C1378" s="211" t="s">
        <v>19</v>
      </c>
      <c r="D1378" s="211" t="s">
        <v>12</v>
      </c>
      <c r="E1378" s="208">
        <v>42899</v>
      </c>
      <c r="F1378" s="209">
        <v>13.143966900000001</v>
      </c>
      <c r="G1378" s="210" t="s">
        <v>13</v>
      </c>
      <c r="H1378" s="211" t="s">
        <v>14</v>
      </c>
      <c r="I1378" s="210">
        <v>1</v>
      </c>
      <c r="J1378" s="210" t="s">
        <v>15</v>
      </c>
      <c r="K1378" s="210" t="s">
        <v>54</v>
      </c>
      <c r="L1378" s="211" t="s">
        <v>60</v>
      </c>
      <c r="M1378" s="211" t="s">
        <v>56</v>
      </c>
    </row>
    <row r="1379" spans="1:13" x14ac:dyDescent="0.2">
      <c r="A1379" s="211" t="s">
        <v>55</v>
      </c>
      <c r="B1379" s="211" t="s">
        <v>58</v>
      </c>
      <c r="C1379" s="211" t="s">
        <v>19</v>
      </c>
      <c r="D1379" s="211" t="s">
        <v>12</v>
      </c>
      <c r="E1379" s="208">
        <v>42899</v>
      </c>
      <c r="F1379" s="221">
        <v>5305.6411200000002</v>
      </c>
      <c r="G1379" s="210" t="s">
        <v>16</v>
      </c>
      <c r="H1379" s="211" t="s">
        <v>14</v>
      </c>
      <c r="I1379" s="210">
        <v>1</v>
      </c>
      <c r="J1379" s="210" t="s">
        <v>15</v>
      </c>
      <c r="K1379" s="210" t="s">
        <v>54</v>
      </c>
      <c r="L1379" s="211" t="s">
        <v>60</v>
      </c>
      <c r="M1379" s="211" t="s">
        <v>56</v>
      </c>
    </row>
    <row r="1380" spans="1:13" x14ac:dyDescent="0.2">
      <c r="A1380" s="211" t="s">
        <v>55</v>
      </c>
      <c r="B1380" s="211" t="s">
        <v>58</v>
      </c>
      <c r="C1380" s="211" t="s">
        <v>19</v>
      </c>
      <c r="D1380" s="211" t="s">
        <v>12</v>
      </c>
      <c r="E1380" s="208">
        <v>42899</v>
      </c>
      <c r="F1380" s="209">
        <v>7.71</v>
      </c>
      <c r="G1380" s="210" t="s">
        <v>13</v>
      </c>
      <c r="H1380" s="211" t="s">
        <v>18</v>
      </c>
      <c r="I1380" s="210">
        <v>1</v>
      </c>
      <c r="J1380" s="210" t="s">
        <v>15</v>
      </c>
      <c r="K1380" s="210" t="s">
        <v>54</v>
      </c>
      <c r="L1380" s="211" t="s">
        <v>60</v>
      </c>
      <c r="M1380" s="211" t="s">
        <v>17</v>
      </c>
    </row>
    <row r="1381" spans="1:13" x14ac:dyDescent="0.2">
      <c r="A1381" s="211" t="s">
        <v>55</v>
      </c>
      <c r="B1381" s="211" t="s">
        <v>58</v>
      </c>
      <c r="C1381" s="211" t="s">
        <v>19</v>
      </c>
      <c r="D1381" s="211" t="s">
        <v>12</v>
      </c>
      <c r="E1381" s="208">
        <v>42899</v>
      </c>
      <c r="F1381" s="221">
        <v>3112.1877599999998</v>
      </c>
      <c r="G1381" s="210" t="s">
        <v>16</v>
      </c>
      <c r="H1381" s="211" t="s">
        <v>18</v>
      </c>
      <c r="I1381" s="210">
        <v>1</v>
      </c>
      <c r="J1381" s="210" t="s">
        <v>15</v>
      </c>
      <c r="K1381" s="210" t="s">
        <v>54</v>
      </c>
      <c r="L1381" s="211" t="s">
        <v>60</v>
      </c>
      <c r="M1381" s="211" t="s">
        <v>17</v>
      </c>
    </row>
    <row r="1382" spans="1:13" x14ac:dyDescent="0.2">
      <c r="A1382" s="211" t="s">
        <v>55</v>
      </c>
      <c r="B1382" s="211" t="s">
        <v>58</v>
      </c>
      <c r="C1382" s="211" t="s">
        <v>19</v>
      </c>
      <c r="D1382" s="211" t="s">
        <v>12</v>
      </c>
      <c r="E1382" s="208">
        <v>42898</v>
      </c>
      <c r="F1382" s="209">
        <v>11.629254599999999</v>
      </c>
      <c r="G1382" s="210" t="s">
        <v>13</v>
      </c>
      <c r="H1382" s="211" t="s">
        <v>14</v>
      </c>
      <c r="I1382" s="210">
        <v>1</v>
      </c>
      <c r="J1382" s="210" t="s">
        <v>15</v>
      </c>
      <c r="K1382" s="210" t="s">
        <v>54</v>
      </c>
      <c r="L1382" s="211" t="s">
        <v>60</v>
      </c>
      <c r="M1382" s="211" t="s">
        <v>56</v>
      </c>
    </row>
    <row r="1383" spans="1:13" x14ac:dyDescent="0.2">
      <c r="A1383" s="211" t="s">
        <v>55</v>
      </c>
      <c r="B1383" s="211" t="s">
        <v>58</v>
      </c>
      <c r="C1383" s="211" t="s">
        <v>19</v>
      </c>
      <c r="D1383" s="211" t="s">
        <v>12</v>
      </c>
      <c r="E1383" s="208">
        <v>42898</v>
      </c>
      <c r="F1383" s="221">
        <v>4684.51962</v>
      </c>
      <c r="G1383" s="210" t="s">
        <v>16</v>
      </c>
      <c r="H1383" s="211" t="s">
        <v>14</v>
      </c>
      <c r="I1383" s="210">
        <v>1</v>
      </c>
      <c r="J1383" s="210" t="s">
        <v>15</v>
      </c>
      <c r="K1383" s="210" t="s">
        <v>54</v>
      </c>
      <c r="L1383" s="211" t="s">
        <v>60</v>
      </c>
      <c r="M1383" s="211" t="s">
        <v>56</v>
      </c>
    </row>
    <row r="1384" spans="1:13" x14ac:dyDescent="0.2">
      <c r="A1384" s="211" t="s">
        <v>55</v>
      </c>
      <c r="B1384" s="211" t="s">
        <v>58</v>
      </c>
      <c r="C1384" s="211" t="s">
        <v>19</v>
      </c>
      <c r="D1384" s="211" t="s">
        <v>12</v>
      </c>
      <c r="E1384" s="208">
        <v>42898</v>
      </c>
      <c r="F1384" s="209">
        <v>8.06</v>
      </c>
      <c r="G1384" s="210" t="s">
        <v>13</v>
      </c>
      <c r="H1384" s="211" t="s">
        <v>18</v>
      </c>
      <c r="I1384" s="210">
        <v>1</v>
      </c>
      <c r="J1384" s="210" t="s">
        <v>15</v>
      </c>
      <c r="K1384" s="210" t="s">
        <v>54</v>
      </c>
      <c r="L1384" s="211" t="s">
        <v>60</v>
      </c>
      <c r="M1384" s="211" t="s">
        <v>17</v>
      </c>
    </row>
    <row r="1385" spans="1:13" x14ac:dyDescent="0.2">
      <c r="A1385" s="211" t="s">
        <v>55</v>
      </c>
      <c r="B1385" s="211" t="s">
        <v>58</v>
      </c>
      <c r="C1385" s="211" t="s">
        <v>19</v>
      </c>
      <c r="D1385" s="211" t="s">
        <v>12</v>
      </c>
      <c r="E1385" s="208">
        <v>42898</v>
      </c>
      <c r="F1385" s="221">
        <v>3246.74532</v>
      </c>
      <c r="G1385" s="210" t="s">
        <v>16</v>
      </c>
      <c r="H1385" s="211" t="s">
        <v>18</v>
      </c>
      <c r="I1385" s="210">
        <v>1</v>
      </c>
      <c r="J1385" s="210" t="s">
        <v>15</v>
      </c>
      <c r="K1385" s="210" t="s">
        <v>54</v>
      </c>
      <c r="L1385" s="211" t="s">
        <v>60</v>
      </c>
      <c r="M1385" s="211" t="s">
        <v>17</v>
      </c>
    </row>
    <row r="1386" spans="1:13" x14ac:dyDescent="0.2">
      <c r="A1386" s="211" t="s">
        <v>55</v>
      </c>
      <c r="B1386" s="211" t="s">
        <v>58</v>
      </c>
      <c r="C1386" s="211" t="s">
        <v>19</v>
      </c>
      <c r="D1386" s="211" t="s">
        <v>12</v>
      </c>
      <c r="E1386" s="208">
        <v>42897</v>
      </c>
      <c r="F1386" s="222">
        <v>25.638696500000002</v>
      </c>
      <c r="G1386" s="210" t="s">
        <v>13</v>
      </c>
      <c r="H1386" s="211" t="s">
        <v>14</v>
      </c>
      <c r="I1386" s="210">
        <v>1</v>
      </c>
      <c r="J1386" s="210" t="s">
        <v>15</v>
      </c>
      <c r="K1386" s="210" t="s">
        <v>54</v>
      </c>
      <c r="L1386" s="211" t="s">
        <v>60</v>
      </c>
      <c r="M1386" s="211" t="s">
        <v>56</v>
      </c>
    </row>
    <row r="1387" spans="1:13" x14ac:dyDescent="0.2">
      <c r="A1387" s="211" t="s">
        <v>55</v>
      </c>
      <c r="B1387" s="211" t="s">
        <v>58</v>
      </c>
      <c r="C1387" s="211" t="s">
        <v>19</v>
      </c>
      <c r="D1387" s="211" t="s">
        <v>12</v>
      </c>
      <c r="E1387" s="208">
        <v>42897</v>
      </c>
      <c r="F1387" s="223">
        <v>10498.892400000001</v>
      </c>
      <c r="G1387" s="224" t="s">
        <v>16</v>
      </c>
      <c r="H1387" s="225" t="s">
        <v>14</v>
      </c>
      <c r="I1387" s="210">
        <v>1</v>
      </c>
      <c r="J1387" s="210" t="s">
        <v>15</v>
      </c>
      <c r="K1387" s="210" t="s">
        <v>54</v>
      </c>
      <c r="L1387" s="211" t="s">
        <v>60</v>
      </c>
      <c r="M1387" s="211" t="s">
        <v>56</v>
      </c>
    </row>
    <row r="1388" spans="1:13" x14ac:dyDescent="0.2">
      <c r="A1388" s="211" t="s">
        <v>55</v>
      </c>
      <c r="B1388" s="211" t="s">
        <v>58</v>
      </c>
      <c r="C1388" s="211" t="s">
        <v>19</v>
      </c>
      <c r="D1388" s="211" t="s">
        <v>12</v>
      </c>
      <c r="E1388" s="208">
        <v>42897</v>
      </c>
      <c r="F1388" s="222">
        <v>7.41</v>
      </c>
      <c r="G1388" s="210" t="s">
        <v>13</v>
      </c>
      <c r="H1388" s="211" t="s">
        <v>18</v>
      </c>
      <c r="I1388" s="210">
        <v>1</v>
      </c>
      <c r="J1388" s="210" t="s">
        <v>15</v>
      </c>
      <c r="K1388" s="210" t="s">
        <v>54</v>
      </c>
      <c r="L1388" s="211" t="s">
        <v>60</v>
      </c>
      <c r="M1388" s="211" t="s">
        <v>17</v>
      </c>
    </row>
    <row r="1389" spans="1:13" x14ac:dyDescent="0.2">
      <c r="A1389" s="211" t="s">
        <v>55</v>
      </c>
      <c r="B1389" s="211" t="s">
        <v>58</v>
      </c>
      <c r="C1389" s="211" t="s">
        <v>19</v>
      </c>
      <c r="D1389" s="211" t="s">
        <v>12</v>
      </c>
      <c r="E1389" s="208">
        <v>42897</v>
      </c>
      <c r="F1389" s="223">
        <v>3034.3505399999999</v>
      </c>
      <c r="G1389" s="210" t="s">
        <v>16</v>
      </c>
      <c r="H1389" s="211" t="s">
        <v>18</v>
      </c>
      <c r="I1389" s="210">
        <v>1</v>
      </c>
      <c r="J1389" s="210" t="s">
        <v>15</v>
      </c>
      <c r="K1389" s="210" t="s">
        <v>54</v>
      </c>
      <c r="L1389" s="211" t="s">
        <v>60</v>
      </c>
      <c r="M1389" s="211" t="s">
        <v>17</v>
      </c>
    </row>
    <row r="1390" spans="1:13" x14ac:dyDescent="0.2">
      <c r="A1390" s="211" t="s">
        <v>55</v>
      </c>
      <c r="B1390" s="211" t="s">
        <v>58</v>
      </c>
      <c r="C1390" s="211" t="s">
        <v>19</v>
      </c>
      <c r="D1390" s="211" t="s">
        <v>12</v>
      </c>
      <c r="E1390" s="208">
        <v>42896</v>
      </c>
      <c r="F1390" s="209">
        <v>10.145407000000001</v>
      </c>
      <c r="G1390" s="210" t="s">
        <v>13</v>
      </c>
      <c r="H1390" s="211" t="s">
        <v>14</v>
      </c>
      <c r="I1390" s="210">
        <v>1</v>
      </c>
      <c r="J1390" s="210" t="s">
        <v>15</v>
      </c>
      <c r="K1390" s="210" t="s">
        <v>54</v>
      </c>
      <c r="L1390" s="211" t="s">
        <v>60</v>
      </c>
      <c r="M1390" s="211" t="s">
        <v>56</v>
      </c>
    </row>
    <row r="1391" spans="1:13" x14ac:dyDescent="0.2">
      <c r="A1391" s="211" t="s">
        <v>55</v>
      </c>
      <c r="B1391" s="211" t="s">
        <v>58</v>
      </c>
      <c r="C1391" s="211" t="s">
        <v>19</v>
      </c>
      <c r="D1391" s="211" t="s">
        <v>12</v>
      </c>
      <c r="E1391" s="208">
        <v>42896</v>
      </c>
      <c r="F1391" s="221">
        <v>4052.9481000000001</v>
      </c>
      <c r="G1391" s="210" t="s">
        <v>16</v>
      </c>
      <c r="H1391" s="211" t="s">
        <v>14</v>
      </c>
      <c r="I1391" s="210">
        <v>1</v>
      </c>
      <c r="J1391" s="210" t="s">
        <v>15</v>
      </c>
      <c r="K1391" s="210" t="s">
        <v>54</v>
      </c>
      <c r="L1391" s="211" t="s">
        <v>60</v>
      </c>
      <c r="M1391" s="211" t="s">
        <v>56</v>
      </c>
    </row>
    <row r="1392" spans="1:13" x14ac:dyDescent="0.2">
      <c r="A1392" s="211" t="s">
        <v>55</v>
      </c>
      <c r="B1392" s="211" t="s">
        <v>58</v>
      </c>
      <c r="C1392" s="211" t="s">
        <v>19</v>
      </c>
      <c r="D1392" s="211" t="s">
        <v>12</v>
      </c>
      <c r="E1392" s="208">
        <v>42896</v>
      </c>
      <c r="F1392" s="209">
        <v>7.48</v>
      </c>
      <c r="G1392" s="210" t="s">
        <v>13</v>
      </c>
      <c r="H1392" s="211" t="s">
        <v>18</v>
      </c>
      <c r="I1392" s="210">
        <v>1</v>
      </c>
      <c r="J1392" s="210" t="s">
        <v>15</v>
      </c>
      <c r="K1392" s="210" t="s">
        <v>54</v>
      </c>
      <c r="L1392" s="211" t="s">
        <v>60</v>
      </c>
      <c r="M1392" s="211" t="s">
        <v>17</v>
      </c>
    </row>
    <row r="1393" spans="1:13" x14ac:dyDescent="0.2">
      <c r="A1393" s="211" t="s">
        <v>55</v>
      </c>
      <c r="B1393" s="211" t="s">
        <v>58</v>
      </c>
      <c r="C1393" s="211" t="s">
        <v>19</v>
      </c>
      <c r="D1393" s="211" t="s">
        <v>12</v>
      </c>
      <c r="E1393" s="208">
        <v>42896</v>
      </c>
      <c r="F1393" s="221">
        <v>2988.1552799999999</v>
      </c>
      <c r="G1393" s="210" t="s">
        <v>16</v>
      </c>
      <c r="H1393" s="211" t="s">
        <v>18</v>
      </c>
      <c r="I1393" s="210">
        <v>1</v>
      </c>
      <c r="J1393" s="210" t="s">
        <v>15</v>
      </c>
      <c r="K1393" s="210" t="s">
        <v>54</v>
      </c>
      <c r="L1393" s="211" t="s">
        <v>60</v>
      </c>
      <c r="M1393" s="211" t="s">
        <v>17</v>
      </c>
    </row>
    <row r="1394" spans="1:13" x14ac:dyDescent="0.2">
      <c r="A1394" s="211" t="s">
        <v>55</v>
      </c>
      <c r="B1394" s="211" t="s">
        <v>58</v>
      </c>
      <c r="C1394" s="211" t="s">
        <v>19</v>
      </c>
      <c r="D1394" s="211" t="s">
        <v>12</v>
      </c>
      <c r="E1394" s="208">
        <v>42895</v>
      </c>
      <c r="F1394" s="209">
        <v>11.896046999999999</v>
      </c>
      <c r="G1394" s="210" t="s">
        <v>13</v>
      </c>
      <c r="H1394" s="211" t="s">
        <v>14</v>
      </c>
      <c r="I1394" s="210">
        <v>1</v>
      </c>
      <c r="J1394" s="210" t="s">
        <v>15</v>
      </c>
      <c r="K1394" s="210" t="s">
        <v>54</v>
      </c>
      <c r="L1394" s="211" t="s">
        <v>60</v>
      </c>
      <c r="M1394" s="211" t="s">
        <v>56</v>
      </c>
    </row>
    <row r="1395" spans="1:13" x14ac:dyDescent="0.2">
      <c r="A1395" s="211" t="s">
        <v>55</v>
      </c>
      <c r="B1395" s="211" t="s">
        <v>58</v>
      </c>
      <c r="C1395" s="211" t="s">
        <v>19</v>
      </c>
      <c r="D1395" s="211" t="s">
        <v>12</v>
      </c>
      <c r="E1395" s="208">
        <v>42895</v>
      </c>
      <c r="F1395" s="221">
        <v>4643.1698999999999</v>
      </c>
      <c r="G1395" s="210" t="s">
        <v>16</v>
      </c>
      <c r="H1395" s="211" t="s">
        <v>14</v>
      </c>
      <c r="I1395" s="210">
        <v>1</v>
      </c>
      <c r="J1395" s="210" t="s">
        <v>15</v>
      </c>
      <c r="K1395" s="210" t="s">
        <v>54</v>
      </c>
      <c r="L1395" s="211" t="s">
        <v>60</v>
      </c>
      <c r="M1395" s="211" t="s">
        <v>56</v>
      </c>
    </row>
    <row r="1396" spans="1:13" x14ac:dyDescent="0.2">
      <c r="A1396" s="211" t="s">
        <v>55</v>
      </c>
      <c r="B1396" s="211" t="s">
        <v>58</v>
      </c>
      <c r="C1396" s="211" t="s">
        <v>19</v>
      </c>
      <c r="D1396" s="211" t="s">
        <v>12</v>
      </c>
      <c r="E1396" s="208">
        <v>42895</v>
      </c>
      <c r="F1396" s="209">
        <v>8.2200000000000006</v>
      </c>
      <c r="G1396" s="210" t="s">
        <v>13</v>
      </c>
      <c r="H1396" s="211" t="s">
        <v>18</v>
      </c>
      <c r="I1396" s="210">
        <v>1</v>
      </c>
      <c r="J1396" s="210" t="s">
        <v>15</v>
      </c>
      <c r="K1396" s="210" t="s">
        <v>54</v>
      </c>
      <c r="L1396" s="211" t="s">
        <v>60</v>
      </c>
      <c r="M1396" s="211" t="s">
        <v>17</v>
      </c>
    </row>
    <row r="1397" spans="1:13" x14ac:dyDescent="0.2">
      <c r="A1397" s="211" t="s">
        <v>55</v>
      </c>
      <c r="B1397" s="211" t="s">
        <v>58</v>
      </c>
      <c r="C1397" s="211" t="s">
        <v>19</v>
      </c>
      <c r="D1397" s="211" t="s">
        <v>12</v>
      </c>
      <c r="E1397" s="208">
        <v>42895</v>
      </c>
      <c r="F1397" s="221">
        <v>3208.3646399999998</v>
      </c>
      <c r="G1397" s="210" t="s">
        <v>16</v>
      </c>
      <c r="H1397" s="211" t="s">
        <v>18</v>
      </c>
      <c r="I1397" s="210">
        <v>1</v>
      </c>
      <c r="J1397" s="210" t="s">
        <v>15</v>
      </c>
      <c r="K1397" s="210" t="s">
        <v>54</v>
      </c>
      <c r="L1397" s="211" t="s">
        <v>60</v>
      </c>
      <c r="M1397" s="211" t="s">
        <v>17</v>
      </c>
    </row>
    <row r="1398" spans="1:13" x14ac:dyDescent="0.2">
      <c r="A1398" s="211" t="s">
        <v>55</v>
      </c>
      <c r="B1398" s="211" t="s">
        <v>58</v>
      </c>
      <c r="C1398" s="211" t="s">
        <v>19</v>
      </c>
      <c r="D1398" s="211" t="s">
        <v>12</v>
      </c>
      <c r="E1398" s="208">
        <v>42894</v>
      </c>
      <c r="F1398" s="209">
        <v>12.0804752</v>
      </c>
      <c r="G1398" s="210" t="s">
        <v>13</v>
      </c>
      <c r="H1398" s="211" t="s">
        <v>14</v>
      </c>
      <c r="I1398" s="210">
        <v>1</v>
      </c>
      <c r="J1398" s="210" t="s">
        <v>15</v>
      </c>
      <c r="K1398" s="210" t="s">
        <v>54</v>
      </c>
      <c r="L1398" s="211" t="s">
        <v>60</v>
      </c>
      <c r="M1398" s="211" t="s">
        <v>56</v>
      </c>
    </row>
    <row r="1399" spans="1:13" x14ac:dyDescent="0.2">
      <c r="A1399" s="211" t="s">
        <v>55</v>
      </c>
      <c r="B1399" s="211" t="s">
        <v>58</v>
      </c>
      <c r="C1399" s="211" t="s">
        <v>19</v>
      </c>
      <c r="D1399" s="211" t="s">
        <v>12</v>
      </c>
      <c r="E1399" s="208">
        <v>42894</v>
      </c>
      <c r="F1399" s="221">
        <v>4876.3563000000004</v>
      </c>
      <c r="G1399" s="210" t="s">
        <v>16</v>
      </c>
      <c r="H1399" s="211" t="s">
        <v>14</v>
      </c>
      <c r="I1399" s="210">
        <v>1</v>
      </c>
      <c r="J1399" s="210" t="s">
        <v>15</v>
      </c>
      <c r="K1399" s="210" t="s">
        <v>54</v>
      </c>
      <c r="L1399" s="211" t="s">
        <v>60</v>
      </c>
      <c r="M1399" s="211" t="s">
        <v>56</v>
      </c>
    </row>
    <row r="1400" spans="1:13" x14ac:dyDescent="0.2">
      <c r="A1400" s="211" t="s">
        <v>55</v>
      </c>
      <c r="B1400" s="211" t="s">
        <v>58</v>
      </c>
      <c r="C1400" s="211" t="s">
        <v>19</v>
      </c>
      <c r="D1400" s="211" t="s">
        <v>12</v>
      </c>
      <c r="E1400" s="208">
        <v>42894</v>
      </c>
      <c r="F1400" s="209">
        <v>7.93</v>
      </c>
      <c r="G1400" s="210" t="s">
        <v>13</v>
      </c>
      <c r="H1400" s="211" t="s">
        <v>18</v>
      </c>
      <c r="I1400" s="210">
        <v>1</v>
      </c>
      <c r="J1400" s="210" t="s">
        <v>15</v>
      </c>
      <c r="K1400" s="210" t="s">
        <v>54</v>
      </c>
      <c r="L1400" s="211" t="s">
        <v>60</v>
      </c>
      <c r="M1400" s="211" t="s">
        <v>17</v>
      </c>
    </row>
    <row r="1401" spans="1:13" x14ac:dyDescent="0.2">
      <c r="A1401" s="211" t="s">
        <v>55</v>
      </c>
      <c r="B1401" s="211" t="s">
        <v>58</v>
      </c>
      <c r="C1401" s="211" t="s">
        <v>19</v>
      </c>
      <c r="D1401" s="211" t="s">
        <v>12</v>
      </c>
      <c r="E1401" s="208">
        <v>42894</v>
      </c>
      <c r="F1401" s="221">
        <v>3200.99208</v>
      </c>
      <c r="G1401" s="210" t="s">
        <v>16</v>
      </c>
      <c r="H1401" s="211" t="s">
        <v>18</v>
      </c>
      <c r="I1401" s="210">
        <v>1</v>
      </c>
      <c r="J1401" s="210" t="s">
        <v>15</v>
      </c>
      <c r="K1401" s="210" t="s">
        <v>54</v>
      </c>
      <c r="L1401" s="211" t="s">
        <v>60</v>
      </c>
      <c r="M1401" s="211" t="s">
        <v>17</v>
      </c>
    </row>
    <row r="1402" spans="1:13" x14ac:dyDescent="0.2">
      <c r="A1402" s="211" t="s">
        <v>55</v>
      </c>
      <c r="B1402" s="211" t="s">
        <v>58</v>
      </c>
      <c r="C1402" s="211" t="s">
        <v>19</v>
      </c>
      <c r="D1402" s="211" t="s">
        <v>12</v>
      </c>
      <c r="E1402" s="208">
        <v>42893</v>
      </c>
      <c r="F1402" s="209">
        <v>10.4792302</v>
      </c>
      <c r="G1402" s="210" t="s">
        <v>13</v>
      </c>
      <c r="H1402" s="211" t="s">
        <v>14</v>
      </c>
      <c r="I1402" s="210">
        <v>1</v>
      </c>
      <c r="J1402" s="210" t="s">
        <v>15</v>
      </c>
      <c r="K1402" s="210" t="s">
        <v>54</v>
      </c>
      <c r="L1402" s="211" t="s">
        <v>60</v>
      </c>
      <c r="M1402" s="211" t="s">
        <v>56</v>
      </c>
    </row>
    <row r="1403" spans="1:13" x14ac:dyDescent="0.2">
      <c r="A1403" s="211" t="s">
        <v>55</v>
      </c>
      <c r="B1403" s="211" t="s">
        <v>58</v>
      </c>
      <c r="C1403" s="211" t="s">
        <v>19</v>
      </c>
      <c r="D1403" s="211" t="s">
        <v>12</v>
      </c>
      <c r="E1403" s="208">
        <v>42893</v>
      </c>
      <c r="F1403" s="221">
        <v>3985.2931859999999</v>
      </c>
      <c r="G1403" s="210" t="s">
        <v>16</v>
      </c>
      <c r="H1403" s="211" t="s">
        <v>14</v>
      </c>
      <c r="I1403" s="210">
        <v>1</v>
      </c>
      <c r="J1403" s="210" t="s">
        <v>15</v>
      </c>
      <c r="K1403" s="210" t="s">
        <v>54</v>
      </c>
      <c r="L1403" s="211" t="s">
        <v>60</v>
      </c>
      <c r="M1403" s="211" t="s">
        <v>56</v>
      </c>
    </row>
    <row r="1404" spans="1:13" x14ac:dyDescent="0.2">
      <c r="A1404" s="211" t="s">
        <v>55</v>
      </c>
      <c r="B1404" s="211" t="s">
        <v>58</v>
      </c>
      <c r="C1404" s="211" t="s">
        <v>19</v>
      </c>
      <c r="D1404" s="211" t="s">
        <v>12</v>
      </c>
      <c r="E1404" s="208">
        <v>42893</v>
      </c>
      <c r="F1404" s="209">
        <v>7.23</v>
      </c>
      <c r="G1404" s="210" t="s">
        <v>13</v>
      </c>
      <c r="H1404" s="211" t="s">
        <v>18</v>
      </c>
      <c r="I1404" s="210">
        <v>1</v>
      </c>
      <c r="J1404" s="210" t="s">
        <v>15</v>
      </c>
      <c r="K1404" s="210" t="s">
        <v>54</v>
      </c>
      <c r="L1404" s="211" t="s">
        <v>60</v>
      </c>
      <c r="M1404" s="211" t="s">
        <v>17</v>
      </c>
    </row>
    <row r="1405" spans="1:13" x14ac:dyDescent="0.2">
      <c r="A1405" s="211" t="s">
        <v>55</v>
      </c>
      <c r="B1405" s="211" t="s">
        <v>58</v>
      </c>
      <c r="C1405" s="211" t="s">
        <v>19</v>
      </c>
      <c r="D1405" s="211" t="s">
        <v>12</v>
      </c>
      <c r="E1405" s="208">
        <v>42893</v>
      </c>
      <c r="F1405" s="221">
        <v>2749.5979200000002</v>
      </c>
      <c r="G1405" s="210" t="s">
        <v>16</v>
      </c>
      <c r="H1405" s="211" t="s">
        <v>18</v>
      </c>
      <c r="I1405" s="210">
        <v>1</v>
      </c>
      <c r="J1405" s="210" t="s">
        <v>15</v>
      </c>
      <c r="K1405" s="210" t="s">
        <v>54</v>
      </c>
      <c r="L1405" s="211" t="s">
        <v>60</v>
      </c>
      <c r="M1405" s="211" t="s">
        <v>17</v>
      </c>
    </row>
    <row r="1406" spans="1:13" x14ac:dyDescent="0.2">
      <c r="A1406" s="211" t="s">
        <v>55</v>
      </c>
      <c r="B1406" s="211" t="s">
        <v>58</v>
      </c>
      <c r="C1406" s="211" t="s">
        <v>19</v>
      </c>
      <c r="D1406" s="211" t="s">
        <v>12</v>
      </c>
      <c r="E1406" s="208">
        <v>42892</v>
      </c>
      <c r="F1406" s="209">
        <v>11.0150104</v>
      </c>
      <c r="G1406" s="210" t="s">
        <v>13</v>
      </c>
      <c r="H1406" s="211" t="s">
        <v>14</v>
      </c>
      <c r="I1406" s="210">
        <v>1</v>
      </c>
      <c r="J1406" s="210" t="s">
        <v>15</v>
      </c>
      <c r="K1406" s="210" t="s">
        <v>54</v>
      </c>
      <c r="L1406" s="211" t="s">
        <v>60</v>
      </c>
      <c r="M1406" s="211" t="s">
        <v>56</v>
      </c>
    </row>
    <row r="1407" spans="1:13" x14ac:dyDescent="0.2">
      <c r="A1407" s="211" t="s">
        <v>55</v>
      </c>
      <c r="B1407" s="211" t="s">
        <v>58</v>
      </c>
      <c r="C1407" s="211" t="s">
        <v>19</v>
      </c>
      <c r="D1407" s="211" t="s">
        <v>12</v>
      </c>
      <c r="E1407" s="208">
        <v>42892</v>
      </c>
      <c r="F1407" s="221">
        <v>4381.9694399999998</v>
      </c>
      <c r="G1407" s="210" t="s">
        <v>16</v>
      </c>
      <c r="H1407" s="211" t="s">
        <v>14</v>
      </c>
      <c r="I1407" s="210">
        <v>1</v>
      </c>
      <c r="J1407" s="210" t="s">
        <v>15</v>
      </c>
      <c r="K1407" s="210" t="s">
        <v>54</v>
      </c>
      <c r="L1407" s="211" t="s">
        <v>60</v>
      </c>
      <c r="M1407" s="211" t="s">
        <v>56</v>
      </c>
    </row>
    <row r="1408" spans="1:13" x14ac:dyDescent="0.2">
      <c r="A1408" s="211" t="s">
        <v>55</v>
      </c>
      <c r="B1408" s="211" t="s">
        <v>58</v>
      </c>
      <c r="C1408" s="211" t="s">
        <v>19</v>
      </c>
      <c r="D1408" s="211" t="s">
        <v>12</v>
      </c>
      <c r="E1408" s="208">
        <v>42892</v>
      </c>
      <c r="F1408" s="209">
        <v>7.65</v>
      </c>
      <c r="G1408" s="210" t="s">
        <v>13</v>
      </c>
      <c r="H1408" s="211" t="s">
        <v>18</v>
      </c>
      <c r="I1408" s="210">
        <v>1</v>
      </c>
      <c r="J1408" s="210" t="s">
        <v>15</v>
      </c>
      <c r="K1408" s="210" t="s">
        <v>54</v>
      </c>
      <c r="L1408" s="211" t="s">
        <v>60</v>
      </c>
      <c r="M1408" s="211" t="s">
        <v>17</v>
      </c>
    </row>
    <row r="1409" spans="1:13" x14ac:dyDescent="0.2">
      <c r="A1409" s="211" t="s">
        <v>55</v>
      </c>
      <c r="B1409" s="211" t="s">
        <v>58</v>
      </c>
      <c r="C1409" s="211" t="s">
        <v>19</v>
      </c>
      <c r="D1409" s="211" t="s">
        <v>12</v>
      </c>
      <c r="E1409" s="208">
        <v>42892</v>
      </c>
      <c r="F1409" s="221">
        <v>3043.3076999999998</v>
      </c>
      <c r="G1409" s="210" t="s">
        <v>16</v>
      </c>
      <c r="H1409" s="211" t="s">
        <v>18</v>
      </c>
      <c r="I1409" s="210">
        <v>1</v>
      </c>
      <c r="J1409" s="210" t="s">
        <v>15</v>
      </c>
      <c r="K1409" s="210" t="s">
        <v>54</v>
      </c>
      <c r="L1409" s="211" t="s">
        <v>60</v>
      </c>
      <c r="M1409" s="211" t="s">
        <v>17</v>
      </c>
    </row>
    <row r="1410" spans="1:13" x14ac:dyDescent="0.2">
      <c r="A1410" s="211" t="s">
        <v>55</v>
      </c>
      <c r="B1410" s="211" t="s">
        <v>58</v>
      </c>
      <c r="C1410" s="211" t="s">
        <v>19</v>
      </c>
      <c r="D1410" s="211" t="s">
        <v>12</v>
      </c>
      <c r="E1410" s="208">
        <v>42891</v>
      </c>
      <c r="F1410" s="209">
        <v>9.9643774999999994</v>
      </c>
      <c r="G1410" s="210" t="s">
        <v>13</v>
      </c>
      <c r="H1410" s="211" t="s">
        <v>14</v>
      </c>
      <c r="I1410" s="210">
        <v>1</v>
      </c>
      <c r="J1410" s="210" t="s">
        <v>15</v>
      </c>
      <c r="K1410" s="210" t="s">
        <v>54</v>
      </c>
      <c r="L1410" s="211" t="s">
        <v>60</v>
      </c>
      <c r="M1410" s="211" t="s">
        <v>56</v>
      </c>
    </row>
    <row r="1411" spans="1:13" x14ac:dyDescent="0.2">
      <c r="A1411" s="211" t="s">
        <v>55</v>
      </c>
      <c r="B1411" s="211" t="s">
        <v>58</v>
      </c>
      <c r="C1411" s="211" t="s">
        <v>19</v>
      </c>
      <c r="D1411" s="211" t="s">
        <v>12</v>
      </c>
      <c r="E1411" s="208">
        <v>42891</v>
      </c>
      <c r="F1411" s="221">
        <v>4005.5602199999998</v>
      </c>
      <c r="G1411" s="210" t="s">
        <v>16</v>
      </c>
      <c r="H1411" s="211" t="s">
        <v>14</v>
      </c>
      <c r="I1411" s="210">
        <v>1</v>
      </c>
      <c r="J1411" s="210" t="s">
        <v>15</v>
      </c>
      <c r="K1411" s="210" t="s">
        <v>54</v>
      </c>
      <c r="L1411" s="211" t="s">
        <v>60</v>
      </c>
      <c r="M1411" s="211" t="s">
        <v>56</v>
      </c>
    </row>
    <row r="1412" spans="1:13" x14ac:dyDescent="0.2">
      <c r="A1412" s="211" t="s">
        <v>55</v>
      </c>
      <c r="B1412" s="211" t="s">
        <v>58</v>
      </c>
      <c r="C1412" s="211" t="s">
        <v>19</v>
      </c>
      <c r="D1412" s="211" t="s">
        <v>12</v>
      </c>
      <c r="E1412" s="208">
        <v>42891</v>
      </c>
      <c r="F1412" s="209">
        <v>7.87</v>
      </c>
      <c r="G1412" s="210" t="s">
        <v>13</v>
      </c>
      <c r="H1412" s="211" t="s">
        <v>18</v>
      </c>
      <c r="I1412" s="210">
        <v>1</v>
      </c>
      <c r="J1412" s="210" t="s">
        <v>15</v>
      </c>
      <c r="K1412" s="210" t="s">
        <v>54</v>
      </c>
      <c r="L1412" s="211" t="s">
        <v>60</v>
      </c>
      <c r="M1412" s="211" t="s">
        <v>17</v>
      </c>
    </row>
    <row r="1413" spans="1:13" x14ac:dyDescent="0.2">
      <c r="A1413" s="211" t="s">
        <v>55</v>
      </c>
      <c r="B1413" s="211" t="s">
        <v>58</v>
      </c>
      <c r="C1413" s="211" t="s">
        <v>19</v>
      </c>
      <c r="D1413" s="211" t="s">
        <v>12</v>
      </c>
      <c r="E1413" s="208">
        <v>42891</v>
      </c>
      <c r="F1413" s="221">
        <v>3163.6455599999999</v>
      </c>
      <c r="G1413" s="210" t="s">
        <v>16</v>
      </c>
      <c r="H1413" s="211" t="s">
        <v>18</v>
      </c>
      <c r="I1413" s="210">
        <v>1</v>
      </c>
      <c r="J1413" s="210" t="s">
        <v>15</v>
      </c>
      <c r="K1413" s="210" t="s">
        <v>54</v>
      </c>
      <c r="L1413" s="211" t="s">
        <v>60</v>
      </c>
      <c r="M1413" s="211" t="s">
        <v>17</v>
      </c>
    </row>
    <row r="1414" spans="1:13" x14ac:dyDescent="0.2">
      <c r="A1414" s="211" t="s">
        <v>55</v>
      </c>
      <c r="B1414" s="211" t="s">
        <v>58</v>
      </c>
      <c r="C1414" s="211" t="s">
        <v>19</v>
      </c>
      <c r="D1414" s="211" t="s">
        <v>12</v>
      </c>
      <c r="E1414" s="208">
        <v>42890</v>
      </c>
      <c r="F1414" s="209">
        <v>10.616350199999999</v>
      </c>
      <c r="G1414" s="210" t="s">
        <v>13</v>
      </c>
      <c r="H1414" s="211" t="s">
        <v>14</v>
      </c>
      <c r="I1414" s="210">
        <v>1</v>
      </c>
      <c r="J1414" s="210" t="s">
        <v>15</v>
      </c>
      <c r="K1414" s="210" t="s">
        <v>54</v>
      </c>
      <c r="L1414" s="211" t="s">
        <v>60</v>
      </c>
      <c r="M1414" s="211" t="s">
        <v>56</v>
      </c>
    </row>
    <row r="1415" spans="1:13" x14ac:dyDescent="0.2">
      <c r="A1415" s="211" t="s">
        <v>55</v>
      </c>
      <c r="B1415" s="211" t="s">
        <v>58</v>
      </c>
      <c r="C1415" s="211" t="s">
        <v>19</v>
      </c>
      <c r="D1415" s="211" t="s">
        <v>12</v>
      </c>
      <c r="E1415" s="208">
        <v>42890</v>
      </c>
      <c r="F1415" s="221">
        <v>4196.8131000000003</v>
      </c>
      <c r="G1415" s="210" t="s">
        <v>16</v>
      </c>
      <c r="H1415" s="211" t="s">
        <v>14</v>
      </c>
      <c r="I1415" s="210">
        <v>1</v>
      </c>
      <c r="J1415" s="210" t="s">
        <v>15</v>
      </c>
      <c r="K1415" s="210" t="s">
        <v>54</v>
      </c>
      <c r="L1415" s="211" t="s">
        <v>60</v>
      </c>
      <c r="M1415" s="211" t="s">
        <v>56</v>
      </c>
    </row>
    <row r="1416" spans="1:13" x14ac:dyDescent="0.2">
      <c r="A1416" s="211" t="s">
        <v>55</v>
      </c>
      <c r="B1416" s="211" t="s">
        <v>58</v>
      </c>
      <c r="C1416" s="211" t="s">
        <v>19</v>
      </c>
      <c r="D1416" s="211" t="s">
        <v>12</v>
      </c>
      <c r="E1416" s="208">
        <v>42890</v>
      </c>
      <c r="F1416" s="209">
        <v>7.84</v>
      </c>
      <c r="G1416" s="210" t="s">
        <v>13</v>
      </c>
      <c r="H1416" s="211" t="s">
        <v>18</v>
      </c>
      <c r="I1416" s="210">
        <v>1</v>
      </c>
      <c r="J1416" s="210" t="s">
        <v>15</v>
      </c>
      <c r="K1416" s="210" t="s">
        <v>54</v>
      </c>
      <c r="L1416" s="211" t="s">
        <v>60</v>
      </c>
      <c r="M1416" s="211" t="s">
        <v>17</v>
      </c>
    </row>
    <row r="1417" spans="1:13" x14ac:dyDescent="0.2">
      <c r="A1417" s="211" t="s">
        <v>55</v>
      </c>
      <c r="B1417" s="211" t="s">
        <v>58</v>
      </c>
      <c r="C1417" s="211" t="s">
        <v>19</v>
      </c>
      <c r="D1417" s="211" t="s">
        <v>12</v>
      </c>
      <c r="E1417" s="208">
        <v>42890</v>
      </c>
      <c r="F1417" s="221">
        <v>3099.2774399999998</v>
      </c>
      <c r="G1417" s="210" t="s">
        <v>16</v>
      </c>
      <c r="H1417" s="211" t="s">
        <v>18</v>
      </c>
      <c r="I1417" s="210">
        <v>1</v>
      </c>
      <c r="J1417" s="210" t="s">
        <v>15</v>
      </c>
      <c r="K1417" s="210" t="s">
        <v>54</v>
      </c>
      <c r="L1417" s="211" t="s">
        <v>60</v>
      </c>
      <c r="M1417" s="211" t="s">
        <v>17</v>
      </c>
    </row>
    <row r="1418" spans="1:13" x14ac:dyDescent="0.2">
      <c r="A1418" s="211" t="s">
        <v>55</v>
      </c>
      <c r="B1418" s="211" t="s">
        <v>58</v>
      </c>
      <c r="C1418" s="211" t="s">
        <v>19</v>
      </c>
      <c r="D1418" s="211" t="s">
        <v>12</v>
      </c>
      <c r="E1418" s="208">
        <v>42889</v>
      </c>
      <c r="F1418" s="209">
        <v>10.711948599999999</v>
      </c>
      <c r="G1418" s="210" t="s">
        <v>13</v>
      </c>
      <c r="H1418" s="211" t="s">
        <v>14</v>
      </c>
      <c r="I1418" s="210">
        <v>1</v>
      </c>
      <c r="J1418" s="210" t="s">
        <v>15</v>
      </c>
      <c r="K1418" s="210" t="s">
        <v>54</v>
      </c>
      <c r="L1418" s="211" t="s">
        <v>60</v>
      </c>
      <c r="M1418" s="211" t="s">
        <v>56</v>
      </c>
    </row>
    <row r="1419" spans="1:13" x14ac:dyDescent="0.2">
      <c r="A1419" s="211" t="s">
        <v>55</v>
      </c>
      <c r="B1419" s="211" t="s">
        <v>58</v>
      </c>
      <c r="C1419" s="211" t="s">
        <v>19</v>
      </c>
      <c r="D1419" s="211" t="s">
        <v>12</v>
      </c>
      <c r="E1419" s="208">
        <v>42889</v>
      </c>
      <c r="F1419" s="221">
        <v>4350.7436459999999</v>
      </c>
      <c r="G1419" s="210" t="s">
        <v>16</v>
      </c>
      <c r="H1419" s="211" t="s">
        <v>14</v>
      </c>
      <c r="I1419" s="210">
        <v>1</v>
      </c>
      <c r="J1419" s="210" t="s">
        <v>15</v>
      </c>
      <c r="K1419" s="210" t="s">
        <v>54</v>
      </c>
      <c r="L1419" s="211" t="s">
        <v>60</v>
      </c>
      <c r="M1419" s="211" t="s">
        <v>56</v>
      </c>
    </row>
    <row r="1420" spans="1:13" x14ac:dyDescent="0.2">
      <c r="A1420" s="211" t="s">
        <v>55</v>
      </c>
      <c r="B1420" s="211" t="s">
        <v>58</v>
      </c>
      <c r="C1420" s="211" t="s">
        <v>19</v>
      </c>
      <c r="D1420" s="211" t="s">
        <v>12</v>
      </c>
      <c r="E1420" s="208">
        <v>42889</v>
      </c>
      <c r="F1420" s="209">
        <v>8.0399999999999991</v>
      </c>
      <c r="G1420" s="210" t="s">
        <v>13</v>
      </c>
      <c r="H1420" s="211" t="s">
        <v>18</v>
      </c>
      <c r="I1420" s="210">
        <v>1</v>
      </c>
      <c r="J1420" s="210" t="s">
        <v>15</v>
      </c>
      <c r="K1420" s="210" t="s">
        <v>54</v>
      </c>
      <c r="L1420" s="211" t="s">
        <v>60</v>
      </c>
      <c r="M1420" s="211" t="s">
        <v>17</v>
      </c>
    </row>
    <row r="1421" spans="1:13" x14ac:dyDescent="0.2">
      <c r="A1421" s="211" t="s">
        <v>55</v>
      </c>
      <c r="B1421" s="211" t="s">
        <v>58</v>
      </c>
      <c r="C1421" s="211" t="s">
        <v>19</v>
      </c>
      <c r="D1421" s="211" t="s">
        <v>12</v>
      </c>
      <c r="E1421" s="208">
        <v>42889</v>
      </c>
      <c r="F1421" s="221">
        <v>3265.5103199999999</v>
      </c>
      <c r="G1421" s="210" t="s">
        <v>16</v>
      </c>
      <c r="H1421" s="211" t="s">
        <v>18</v>
      </c>
      <c r="I1421" s="210">
        <v>1</v>
      </c>
      <c r="J1421" s="210" t="s">
        <v>15</v>
      </c>
      <c r="K1421" s="210" t="s">
        <v>54</v>
      </c>
      <c r="L1421" s="211" t="s">
        <v>60</v>
      </c>
      <c r="M1421" s="211" t="s">
        <v>17</v>
      </c>
    </row>
    <row r="1422" spans="1:13" x14ac:dyDescent="0.2">
      <c r="A1422" s="211" t="s">
        <v>55</v>
      </c>
      <c r="B1422" s="211" t="s">
        <v>58</v>
      </c>
      <c r="C1422" s="211" t="s">
        <v>19</v>
      </c>
      <c r="D1422" s="211" t="s">
        <v>12</v>
      </c>
      <c r="E1422" s="208">
        <v>42888</v>
      </c>
      <c r="F1422" s="209">
        <v>10.4989662</v>
      </c>
      <c r="G1422" s="210" t="s">
        <v>13</v>
      </c>
      <c r="H1422" s="211" t="s">
        <v>14</v>
      </c>
      <c r="I1422" s="210">
        <v>1</v>
      </c>
      <c r="J1422" s="210" t="s">
        <v>15</v>
      </c>
      <c r="K1422" s="210" t="s">
        <v>54</v>
      </c>
      <c r="L1422" s="211" t="s">
        <v>60</v>
      </c>
      <c r="M1422" s="211" t="s">
        <v>56</v>
      </c>
    </row>
    <row r="1423" spans="1:13" x14ac:dyDescent="0.2">
      <c r="A1423" s="211" t="s">
        <v>55</v>
      </c>
      <c r="B1423" s="211" t="s">
        <v>58</v>
      </c>
      <c r="C1423" s="211" t="s">
        <v>19</v>
      </c>
      <c r="D1423" s="211" t="s">
        <v>12</v>
      </c>
      <c r="E1423" s="208">
        <v>42888</v>
      </c>
      <c r="F1423" s="221">
        <v>4404.3373199999996</v>
      </c>
      <c r="G1423" s="210" t="s">
        <v>16</v>
      </c>
      <c r="H1423" s="211" t="s">
        <v>14</v>
      </c>
      <c r="I1423" s="210">
        <v>1</v>
      </c>
      <c r="J1423" s="210" t="s">
        <v>15</v>
      </c>
      <c r="K1423" s="210" t="s">
        <v>54</v>
      </c>
      <c r="L1423" s="211" t="s">
        <v>60</v>
      </c>
      <c r="M1423" s="211" t="s">
        <v>56</v>
      </c>
    </row>
    <row r="1424" spans="1:13" x14ac:dyDescent="0.2">
      <c r="A1424" s="211" t="s">
        <v>55</v>
      </c>
      <c r="B1424" s="211" t="s">
        <v>58</v>
      </c>
      <c r="C1424" s="211" t="s">
        <v>19</v>
      </c>
      <c r="D1424" s="211" t="s">
        <v>12</v>
      </c>
      <c r="E1424" s="208">
        <v>42888</v>
      </c>
      <c r="F1424" s="209">
        <v>7.15</v>
      </c>
      <c r="G1424" s="210" t="s">
        <v>13</v>
      </c>
      <c r="H1424" s="211" t="s">
        <v>18</v>
      </c>
      <c r="I1424" s="210">
        <v>1</v>
      </c>
      <c r="J1424" s="210" t="s">
        <v>15</v>
      </c>
      <c r="K1424" s="210" t="s">
        <v>54</v>
      </c>
      <c r="L1424" s="211" t="s">
        <v>60</v>
      </c>
      <c r="M1424" s="211" t="s">
        <v>17</v>
      </c>
    </row>
    <row r="1425" spans="1:13" x14ac:dyDescent="0.2">
      <c r="A1425" s="211" t="s">
        <v>55</v>
      </c>
      <c r="B1425" s="211" t="s">
        <v>58</v>
      </c>
      <c r="C1425" s="211" t="s">
        <v>19</v>
      </c>
      <c r="D1425" s="211" t="s">
        <v>12</v>
      </c>
      <c r="E1425" s="208">
        <v>42888</v>
      </c>
      <c r="F1425" s="221">
        <v>2999.4393</v>
      </c>
      <c r="G1425" s="210" t="s">
        <v>16</v>
      </c>
      <c r="H1425" s="211" t="s">
        <v>18</v>
      </c>
      <c r="I1425" s="210">
        <v>1</v>
      </c>
      <c r="J1425" s="210" t="s">
        <v>15</v>
      </c>
      <c r="K1425" s="210" t="s">
        <v>54</v>
      </c>
      <c r="L1425" s="211" t="s">
        <v>60</v>
      </c>
      <c r="M1425" s="211" t="s">
        <v>17</v>
      </c>
    </row>
    <row r="1426" spans="1:13" x14ac:dyDescent="0.2">
      <c r="A1426" s="211" t="s">
        <v>55</v>
      </c>
      <c r="B1426" s="211" t="s">
        <v>58</v>
      </c>
      <c r="C1426" s="211" t="s">
        <v>19</v>
      </c>
      <c r="D1426" s="211" t="s">
        <v>12</v>
      </c>
      <c r="E1426" s="208">
        <v>42887</v>
      </c>
      <c r="F1426" s="209">
        <v>12.1878823</v>
      </c>
      <c r="G1426" s="210" t="s">
        <v>13</v>
      </c>
      <c r="H1426" s="211" t="s">
        <v>14</v>
      </c>
      <c r="I1426" s="210">
        <v>1</v>
      </c>
      <c r="J1426" s="210" t="s">
        <v>15</v>
      </c>
      <c r="K1426" s="210" t="s">
        <v>54</v>
      </c>
      <c r="L1426" s="211" t="s">
        <v>60</v>
      </c>
      <c r="M1426" s="211" t="s">
        <v>56</v>
      </c>
    </row>
    <row r="1427" spans="1:13" x14ac:dyDescent="0.2">
      <c r="A1427" s="211" t="s">
        <v>55</v>
      </c>
      <c r="B1427" s="211" t="s">
        <v>58</v>
      </c>
      <c r="C1427" s="211" t="s">
        <v>19</v>
      </c>
      <c r="D1427" s="211" t="s">
        <v>12</v>
      </c>
      <c r="E1427" s="208">
        <v>42887</v>
      </c>
      <c r="F1427" s="221">
        <v>5183.99388</v>
      </c>
      <c r="G1427" s="210" t="s">
        <v>16</v>
      </c>
      <c r="H1427" s="211" t="s">
        <v>14</v>
      </c>
      <c r="I1427" s="210">
        <v>1</v>
      </c>
      <c r="J1427" s="210" t="s">
        <v>15</v>
      </c>
      <c r="K1427" s="210" t="s">
        <v>54</v>
      </c>
      <c r="L1427" s="211" t="s">
        <v>60</v>
      </c>
      <c r="M1427" s="211" t="s">
        <v>56</v>
      </c>
    </row>
    <row r="1428" spans="1:13" x14ac:dyDescent="0.2">
      <c r="A1428" s="211" t="s">
        <v>55</v>
      </c>
      <c r="B1428" s="211" t="s">
        <v>58</v>
      </c>
      <c r="C1428" s="211" t="s">
        <v>19</v>
      </c>
      <c r="D1428" s="211" t="s">
        <v>12</v>
      </c>
      <c r="E1428" s="208">
        <v>42887</v>
      </c>
      <c r="F1428" s="209">
        <v>8.6300000000000008</v>
      </c>
      <c r="G1428" s="210" t="s">
        <v>13</v>
      </c>
      <c r="H1428" s="211" t="s">
        <v>18</v>
      </c>
      <c r="I1428" s="210">
        <v>1</v>
      </c>
      <c r="J1428" s="210" t="s">
        <v>15</v>
      </c>
      <c r="K1428" s="210" t="s">
        <v>54</v>
      </c>
      <c r="L1428" s="211" t="s">
        <v>60</v>
      </c>
      <c r="M1428" s="211" t="s">
        <v>17</v>
      </c>
    </row>
    <row r="1429" spans="1:13" x14ac:dyDescent="0.2">
      <c r="A1429" s="211" t="s">
        <v>55</v>
      </c>
      <c r="B1429" s="211" t="s">
        <v>58</v>
      </c>
      <c r="C1429" s="211" t="s">
        <v>19</v>
      </c>
      <c r="D1429" s="211" t="s">
        <v>12</v>
      </c>
      <c r="E1429" s="208">
        <v>42887</v>
      </c>
      <c r="F1429" s="221">
        <v>3670.6842000000001</v>
      </c>
      <c r="G1429" s="210" t="s">
        <v>16</v>
      </c>
      <c r="H1429" s="211" t="s">
        <v>18</v>
      </c>
      <c r="I1429" s="210">
        <v>1</v>
      </c>
      <c r="J1429" s="210" t="s">
        <v>15</v>
      </c>
      <c r="K1429" s="210" t="s">
        <v>54</v>
      </c>
      <c r="L1429" s="211" t="s">
        <v>60</v>
      </c>
      <c r="M1429" s="211" t="s">
        <v>17</v>
      </c>
    </row>
  </sheetData>
  <autoFilter ref="A1:N1"/>
  <sortState ref="A2:M2135">
    <sortCondition ref="C2:C2135"/>
    <sortCondition descending="1" ref="E2:E2135"/>
    <sortCondition descending="1" ref="H2:H2135"/>
    <sortCondition descending="1" ref="G2:G2135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D10" sqref="D10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8" style="157" customWidth="1"/>
    <col min="7" max="8" width="9" style="4" customWidth="1"/>
    <col min="9" max="11" width="6" style="4" customWidth="1"/>
    <col min="12" max="12" width="6.5703125" style="157" customWidth="1"/>
    <col min="13" max="13" width="9" style="157" customWidth="1"/>
    <col min="14" max="14" width="10.7109375" style="4" customWidth="1"/>
    <col min="15" max="16" width="7" style="4" customWidth="1"/>
    <col min="17" max="17" width="15" style="4" customWidth="1"/>
    <col min="18" max="18" width="3.710937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245" t="s">
        <v>57</v>
      </c>
      <c r="B1" s="246"/>
      <c r="C1" s="247" t="s">
        <v>21</v>
      </c>
      <c r="D1" s="247"/>
      <c r="E1" s="248">
        <v>42887</v>
      </c>
      <c r="F1" s="249"/>
      <c r="G1" s="2"/>
      <c r="L1" s="4" t="s">
        <v>115</v>
      </c>
    </row>
    <row r="2" spans="1:17" x14ac:dyDescent="0.2">
      <c r="A2" s="27" t="s">
        <v>22</v>
      </c>
      <c r="B2" s="5">
        <f>MIN(CedarRapNDD!E:E)</f>
        <v>42887</v>
      </c>
      <c r="C2" s="250" t="s">
        <v>41</v>
      </c>
      <c r="D2" s="250"/>
      <c r="E2" s="251">
        <f>(B3-B2)/30</f>
        <v>11.1</v>
      </c>
      <c r="F2" s="252"/>
    </row>
    <row r="3" spans="1:17" x14ac:dyDescent="0.2">
      <c r="A3" s="28" t="s">
        <v>23</v>
      </c>
      <c r="B3" s="29">
        <f>MAX(CedarRapNDD!E:E)</f>
        <v>43220</v>
      </c>
      <c r="C3" s="237"/>
      <c r="D3" s="237"/>
      <c r="E3" s="237"/>
      <c r="F3" s="238"/>
    </row>
    <row r="4" spans="1:17" ht="12" thickBot="1" x14ac:dyDescent="0.25"/>
    <row r="5" spans="1:17" ht="11.25" customHeight="1" x14ac:dyDescent="0.2">
      <c r="A5" s="253" t="s">
        <v>24</v>
      </c>
      <c r="B5" s="239" t="s">
        <v>24</v>
      </c>
      <c r="C5" s="242" t="s">
        <v>25</v>
      </c>
      <c r="D5" s="243"/>
      <c r="E5" s="243"/>
      <c r="F5" s="243"/>
      <c r="G5" s="243"/>
      <c r="H5" s="243"/>
      <c r="I5" s="244" t="s">
        <v>42</v>
      </c>
      <c r="J5" s="244"/>
      <c r="K5" s="244"/>
      <c r="L5" s="244"/>
      <c r="M5" s="244"/>
      <c r="N5" s="244"/>
      <c r="O5" s="259" t="s">
        <v>26</v>
      </c>
      <c r="P5" s="260"/>
      <c r="Q5" s="263" t="s">
        <v>27</v>
      </c>
    </row>
    <row r="6" spans="1:17" ht="11.25" customHeight="1" x14ac:dyDescent="0.2">
      <c r="A6" s="254"/>
      <c r="B6" s="240"/>
      <c r="C6" s="256" t="s">
        <v>28</v>
      </c>
      <c r="D6" s="257"/>
      <c r="E6" s="256" t="s">
        <v>29</v>
      </c>
      <c r="F6" s="258"/>
      <c r="G6" s="258"/>
      <c r="H6" s="257"/>
      <c r="I6" s="256" t="s">
        <v>28</v>
      </c>
      <c r="J6" s="257"/>
      <c r="K6" s="256" t="s">
        <v>29</v>
      </c>
      <c r="L6" s="258"/>
      <c r="M6" s="258"/>
      <c r="N6" s="258"/>
      <c r="O6" s="261"/>
      <c r="P6" s="262"/>
      <c r="Q6" s="264"/>
    </row>
    <row r="7" spans="1:17" ht="26.25" customHeight="1" x14ac:dyDescent="0.2">
      <c r="A7" s="254"/>
      <c r="B7" s="241"/>
      <c r="C7" s="6" t="s">
        <v>30</v>
      </c>
      <c r="D7" s="7" t="s">
        <v>31</v>
      </c>
      <c r="E7" s="6" t="s">
        <v>30</v>
      </c>
      <c r="F7" s="8" t="s">
        <v>32</v>
      </c>
      <c r="G7" s="8" t="s">
        <v>33</v>
      </c>
      <c r="H7" s="9" t="s">
        <v>43</v>
      </c>
      <c r="I7" s="6" t="s">
        <v>30</v>
      </c>
      <c r="J7" s="7" t="s">
        <v>31</v>
      </c>
      <c r="K7" s="6" t="s">
        <v>30</v>
      </c>
      <c r="L7" s="8" t="s">
        <v>32</v>
      </c>
      <c r="M7" s="8" t="s">
        <v>34</v>
      </c>
      <c r="N7" s="9" t="s">
        <v>44</v>
      </c>
      <c r="O7" s="10" t="s">
        <v>35</v>
      </c>
      <c r="P7" s="109" t="s">
        <v>36</v>
      </c>
      <c r="Q7" s="30" t="s">
        <v>45</v>
      </c>
    </row>
    <row r="8" spans="1:17" s="18" customFormat="1" x14ac:dyDescent="0.2">
      <c r="A8" s="254"/>
      <c r="B8" s="69" t="s">
        <v>37</v>
      </c>
      <c r="C8" s="31">
        <f>COUNTIFS(CedarRapNDD!C:C,"NITROGEN, TOTAL (AS N)",CedarRapNDD!G:G,"MG/L",CedarRapNDD!H:H,"RAW WASTE")</f>
        <v>40</v>
      </c>
      <c r="D8" s="32">
        <f>AVERAGEIFS(CedarRapNDD!F:F,(CedarRapNDD!C:C),("NITROGEN, TOTAL (AS N)"),(CedarRapNDD!H:H),("RAW WASTE"),(CedarRapNDD!G:G),("MG/L"))</f>
        <v>54.907010957499985</v>
      </c>
      <c r="E8" s="33">
        <f>COUNTIFS(CedarRapNDD!C:C,"NITROGEN, TOTAL (AS N)",CedarRapNDD!G:G,"LBS/DAY",CedarRapNDD!H:H,"RAW WASTE")</f>
        <v>40</v>
      </c>
      <c r="F8" s="34">
        <f>AVERAGEIFS(CedarRapNDD!F:F,(CedarRapNDD!C:C),("NITROGEN, TOTAL (AS N)"),(CedarRapNDD!H:H),("RAW WASTE"),(CedarRapNDD!G:G),("LBS/DAY"))</f>
        <v>19270.253925735004</v>
      </c>
      <c r="G8" s="34">
        <f>(SUMIFS(CedarRapNDD!F:F,(CedarRapNDD!C:C),("NITROGEN, TOTAL (AS N)"),(CedarRapNDD!H:H),("RAW WASTE"),(CedarRapNDD!G:G),("LBS/DAY")))</f>
        <v>770810.15702940011</v>
      </c>
      <c r="H8" s="35">
        <f>F8*365</f>
        <v>7033642.6828932762</v>
      </c>
      <c r="I8" s="33">
        <f>COUNTIFS(CedarRapNDD!C:C,"NITROGEN, TOTAL (AS N)",CedarRapNDD!G:G,"MG/L",CedarRapNDD!H:H,"FINAL EFFLUENT")</f>
        <v>40</v>
      </c>
      <c r="J8" s="32">
        <f>(AVERAGEIFS(CedarRapNDD!F:F,(CedarRapNDD!C:C),("NITROGEN, TOTAL (AS N)"),(CedarRapNDD!H:H),("FINAL EFFLUENT"),(CedarRapNDD!G:G),("MG/L")))</f>
        <v>22.885999999999999</v>
      </c>
      <c r="K8" s="33">
        <f>COUNTIFS(CedarRapNDD!C:C,"NITROGEN, TOTAL (AS N)",CedarRapNDD!G:G,"LBS/DAY",CedarRapNDD!H:H,"FINAL EFFLUENT")</f>
        <v>40</v>
      </c>
      <c r="L8" s="34">
        <f>AVERAGEIFS(CedarRapNDD!F:F,(CedarRapNDD!C:C),("NITROGEN, TOTAL (AS N)"),(CedarRapNDD!H:H),("FINAL EFFLUENT"),(CedarRapNDD!G:G),("LBS/DAY"))</f>
        <v>8007.2324153999998</v>
      </c>
      <c r="M8" s="34">
        <f>SUMIFS(CedarRapNDD!F:F,(CedarRapNDD!C:C),("NITROGEN, TOTAL (AS N)"),(CedarRapNDD!H:H),("FINAL EFFLUENT"),(CedarRapNDD!G:G),("LBS/DAY"))</f>
        <v>320289.29661600001</v>
      </c>
      <c r="N8" s="35">
        <f>L8*365</f>
        <v>2922639.8316210001</v>
      </c>
      <c r="O8" s="36">
        <f>((D8-J8))/D8</f>
        <v>0.5831861978843722</v>
      </c>
      <c r="P8" s="37">
        <f>((F8-L8))/F8</f>
        <v>0.58447706780311204</v>
      </c>
      <c r="Q8" s="38">
        <f>(F8-L8)*365</f>
        <v>4111002.8512722766</v>
      </c>
    </row>
    <row r="9" spans="1:17" s="18" customFormat="1" ht="5.25" customHeight="1" x14ac:dyDescent="0.2">
      <c r="A9" s="254"/>
      <c r="B9" s="69"/>
      <c r="C9" s="11"/>
      <c r="D9" s="12"/>
      <c r="E9" s="13"/>
      <c r="F9" s="14"/>
      <c r="G9" s="14"/>
      <c r="H9" s="15"/>
      <c r="I9" s="13"/>
      <c r="J9" s="12"/>
      <c r="K9" s="13"/>
      <c r="L9" s="14"/>
      <c r="M9" s="14"/>
      <c r="N9" s="15"/>
      <c r="O9" s="16"/>
      <c r="P9" s="17"/>
      <c r="Q9" s="39"/>
    </row>
    <row r="10" spans="1:17" s="40" customFormat="1" x14ac:dyDescent="0.2">
      <c r="A10" s="254"/>
      <c r="B10" s="70" t="s">
        <v>49</v>
      </c>
      <c r="C10" s="71">
        <f>COUNTIFS(CedarRapNDD!$E:$E,"&gt;=5/1/2014",CedarRapNDD!$E:$E,"&lt;=4/30/2015",CedarRapNDD!$C:$C,"NITROGEN, TOTAL (AS N)",CedarRapNDD!$G:$G,"MG/L",CedarRapNDD!$H:$H,"RAW WASTE")</f>
        <v>0</v>
      </c>
      <c r="D10" s="72" t="e">
        <f>AVERAGEIFS(CedarRapNDD!$F:$F,CedarRapNDD!$E:$E,"&gt;=5/1/2014",CedarRapNDD!$E:$E,"&lt;=4/30/2015",(CedarRapNDD!$C:$C),("NITROGEN, TOTAL (AS N)"),(CedarRapNDD!$H:$H),("RAW WASTE"),(CedarRapNDD!$G:$G),("MG/L"))</f>
        <v>#DIV/0!</v>
      </c>
      <c r="E10" s="73">
        <f>COUNTIFS(CedarRapNDD!$E:$E,"&gt;=5/1/2014",CedarRapNDD!$E:$E,"&lt;=4/30/2015",CedarRapNDD!$C:$C,"NITROGEN, TOTAL (AS N)",CedarRapNDD!$G:$G,"LBS/DAY",CedarRapNDD!$H:$H,"RAW WASTE")</f>
        <v>0</v>
      </c>
      <c r="F10" s="74" t="e">
        <f>AVERAGEIFS(CedarRapNDD!$F:$F,CedarRapNDD!$E:$E,"&gt;=5/1/2014",CedarRapNDD!$E:$E,"&lt;=4/30/2015",(CedarRapNDD!$C:$C),("NITROGEN, TOTAL (AS N)"),(CedarRapNDD!$H:$H),("RAW WASTE"),(CedarRapNDD!$G:$G),("LBS/DAY"))</f>
        <v>#DIV/0!</v>
      </c>
      <c r="G10" s="74">
        <f>SUMIFS(CedarRapNDD!$F:$F,CedarRapNDD!$E:$E,"&gt;=5/1/2014",CedarRapNDD!$E:$E,"&lt;=4/30/2015",(CedarRapNDD!$C:$C),("NITROGEN, TOTAL (AS N)"),(CedarRapNDD!$H:$H),("RAW WASTE"),(CedarRapNDD!$G:$G),("LBS/DAY"))</f>
        <v>0</v>
      </c>
      <c r="H10" s="75" t="e">
        <f>F10*365</f>
        <v>#DIV/0!</v>
      </c>
      <c r="I10" s="73">
        <f>COUNTIFS(CedarRapNDD!$E:$E,"&gt;=5/1/2014",CedarRapNDD!$E:$E,"&lt;=4/30/2015",CedarRapNDD!$C:$C,"NITROGEN, TOTAL (AS N)",CedarRapNDD!$G:$G,"MG/L",CedarRapNDD!$H:$H,"FINAL EFFLUENT")</f>
        <v>0</v>
      </c>
      <c r="J10" s="72" t="e">
        <f>AVERAGEIFS(CedarRapNDD!$F:$F,CedarRapNDD!$E:$E,"&gt;=5/1/2014",CedarRapNDD!$E:$E,"&lt;=4/30/2015",(CedarRapNDD!$C:$C),("NITROGEN, TOTAL (AS N)"),(CedarRapNDD!$H:$H),("FINAL EFFLUENT"),(CedarRapNDD!$G:$G),("MG/L"))</f>
        <v>#DIV/0!</v>
      </c>
      <c r="K10" s="73">
        <f>COUNTIFS(CedarRapNDD!$E:$E,"&gt;=5/1/2014",CedarRapNDD!$E:$E,"&lt;=4/30/2015",CedarRapNDD!$C:$C,"NITROGEN, TOTAL (AS N)",CedarRapNDD!$G:$G,"LBS/DAY",CedarRapNDD!$H:$H,"FINAL EFFLUENT")</f>
        <v>0</v>
      </c>
      <c r="L10" s="74" t="e">
        <f>AVERAGEIFS((CedarRapNDD!$F:$F),CedarRapNDD!$E:$E,"&gt;=5/1/2014",CedarRapNDD!$E:$E,"&lt;=4/30/2015",(CedarRapNDD!$C:$C),("NITROGEN, TOTAL (AS N)"),(CedarRapNDD!$H:$H),("FINAL EFFLUENT"),(CedarRapNDD!$G:$G),("LBS/DAY"))</f>
        <v>#DIV/0!</v>
      </c>
      <c r="M10" s="74">
        <f>SUMIFS(CedarRapNDD!$F:$F,CedarRapNDD!$E:$E,"&gt;=5/1/2014",CedarRapNDD!$E:$E,"&lt;=4/30/2015",(CedarRapNDD!$C:$C),("NITROGEN, TOTAL (AS N)"),(CedarRapNDD!$H:$H),("FINAL EFFLUENT"),(CedarRapNDD!$G:$G),("LBS/DAY"))</f>
        <v>0</v>
      </c>
      <c r="N10" s="75" t="e">
        <f>L10*365</f>
        <v>#DIV/0!</v>
      </c>
      <c r="O10" s="76" t="e">
        <f>((D10-J10))/D10</f>
        <v>#DIV/0!</v>
      </c>
      <c r="P10" s="77" t="e">
        <f>((F10-L10))/F10</f>
        <v>#DIV/0!</v>
      </c>
      <c r="Q10" s="78" t="s">
        <v>61</v>
      </c>
    </row>
    <row r="11" spans="1:17" s="18" customFormat="1" ht="6" customHeight="1" x14ac:dyDescent="0.2">
      <c r="A11" s="254"/>
      <c r="B11" s="69"/>
      <c r="C11" s="11"/>
      <c r="D11" s="12"/>
      <c r="E11" s="13"/>
      <c r="F11" s="14"/>
      <c r="G11" s="14"/>
      <c r="H11" s="15"/>
      <c r="I11" s="13"/>
      <c r="J11" s="12"/>
      <c r="K11" s="13"/>
      <c r="L11" s="14"/>
      <c r="M11" s="14"/>
      <c r="N11" s="15"/>
      <c r="O11" s="16"/>
      <c r="P11" s="17"/>
      <c r="Q11" s="39"/>
    </row>
    <row r="12" spans="1:17" s="50" customFormat="1" x14ac:dyDescent="0.2">
      <c r="A12" s="254"/>
      <c r="B12" s="79" t="s">
        <v>46</v>
      </c>
      <c r="C12" s="41">
        <f>COUNTIFS(CedarRapNDD!$E:$E,"&gt;=1/1/2015",CedarRapNDD!$E:$E,"&lt;=12/31/2015",CedarRapNDD!$C:$C,"NITROGEN, TOTAL (AS N)",CedarRapNDD!$G:$G,"MG/L",CedarRapNDD!$H:$H,"RAW WASTE")</f>
        <v>0</v>
      </c>
      <c r="D12" s="42" t="e">
        <f>AVERAGEIFS(CedarRapNDD!$F:$F,CedarRapNDD!$E:$E,"&gt;=1/1/2015",CedarRapNDD!$E:$E,"&lt;=12/31/2015",(CedarRapNDD!$C:$C),("NITROGEN, TOTAL (AS N)"),(CedarRapNDD!$H:$H),("RAW WASTE"),(CedarRapNDD!$G:$G),("MG/L"))</f>
        <v>#DIV/0!</v>
      </c>
      <c r="E12" s="41">
        <f>COUNTIFS(CedarRapNDD!$E:$E,"&gt;=1/1/2015",CedarRapNDD!$E:$E,"&lt;=12/31/2015",CedarRapNDD!$C:$C,"NITROGEN, TOTAL (AS N)",CedarRapNDD!$G:$G,"LBS/DAY",CedarRapNDD!$H:$H,"RAW WASTE")</f>
        <v>0</v>
      </c>
      <c r="F12" s="43" t="e">
        <f>AVERAGEIFS(CedarRapNDD!$F:$F,CedarRapNDD!$E:$E,"&gt;=1/1/2015",CedarRapNDD!$E:$E,"&lt;=12/31/2015",(CedarRapNDD!$C:$C),("NITROGEN, TOTAL (AS N)"),(CedarRapNDD!$H:$H),("RAW WASTE"),(CedarRapNDD!$G:$G),("LBS/DAY"))</f>
        <v>#DIV/0!</v>
      </c>
      <c r="G12" s="43">
        <f>SUMIFS(CedarRapNDD!$F:$F,CedarRapNDD!$E:$E,"&gt;=1/1/2015",CedarRapNDD!$E:$E,"&lt;=12/31/2015",(CedarRapNDD!$C:$C),("NITROGEN, TOTAL (AS N)"),(CedarRapNDD!$H:$H),("RAW WASTE"),(CedarRapNDD!$G:$G),("LBS/DAY"))</f>
        <v>0</v>
      </c>
      <c r="H12" s="44" t="e">
        <f>F12*365</f>
        <v>#DIV/0!</v>
      </c>
      <c r="I12" s="41">
        <f>COUNTIFS(CedarRapNDD!$E:$E,"&gt;=1/1/2015",CedarRapNDD!$E:$E,"&lt;=12/31/2015",CedarRapNDD!$C:$C,"NITROGEN, TOTAL (AS N)",CedarRapNDD!$G:$G,"MG/L",CedarRapNDD!$H:$H,"FINAL EFFLUENT")</f>
        <v>0</v>
      </c>
      <c r="J12" s="45" t="e">
        <f>AVERAGEIFS(CedarRapNDD!$F:$F,CedarRapNDD!$E:$E,"&gt;=1/1/2015",CedarRapNDD!$E:$E,"&lt;=12/31/2015",(CedarRapNDD!$C:$C),("NITROGEN, TOTAL (AS N)"),(CedarRapNDD!$H:$H),("FINAL EFFLUENT"),(CedarRapNDD!$G:$G),("MG/L"))</f>
        <v>#DIV/0!</v>
      </c>
      <c r="K12" s="41">
        <f>COUNTIFS(CedarRapNDD!$E:$E,"&gt;=1/1/2015",CedarRapNDD!$E:$E,"&lt;=12/31/2015",CedarRapNDD!$C:$C,"NITROGEN, TOTAL (AS N)",CedarRapNDD!$G:$G,"LBS/DAY",CedarRapNDD!$H:$H,"FINAL EFFLUENT")</f>
        <v>0</v>
      </c>
      <c r="L12" s="158" t="e">
        <f>AVERAGEIFS((CedarRapNDD!$F:$F),CedarRapNDD!$E:$E,"&gt;=1/1/2015",CedarRapNDD!$E:$E,"&lt;=12/31/2015",(CedarRapNDD!$C:$C),("NITROGEN, TOTAL (AS N)"),(CedarRapNDD!$H:$H),("FINAL EFFLUENT"),(CedarRapNDD!$G:$G),("LBS/DAY"))</f>
        <v>#DIV/0!</v>
      </c>
      <c r="M12" s="43">
        <f>SUMIFS(CedarRapNDD!$F:$F,CedarRapNDD!$E:$E,"&gt;=1/1/2015",CedarRapNDD!$E:$E,"&lt;=12/31/2015",(CedarRapNDD!$C:$C),("NITROGEN, TOTAL (AS N)"),(CedarRapNDD!$H:$H),("FINAL EFFLUENT"),(CedarRapNDD!$G:$G),("LBS/DAY"))</f>
        <v>0</v>
      </c>
      <c r="N12" s="46" t="e">
        <f>L12*365</f>
        <v>#DIV/0!</v>
      </c>
      <c r="O12" s="47" t="e">
        <f>((D12-J12))/D12</f>
        <v>#DIV/0!</v>
      </c>
      <c r="P12" s="48" t="e">
        <f>((F12-L12))/F12</f>
        <v>#DIV/0!</v>
      </c>
      <c r="Q12" s="49" t="s">
        <v>61</v>
      </c>
    </row>
    <row r="13" spans="1:17" s="40" customFormat="1" x14ac:dyDescent="0.2">
      <c r="A13" s="254"/>
      <c r="B13" s="80" t="s">
        <v>50</v>
      </c>
      <c r="C13" s="51">
        <f>COUNTIFS(CedarRapNDD!$E:$E,"&gt;=5/1/2015",CedarRapNDD!$E:$E,"&lt;=4/30/2016",CedarRapNDD!$C:$C,"NITROGEN, TOTAL (AS N)",CedarRapNDD!$G:$G,"MG/L",CedarRapNDD!$H:$H,"RAW WASTE")</f>
        <v>0</v>
      </c>
      <c r="D13" s="52" t="e">
        <f>AVERAGEIFS(CedarRapNDD!$F:$F,CedarRapNDD!$E:$E,"&gt;=5/1/2015",CedarRapNDD!$E:$E,"&lt;=4/30/2016",(CedarRapNDD!$C:$C),("NITROGEN, TOTAL (AS N)"),(CedarRapNDD!$H:$H),("RAW WASTE"),(CedarRapNDD!$G:$G),("MG/L"))</f>
        <v>#DIV/0!</v>
      </c>
      <c r="E13" s="51">
        <f>COUNTIFS(CedarRapNDD!$E:$E,"&gt;=5/1/2015",CedarRapNDD!$E:$E,"&lt;=4/30/2016",CedarRapNDD!$C:$C,"NITROGEN, TOTAL (AS N)",CedarRapNDD!$G:$G,"LBS/DAY",CedarRapNDD!$H:$H,"RAW WASTE")</f>
        <v>0</v>
      </c>
      <c r="F13" s="53" t="e">
        <f>AVERAGEIFS(CedarRapNDD!$F:$F,CedarRapNDD!$E:$E,"&gt;=5/1/2015",CedarRapNDD!$E:$E,"&lt;=4/30/2016",(CedarRapNDD!$C:$C),("NITROGEN, TOTAL (AS N)"),(CedarRapNDD!$H:$H),("RAW WASTE"),(CedarRapNDD!$G:$G),("LBS/DAY"))</f>
        <v>#DIV/0!</v>
      </c>
      <c r="G13" s="53">
        <f>SUMIFS(CedarRapNDD!$F:$F,CedarRapNDD!$E:$E,"&gt;=5/1/2015",CedarRapNDD!$E:$E,"&lt;=4/30/2016",(CedarRapNDD!$C:$C),("NITROGEN, TOTAL (AS N)"),(CedarRapNDD!$H:$H),("RAW WASTE"),(CedarRapNDD!$G:$G),("LBS/DAY"))</f>
        <v>0</v>
      </c>
      <c r="H13" s="54" t="e">
        <f>F13*365</f>
        <v>#DIV/0!</v>
      </c>
      <c r="I13" s="51">
        <f>COUNTIFS(CedarRapNDD!$E:$E,"&gt;=5/1/2015",CedarRapNDD!$E:$E,"&lt;=4/30/2016",CedarRapNDD!$C:$C,"NITROGEN, TOTAL (AS N)",CedarRapNDD!$G:$G,"MG/L",CedarRapNDD!$H:$H,"FINAL EFFLUENT")</f>
        <v>0</v>
      </c>
      <c r="J13" s="52" t="e">
        <f>AVERAGEIFS(CedarRapNDD!$F:$F,CedarRapNDD!$E:$E,"&gt;=5/1/2015",CedarRapNDD!$E:$E,"&lt;=4/30/2016",(CedarRapNDD!$C:$C),("NITROGEN, TOTAL (AS N)"),(CedarRapNDD!$H:$H),("FINAL EFFLUENT"),(CedarRapNDD!$G:$G),("MG/L"))</f>
        <v>#DIV/0!</v>
      </c>
      <c r="K13" s="51">
        <f>COUNTIFS(CedarRapNDD!$E:$E,"&gt;=5/1/2015",CedarRapNDD!$E:$E,"&lt;=4/30/2016",CedarRapNDD!$C:$C,"NITROGEN, TOTAL (AS N)",CedarRapNDD!$G:$G,"LBS/DAY",CedarRapNDD!$H:$H,"FINAL EFFLUENT")</f>
        <v>0</v>
      </c>
      <c r="L13" s="53" t="e">
        <f>AVERAGEIFS((CedarRapNDD!$F:$F),CedarRapNDD!$E:$E,"&gt;=5/1/2015",CedarRapNDD!$E:$E,"&lt;=4/30/2016",(CedarRapNDD!$C:$C),("NITROGEN, TOTAL (AS N)"),(CedarRapNDD!$H:$H),("FINAL EFFLUENT"),(CedarRapNDD!$G:$G),("LBS/DAY"))</f>
        <v>#DIV/0!</v>
      </c>
      <c r="M13" s="53">
        <f>SUMIFS(CedarRapNDD!$F:$F,CedarRapNDD!$E:$E,"&gt;=5/1/2015",CedarRapNDD!$E:$E,"&lt;=4/30/2016",(CedarRapNDD!$C:$C),("NITROGEN, TOTAL (AS N)"),(CedarRapNDD!$H:$H),("FINAL EFFLUENT"),(CedarRapNDD!$G:$G),("LBS/DAY"))</f>
        <v>0</v>
      </c>
      <c r="N13" s="54" t="e">
        <f>L13*365</f>
        <v>#DIV/0!</v>
      </c>
      <c r="O13" s="55" t="e">
        <f>((D13-J13))/D13</f>
        <v>#DIV/0!</v>
      </c>
      <c r="P13" s="56" t="e">
        <f>((F13-L13))/F13</f>
        <v>#DIV/0!</v>
      </c>
      <c r="Q13" s="57" t="s">
        <v>61</v>
      </c>
    </row>
    <row r="14" spans="1:17" s="67" customFormat="1" ht="6" customHeight="1" x14ac:dyDescent="0.2">
      <c r="A14" s="254"/>
      <c r="B14" s="81"/>
      <c r="C14" s="58"/>
      <c r="D14" s="59"/>
      <c r="E14" s="58"/>
      <c r="F14" s="60"/>
      <c r="G14" s="60"/>
      <c r="H14" s="61"/>
      <c r="I14" s="58"/>
      <c r="J14" s="62"/>
      <c r="K14" s="58"/>
      <c r="L14" s="159"/>
      <c r="M14" s="60"/>
      <c r="N14" s="63"/>
      <c r="O14" s="64"/>
      <c r="P14" s="65"/>
      <c r="Q14" s="66"/>
    </row>
    <row r="15" spans="1:17" s="67" customFormat="1" x14ac:dyDescent="0.2">
      <c r="A15" s="254"/>
      <c r="B15" s="82" t="s">
        <v>47</v>
      </c>
      <c r="C15" s="19">
        <f>COUNTIFS(CedarRapNDD!$E:$E,"&gt;=1/1/2016",CedarRapNDD!$E:$E,"&lt;=12/31/2016",CedarRapNDD!$C:$C,"NITROGEN, TOTAL (AS N)",CedarRapNDD!$G:$G,"MG/L",CedarRapNDD!$H:$H,"RAW WASTE")</f>
        <v>0</v>
      </c>
      <c r="D15" s="20" t="e">
        <f>AVERAGEIFS(CedarRapNDD!$F:$F,CedarRapNDD!$E:$E,"&gt;=1/1/2016",CedarRapNDD!$E:$E,"&lt;=12/31/2016",(CedarRapNDD!$C:$C),("NITROGEN, TOTAL (AS N)"),(CedarRapNDD!$H:$H),("RAW WASTE"),(CedarRapNDD!$G:$G),("MG/L"))</f>
        <v>#DIV/0!</v>
      </c>
      <c r="E15" s="19">
        <f>COUNTIFS(CedarRapNDD!$E:$E,"&gt;=1/1/2016",CedarRapNDD!$E:$E,"&lt;=12/31/2016",CedarRapNDD!$C:$C,"NITROGEN, TOTAL (AS N)",CedarRapNDD!$G:$G,"LBS/DAY",CedarRapNDD!$H:$H,"RAW WASTE")</f>
        <v>0</v>
      </c>
      <c r="F15" s="21" t="e">
        <f>AVERAGEIFS(CedarRapNDD!$F:$F,CedarRapNDD!$E:$E,"&gt;=1/1/2016",CedarRapNDD!$E:$E,"&lt;=12/31/2016",(CedarRapNDD!$C:$C),("NITROGEN, TOTAL (AS N)"),(CedarRapNDD!$H:$H),("RAW WASTE"),(CedarRapNDD!$G:$G),("LBS/DAY"))</f>
        <v>#DIV/0!</v>
      </c>
      <c r="G15" s="21">
        <f>SUMIFS(CedarRapNDD!$F:$F,CedarRapNDD!$E:$E,"&gt;=1/1/2016",CedarRapNDD!$E:$E,"&lt;=12/31/2016",(CedarRapNDD!$C:$C),("NITROGEN, TOTAL (AS N)"),(CedarRapNDD!$H:$H),("RAW WASTE"),(CedarRapNDD!$G:$G),("LBS/DAY"))</f>
        <v>0</v>
      </c>
      <c r="H15" s="22" t="e">
        <f>F15*365</f>
        <v>#DIV/0!</v>
      </c>
      <c r="I15" s="19">
        <f>COUNTIFS(CedarRapNDD!$E:$E,"&gt;=1/1/2016",CedarRapNDD!$E:$E,"&lt;=12/31/2016",CedarRapNDD!$C:$C,"NITROGEN, TOTAL (AS N)",CedarRapNDD!$G:$G,"MG/L",CedarRapNDD!$H:$H,"FINAL EFFLUENT")</f>
        <v>0</v>
      </c>
      <c r="J15" s="23" t="e">
        <f>AVERAGEIFS(CedarRapNDD!$F:$F,CedarRapNDD!$E:$E,"&gt;=1/1/2016",CedarRapNDD!$E:$E,"&lt;=12/31/2016",(CedarRapNDD!$C:$C),("NITROGEN, TOTAL (AS N)"),(CedarRapNDD!$H:$H),("FINAL EFFLUENT"),(CedarRapNDD!$G:$G),("MG/L"))</f>
        <v>#DIV/0!</v>
      </c>
      <c r="K15" s="19">
        <f>COUNTIFS(CedarRapNDD!$E:$E,"&gt;=1/1/2016",CedarRapNDD!$E:$E,"&lt;=12/31/2016",CedarRapNDD!$C:$C,"NITROGEN, TOTAL (AS N)",CedarRapNDD!$G:$G,"LBS/DAY",CedarRapNDD!$H:$H,"FINAL EFFLUENT")</f>
        <v>0</v>
      </c>
      <c r="L15" s="160" t="e">
        <f>AVERAGEIFS((CedarRapNDD!$F:$F),CedarRapNDD!$E:$E,"&gt;=1/1/2016",CedarRapNDD!$E:$E,"&lt;=12/31/2016",(CedarRapNDD!$C:$C),("NITROGEN, TOTAL (AS N)"),(CedarRapNDD!$H:$H),("FINAL EFFLUENT"),(CedarRapNDD!$G:$G),("LBS/DAY"))</f>
        <v>#DIV/0!</v>
      </c>
      <c r="M15" s="21">
        <f>SUMIFS(CedarRapNDD!$F:$F,CedarRapNDD!$E:$E,"&gt;=1/1/2016",CedarRapNDD!$E:$E,"&lt;=12/31/2016",(CedarRapNDD!$C:$C),("NITROGEN, TOTAL (AS N)"),(CedarRapNDD!$H:$H),("FINAL EFFLUENT"),(CedarRapNDD!$G:$G),("LBS/DAY"))</f>
        <v>0</v>
      </c>
      <c r="N15" s="24" t="e">
        <f>L15*365</f>
        <v>#DIV/0!</v>
      </c>
      <c r="O15" s="25" t="e">
        <f>((D15-J15))/D15</f>
        <v>#DIV/0!</v>
      </c>
      <c r="P15" s="26" t="e">
        <f>((F15-L15))/F15</f>
        <v>#DIV/0!</v>
      </c>
      <c r="Q15" s="68" t="s">
        <v>61</v>
      </c>
    </row>
    <row r="16" spans="1:17" s="40" customFormat="1" x14ac:dyDescent="0.2">
      <c r="A16" s="254"/>
      <c r="B16" s="83" t="s">
        <v>51</v>
      </c>
      <c r="C16" s="84">
        <f>COUNTIFS(CedarRapNDD!$E:$E,"&gt;=5/1/2016",CedarRapNDD!$E:$E,"&lt;=4/30/2017",CedarRapNDD!$C:$C,"NITROGEN, TOTAL (AS N)",CedarRapNDD!$G:$G,"MG/L",CedarRapNDD!$H:$H,"RAW WASTE")</f>
        <v>0</v>
      </c>
      <c r="D16" s="85" t="e">
        <f>AVERAGEIFS(CedarRapNDD!$F:$F,CedarRapNDD!$E:$E,"&gt;=5/1/2016",CedarRapNDD!$E:$E,"&lt;=4/30/2017",(CedarRapNDD!$C:$C),("NITROGEN, TOTAL (AS N)"),(CedarRapNDD!$H:$H),("RAW WASTE"),(CedarRapNDD!$G:$G),("MG/L"))</f>
        <v>#DIV/0!</v>
      </c>
      <c r="E16" s="84">
        <f>COUNTIFS(CedarRapNDD!$E:$E,"&gt;=5/1/2016",CedarRapNDD!$E:$E,"&lt;=4/30/2017",CedarRapNDD!$C:$C,"NITROGEN, TOTAL (AS N)",CedarRapNDD!$G:$G,"LBS/DAY",CedarRapNDD!$H:$H,"RAW WASTE")</f>
        <v>0</v>
      </c>
      <c r="F16" s="86" t="e">
        <f>AVERAGEIFS(CedarRapNDD!$F:$F,CedarRapNDD!$E:$E,"&gt;=5/1/2016",CedarRapNDD!$E:$E,"&lt;=4/30/2017",(CedarRapNDD!$C:$C),("NITROGEN, TOTAL (AS N)"),(CedarRapNDD!$H:$H),("RAW WASTE"),(CedarRapNDD!$G:$G),("LBS/DAY"))</f>
        <v>#DIV/0!</v>
      </c>
      <c r="G16" s="86">
        <f>SUMIFS(CedarRapNDD!$F:$F,CedarRapNDD!$E:$E,"&gt;=5/1/2016",CedarRapNDD!$E:$E,"&lt;=4/30/2017",(CedarRapNDD!$C:$C),("NITROGEN, TOTAL (AS N)"),(CedarRapNDD!$H:$H),("RAW WASTE"),(CedarRapNDD!$G:$G),("LBS/DAY"))</f>
        <v>0</v>
      </c>
      <c r="H16" s="87" t="e">
        <f>F16*365</f>
        <v>#DIV/0!</v>
      </c>
      <c r="I16" s="84">
        <f>COUNTIFS(CedarRapNDD!$E:$E,"&gt;=5/1/2016",CedarRapNDD!$E:$E,"&lt;=4/30/2017",CedarRapNDD!$C:$C,"NITROGEN, TOTAL (AS N)",CedarRapNDD!$G:$G,"MG/L",CedarRapNDD!$H:$H,"FINAL EFFLUENT")</f>
        <v>0</v>
      </c>
      <c r="J16" s="85" t="e">
        <f>AVERAGEIFS(CedarRapNDD!$F:$F,CedarRapNDD!$E:$E,"&gt;=5/1/2016",CedarRapNDD!$E:$E,"&lt;=4/30/2017",(CedarRapNDD!$C:$C),("NITROGEN, TOTAL (AS N)"),(CedarRapNDD!$H:$H),("FINAL EFFLUENT"),(CedarRapNDD!$G:$G),("MG/L"))</f>
        <v>#DIV/0!</v>
      </c>
      <c r="K16" s="84">
        <f>COUNTIFS(CedarRapNDD!$E:$E,"&gt;=5/1/2016",CedarRapNDD!$E:$E,"&lt;=4/30/2017",CedarRapNDD!$C:$C,"NITROGEN, TOTAL (AS N)",CedarRapNDD!$G:$G,"LBS/DAY",CedarRapNDD!$H:$H,"FINAL EFFLUENT")</f>
        <v>0</v>
      </c>
      <c r="L16" s="86" t="e">
        <f>AVERAGEIFS((CedarRapNDD!$F:$F),CedarRapNDD!$E:$E,"&gt;=5/1/2016",CedarRapNDD!$E:$E,"&lt;=4/30/2017",(CedarRapNDD!$C:$C),("NITROGEN, TOTAL (AS N)"),(CedarRapNDD!$H:$H),("FINAL EFFLUENT"),(CedarRapNDD!$G:$G),("LBS/DAY"))</f>
        <v>#DIV/0!</v>
      </c>
      <c r="M16" s="86">
        <f>SUMIFS(CedarRapNDD!$F:$F,CedarRapNDD!$E:$E,"&gt;=5/1/2016",CedarRapNDD!$E:$E,"&lt;=4/30/2017",(CedarRapNDD!$C:$C),("NITROGEN, TOTAL (AS N)"),(CedarRapNDD!$H:$H),("FINAL EFFLUENT"),(CedarRapNDD!$G:$G),("LBS/DAY"))</f>
        <v>0</v>
      </c>
      <c r="N16" s="87" t="e">
        <f>L16*365</f>
        <v>#DIV/0!</v>
      </c>
      <c r="O16" s="88" t="e">
        <f>((D16-J16))/D16</f>
        <v>#DIV/0!</v>
      </c>
      <c r="P16" s="89" t="e">
        <f>((F16-L16))/F16</f>
        <v>#DIV/0!</v>
      </c>
      <c r="Q16" s="90" t="s">
        <v>61</v>
      </c>
    </row>
    <row r="17" spans="1:17" s="40" customFormat="1" ht="6" customHeight="1" x14ac:dyDescent="0.2">
      <c r="A17" s="254"/>
      <c r="B17" s="91"/>
      <c r="C17" s="92"/>
      <c r="D17" s="93"/>
      <c r="E17" s="92"/>
      <c r="F17" s="94"/>
      <c r="G17" s="94"/>
      <c r="H17" s="94"/>
      <c r="I17" s="92"/>
      <c r="J17" s="93"/>
      <c r="K17" s="92"/>
      <c r="L17" s="94"/>
      <c r="M17" s="94"/>
      <c r="N17" s="94"/>
      <c r="O17" s="95"/>
      <c r="P17" s="95"/>
      <c r="Q17" s="96"/>
    </row>
    <row r="18" spans="1:17" s="107" customFormat="1" x14ac:dyDescent="0.2">
      <c r="A18" s="254"/>
      <c r="B18" s="97" t="s">
        <v>52</v>
      </c>
      <c r="C18" s="98">
        <f>COUNTIFS(CedarRapNDD!$E:$E,"&gt;=1/1/2017",CedarRapNDD!$E:$E,"&lt;=12/31/2017",CedarRapNDD!$C:$C,"NITROGEN, TOTAL (AS N)",CedarRapNDD!$G:$G,"MG/L",CedarRapNDD!$H:$H,"RAW WASTE")</f>
        <v>24</v>
      </c>
      <c r="D18" s="99">
        <f>AVERAGEIFS(CedarRapNDD!$F:$F,CedarRapNDD!$E:$E,"&gt;=1/1/2017",CedarRapNDD!$E:$E,"&lt;=12/31/2017",(CedarRapNDD!$C:$C),("NITROGEN, TOTAL (AS N)"),(CedarRapNDD!$H:$H),("RAW WASTE"),(CedarRapNDD!$G:$G),("MG/L"))</f>
        <v>53.142220054166671</v>
      </c>
      <c r="E18" s="98">
        <f>COUNTIFS(CedarRapNDD!$E:$E,"&gt;=1/1/2017",CedarRapNDD!$E:$E,"&lt;=12/31/2017",CedarRapNDD!$C:$C,"NITROGEN, TOTAL (AS N)",CedarRapNDD!$G:$G,"LBS/DAY",CedarRapNDD!$H:$H,"RAW WASTE")</f>
        <v>24</v>
      </c>
      <c r="F18" s="100">
        <f>AVERAGEIFS(CedarRapNDD!$F:$F,CedarRapNDD!$E:$E,"&gt;=1/1/2017",CedarRapNDD!$E:$E,"&lt;=12/31/2017",(CedarRapNDD!$C:$C),("NITROGEN, TOTAL (AS N)"),(CedarRapNDD!$H:$H),("RAW WASTE"),(CedarRapNDD!$G:$G),("LBS/DAY"))</f>
        <v>17846.424101370831</v>
      </c>
      <c r="G18" s="100">
        <f>SUMIFS(CedarRapNDD!$F:$F,CedarRapNDD!$E:$E,"&gt;=1/1/2017",CedarRapNDD!$E:$E,"&lt;=12/31/2017",(CedarRapNDD!$C:$C),("NITROGEN, TOTAL (AS N)"),(CedarRapNDD!$H:$H),("RAW WASTE"),(CedarRapNDD!$G:$G),("LBS/DAY"))</f>
        <v>428314.17843289993</v>
      </c>
      <c r="H18" s="101">
        <f>F18*365</f>
        <v>6513944.7970003532</v>
      </c>
      <c r="I18" s="98">
        <f>COUNTIFS(CedarRapNDD!$E:$E,"&gt;=1/1/2017",CedarRapNDD!$E:$E,"&lt;=12/31/2017",CedarRapNDD!$C:$C,"NITROGEN, TOTAL (AS N)",CedarRapNDD!$G:$G,"MG/L",CedarRapNDD!$H:$H,"FINAL EFFLUENT")</f>
        <v>24</v>
      </c>
      <c r="J18" s="102">
        <f>AVERAGEIFS(CedarRapNDD!$F:$F,CedarRapNDD!$E:$E,"&gt;=1/1/2017",CedarRapNDD!$E:$E,"&lt;=12/31/2017",(CedarRapNDD!$C:$C),("NITROGEN, TOTAL (AS N)"),(CedarRapNDD!$H:$H),("FINAL EFFLUENT"),(CedarRapNDD!$G:$G),("MG/L"))</f>
        <v>20.520833333333332</v>
      </c>
      <c r="K18" s="98">
        <f>COUNTIFS(CedarRapNDD!$E:$E,"&gt;=1/1/2017",CedarRapNDD!$E:$E,"&lt;=12/31/2017",CedarRapNDD!$C:$C,"NITROGEN, TOTAL (AS N)",CedarRapNDD!$G:$G,"LBS/DAY",CedarRapNDD!$H:$H,"FINAL EFFLUENT")</f>
        <v>24</v>
      </c>
      <c r="L18" s="161">
        <f>AVERAGEIFS((CedarRapNDD!$F:$F),CedarRapNDD!$E:$E,"&gt;=1/1/2017",CedarRapNDD!$E:$E,"&lt;=12/31/2017",(CedarRapNDD!$C:$C),("NITROGEN, TOTAL (AS N)"),(CedarRapNDD!$H:$H),("FINAL EFFLUENT"),(CedarRapNDD!$G:$G),("LBS/DAY"))</f>
        <v>6835.3246524999995</v>
      </c>
      <c r="M18" s="100">
        <f>SUMIFS(CedarRapNDD!$F:$F,CedarRapNDD!$E:$E,"&gt;=1/1/2017",CedarRapNDD!$E:$E,"&lt;=12/31/2017",(CedarRapNDD!$C:$C),("NITROGEN, TOTAL (AS N)"),(CedarRapNDD!$H:$H),("FINAL EFFLUENT"),(CedarRapNDD!$G:$G),("LBS/DAY"))</f>
        <v>164047.79165999999</v>
      </c>
      <c r="N18" s="103">
        <f>L18*365</f>
        <v>2494893.4981624996</v>
      </c>
      <c r="O18" s="104">
        <f>((D18-J18))/D18</f>
        <v>0.61385065749197332</v>
      </c>
      <c r="P18" s="105">
        <f>((F18-L18))/F18</f>
        <v>0.61699191873541992</v>
      </c>
      <c r="Q18" s="106">
        <f>(F18-L18)*365</f>
        <v>4019051.2988378531</v>
      </c>
    </row>
    <row r="19" spans="1:17" s="40" customFormat="1" x14ac:dyDescent="0.2">
      <c r="A19" s="254"/>
      <c r="B19" s="156" t="s">
        <v>53</v>
      </c>
      <c r="C19" s="111">
        <f>COUNTIFS(CedarRapNDD!$E:$E,"&gt;=5/1/2017",CedarRapNDD!$E:$E,"&lt;=4/30/2018",CedarRapNDD!$C:$C,"NITROGEN, TOTAL (AS N)",CedarRapNDD!$G:$G,"MG/L",CedarRapNDD!$H:$H,"RAW WASTE")</f>
        <v>40</v>
      </c>
      <c r="D19" s="112">
        <f>AVERAGEIFS(CedarRapNDD!$F:$F,CedarRapNDD!$E:$E,"&gt;=5/1/2017",CedarRapNDD!$E:$E,"&lt;=4/30/2018",(CedarRapNDD!$C:$C),("NITROGEN, TOTAL (AS N)"),(CedarRapNDD!$H:$H),("RAW WASTE"),(CedarRapNDD!$G:$G),("MG/L"))</f>
        <v>54.907010957499985</v>
      </c>
      <c r="E19" s="111">
        <f>COUNTIFS(CedarRapNDD!$E:$E,"&gt;=5/1/2017",CedarRapNDD!$E:$E,"&lt;=4/30/2018",CedarRapNDD!$C:$C,"NITROGEN, TOTAL (AS N)",CedarRapNDD!$G:$G,"LBS/DAY",CedarRapNDD!$H:$H,"RAW WASTE")</f>
        <v>40</v>
      </c>
      <c r="F19" s="113">
        <f>AVERAGEIFS(CedarRapNDD!$F:$F,CedarRapNDD!$E:$E,"&gt;=5/1/2017",CedarRapNDD!$E:$E,"&lt;=4/30/2018",(CedarRapNDD!$C:$C),("NITROGEN, TOTAL (AS N)"),(CedarRapNDD!$H:$H),("RAW WASTE"),(CedarRapNDD!$G:$G),("LBS/DAY"))</f>
        <v>19270.253925735004</v>
      </c>
      <c r="G19" s="113">
        <f>SUMIFS(CedarRapNDD!$F:$F,CedarRapNDD!$E:$E,"&gt;=5/1/2017",CedarRapNDD!$E:$E,"&lt;=4/30/2018",(CedarRapNDD!$C:$C),("NITROGEN, TOTAL (AS N)"),(CedarRapNDD!$H:$H),("RAW WASTE"),(CedarRapNDD!$G:$G),("LBS/DAY"))</f>
        <v>770810.15702940011</v>
      </c>
      <c r="H19" s="114">
        <f>F19*365</f>
        <v>7033642.6828932762</v>
      </c>
      <c r="I19" s="111">
        <f>COUNTIFS(CedarRapNDD!$E:$E,"&gt;=5/1/2017",CedarRapNDD!$E:$E,"&lt;=4/30/2018",CedarRapNDD!$C:$C,"NITROGEN, TOTAL (AS N)",CedarRapNDD!$G:$G,"MG/L",CedarRapNDD!$H:$H,"FINAL EFFLUENT")</f>
        <v>40</v>
      </c>
      <c r="J19" s="112">
        <f>AVERAGEIFS(CedarRapNDD!$F:$F,CedarRapNDD!$E:$E,"&gt;=5/1/2017",CedarRapNDD!$E:$E,"&lt;=4/30/2018",(CedarRapNDD!$C:$C),("NITROGEN, TOTAL (AS N)"),(CedarRapNDD!$H:$H),("FINAL EFFLUENT"),(CedarRapNDD!$G:$G),("MG/L"))</f>
        <v>22.885999999999999</v>
      </c>
      <c r="K19" s="111">
        <f>COUNTIFS(CedarRapNDD!$E:$E,"&gt;=5/1/2017",CedarRapNDD!$E:$E,"&lt;=4/30/2018",CedarRapNDD!$C:$C,"NITROGEN, TOTAL (AS N)",CedarRapNDD!$G:$G,"LBS/DAY",CedarRapNDD!$H:$H,"FINAL EFFLUENT")</f>
        <v>40</v>
      </c>
      <c r="L19" s="113">
        <f>AVERAGEIFS((CedarRapNDD!$F:$F),CedarRapNDD!$E:$E,"&gt;=5/1/2017",CedarRapNDD!$E:$E,"&lt;=4/30/2018",(CedarRapNDD!$C:$C),("NITROGEN, TOTAL (AS N)"),(CedarRapNDD!$H:$H),("FINAL EFFLUENT"),(CedarRapNDD!$G:$G),("LBS/DAY"))</f>
        <v>8007.2324153999998</v>
      </c>
      <c r="M19" s="113">
        <f>SUMIFS(CedarRapNDD!$F:$F,CedarRapNDD!$E:$E,"&gt;=5/1/2017",CedarRapNDD!$E:$E,"&lt;=4/30/2018",(CedarRapNDD!$C:$C),("NITROGEN, TOTAL (AS N)"),(CedarRapNDD!$H:$H),("FINAL EFFLUENT"),(CedarRapNDD!$G:$G),("LBS/DAY"))</f>
        <v>320289.29661600001</v>
      </c>
      <c r="N19" s="114">
        <f>L19*365</f>
        <v>2922639.8316210001</v>
      </c>
      <c r="O19" s="115">
        <f>((D19-J19))/D19</f>
        <v>0.5831861978843722</v>
      </c>
      <c r="P19" s="116">
        <f>((F19-L19))/F19</f>
        <v>0.58447706780311204</v>
      </c>
      <c r="Q19" s="117">
        <f>(F19-L19)*365</f>
        <v>4111002.8512722766</v>
      </c>
    </row>
    <row r="20" spans="1:17" s="40" customFormat="1" ht="6" customHeight="1" x14ac:dyDescent="0.2">
      <c r="A20" s="254"/>
      <c r="B20" s="91"/>
      <c r="C20" s="92"/>
      <c r="D20" s="93"/>
      <c r="E20" s="92"/>
      <c r="F20" s="94"/>
      <c r="G20" s="94"/>
      <c r="H20" s="94"/>
      <c r="I20" s="92"/>
      <c r="J20" s="93"/>
      <c r="K20" s="92"/>
      <c r="L20" s="94"/>
      <c r="M20" s="94"/>
      <c r="N20" s="94"/>
      <c r="O20" s="95"/>
      <c r="P20" s="95"/>
      <c r="Q20" s="96"/>
    </row>
    <row r="21" spans="1:17" s="144" customFormat="1" x14ac:dyDescent="0.2">
      <c r="A21" s="254"/>
      <c r="B21" s="134" t="s">
        <v>63</v>
      </c>
      <c r="C21" s="135">
        <f>COUNTIFS(CedarRapNDD!$E:$E,"&gt;=1/1/2018",CedarRapNDD!$E:$E,"&lt;=12/31/2018",CedarRapNDD!$C:$C,"NITROGEN, TOTAL (AS N)",CedarRapNDD!$G:$G,"MG/L",CedarRapNDD!$H:$H,"RAW WASTE")</f>
        <v>16</v>
      </c>
      <c r="D21" s="136">
        <f>AVERAGEIFS(CedarRapNDD!$F:$F,CedarRapNDD!$E:$E,"&gt;=1/1/2018",CedarRapNDD!$E:$E,"&lt;=12/31/2018",(CedarRapNDD!$C:$C),("NITROGEN, TOTAL (AS N)"),(CedarRapNDD!$H:$H),("RAW WASTE"),(CedarRapNDD!$G:$G),("MG/L"))</f>
        <v>57.554197312500008</v>
      </c>
      <c r="E21" s="135">
        <f>COUNTIFS(CedarRapNDD!$E:$E,"&gt;=1/1/2018",CedarRapNDD!$E:$E,"&lt;=12/31/2018",CedarRapNDD!$C:$C,"NITROGEN, TOTAL (AS N)",CedarRapNDD!$G:$G,"LBS/DAY",CedarRapNDD!$H:$H,"RAW WASTE")</f>
        <v>16</v>
      </c>
      <c r="F21" s="137">
        <f>AVERAGEIFS(CedarRapNDD!$F:$F,CedarRapNDD!$E:$E,"&gt;=1/1/2018",CedarRapNDD!$E:$E,"&lt;=12/31/2018",(CedarRapNDD!$C:$C),("NITROGEN, TOTAL (AS N)"),(CedarRapNDD!$H:$H),("RAW WASTE"),(CedarRapNDD!$G:$G),("LBS/DAY"))</f>
        <v>21405.998662281254</v>
      </c>
      <c r="G21" s="137">
        <f>SUMIFS(CedarRapNDD!$F:$F,CedarRapNDD!$E:$E,"&gt;=1/1/2018",CedarRapNDD!$E:$E,"&lt;=12/31/2018",(CedarRapNDD!$C:$C),("NITROGEN, TOTAL (AS N)"),(CedarRapNDD!$H:$H),("RAW WASTE"),(CedarRapNDD!$G:$G),("LBS/DAY"))</f>
        <v>342495.97859650006</v>
      </c>
      <c r="H21" s="138">
        <f>F21*365</f>
        <v>7813189.5117326574</v>
      </c>
      <c r="I21" s="135">
        <f>COUNTIFS(CedarRapNDD!$E:$E,"&gt;=1/1/2018",CedarRapNDD!$E:$E,"&lt;=12/31/2018",CedarRapNDD!$C:$C,"NITROGEN, TOTAL (AS N)",CedarRapNDD!$G:$G,"MG/L",CedarRapNDD!$H:$H,"FINAL EFFLUENT")</f>
        <v>16</v>
      </c>
      <c r="J21" s="139">
        <f>AVERAGEIFS(CedarRapNDD!$F:$F,CedarRapNDD!$E:$E,"&gt;=1/1/2018",CedarRapNDD!$E:$E,"&lt;=12/31/2018",(CedarRapNDD!$C:$C),("NITROGEN, TOTAL (AS N)"),(CedarRapNDD!$H:$H),("FINAL EFFLUENT"),(CedarRapNDD!$G:$G),("MG/L"))</f>
        <v>26.43375</v>
      </c>
      <c r="K21" s="135">
        <f>COUNTIFS(CedarRapNDD!$E:$E,"&gt;=1/1/2018",CedarRapNDD!$E:$E,"&lt;=12/31/2018",CedarRapNDD!$C:$C,"NITROGEN, TOTAL (AS N)",CedarRapNDD!$G:$G,"LBS/DAY",CedarRapNDD!$H:$H,"FINAL EFFLUENT")</f>
        <v>16</v>
      </c>
      <c r="L21" s="162">
        <f>AVERAGEIFS((CedarRapNDD!$F:$F),CedarRapNDD!$E:$E,"&gt;=1/1/2018",CedarRapNDD!$E:$E,"&lt;=12/31/2018",(CedarRapNDD!$C:$C),("NITROGEN, TOTAL (AS N)"),(CedarRapNDD!$H:$H),("FINAL EFFLUENT"),(CedarRapNDD!$G:$G),("LBS/DAY"))</f>
        <v>9765.0940597499975</v>
      </c>
      <c r="M21" s="137">
        <f>SUMIFS(CedarRapNDD!$F:$F,CedarRapNDD!$E:$E,"&gt;=1/1/2018",CedarRapNDD!$E:$E,"&lt;=12/31/2018",(CedarRapNDD!$C:$C),("NITROGEN, TOTAL (AS N)"),(CedarRapNDD!$H:$H),("FINAL EFFLUENT"),(CedarRapNDD!$G:$G),("LBS/DAY"))</f>
        <v>156241.50495599996</v>
      </c>
      <c r="N21" s="140">
        <f>L21*365</f>
        <v>3564259.3318087491</v>
      </c>
      <c r="O21" s="141">
        <f>((D21-J21))/D21</f>
        <v>0.54071551278052588</v>
      </c>
      <c r="P21" s="142">
        <f>((F21-L21))/F21</f>
        <v>0.54381506727099249</v>
      </c>
      <c r="Q21" s="143">
        <f>(F21-L21)*365</f>
        <v>4248930.1799239088</v>
      </c>
    </row>
    <row r="22" spans="1:17" s="40" customFormat="1" ht="12" thickBot="1" x14ac:dyDescent="0.25">
      <c r="A22" s="255"/>
      <c r="B22" s="145" t="s">
        <v>64</v>
      </c>
      <c r="C22" s="146">
        <f>COUNTIFS(CedarRapNDD!$E:$E,"&gt;=5/1/2018",CedarRapNDD!$E:$E,"&lt;=4/30/2019",CedarRapNDD!$C:$C,"NITROGEN, TOTAL (AS N)",CedarRapNDD!$G:$G,"MG/L",CedarRapNDD!$H:$H,"RAW WASTE")</f>
        <v>0</v>
      </c>
      <c r="D22" s="147" t="e">
        <f>AVERAGEIFS(CedarRapNDD!$F:$F,CedarRapNDD!$E:$E,"&gt;=5/1/2018",CedarRapNDD!$E:$E,"&lt;=4/30/2019",(CedarRapNDD!$C:$C),("NITROGEN, TOTAL (AS N)"),(CedarRapNDD!$H:$H),("RAW WASTE"),(CedarRapNDD!$G:$G),("MG/L"))</f>
        <v>#DIV/0!</v>
      </c>
      <c r="E22" s="146">
        <f>COUNTIFS(CedarRapNDD!$E:$E,"&gt;=5/1/2018",CedarRapNDD!$E:$E,"&lt;=4/30/2019",CedarRapNDD!$C:$C,"NITROGEN, TOTAL (AS N)",CedarRapNDD!$G:$G,"LBS/DAY",CedarRapNDD!$H:$H,"RAW WASTE")</f>
        <v>0</v>
      </c>
      <c r="F22" s="148" t="e">
        <f>AVERAGEIFS(CedarRapNDD!$F:$F,CedarRapNDD!$E:$E,"&gt;=5/1/2018",CedarRapNDD!$E:$E,"&lt;=4/30/2019",(CedarRapNDD!$C:$C),("NITROGEN, TOTAL (AS N)"),(CedarRapNDD!$H:$H),("RAW WASTE"),(CedarRapNDD!$G:$G),("LBS/DAY"))</f>
        <v>#DIV/0!</v>
      </c>
      <c r="G22" s="148">
        <f>SUMIFS(CedarRapNDD!$F:$F,CedarRapNDD!$E:$E,"&gt;=5/1/2018",CedarRapNDD!$E:$E,"&lt;=4/30/2019",(CedarRapNDD!$C:$C),("NITROGEN, TOTAL (AS N)"),(CedarRapNDD!$H:$H),("RAW WASTE"),(CedarRapNDD!$G:$G),("LBS/DAY"))</f>
        <v>0</v>
      </c>
      <c r="H22" s="149" t="e">
        <f>F22*365</f>
        <v>#DIV/0!</v>
      </c>
      <c r="I22" s="146">
        <f>COUNTIFS(CedarRapNDD!$E:$E,"&gt;=5/1/2018",CedarRapNDD!$E:$E,"&lt;=4/30/2019",CedarRapNDD!$C:$C,"NITROGEN, TOTAL (AS N)",CedarRapNDD!$G:$G,"MG/L",CedarRapNDD!$H:$H,"FINAL EFFLUENT")</f>
        <v>0</v>
      </c>
      <c r="J22" s="147" t="e">
        <f>AVERAGEIFS(CedarRapNDD!$F:$F,CedarRapNDD!$E:$E,"&gt;=5/1/2018",CedarRapNDD!$E:$E,"&lt;=4/30/2019",(CedarRapNDD!$C:$C),("NITROGEN, TOTAL (AS N)"),(CedarRapNDD!$H:$H),("FINAL EFFLUENT"),(CedarRapNDD!$G:$G),("MG/L"))</f>
        <v>#DIV/0!</v>
      </c>
      <c r="K22" s="146">
        <f>COUNTIFS(CedarRapNDD!$E:$E,"&gt;=5/1/2018",CedarRapNDD!$E:$E,"&lt;=4/30/2019",CedarRapNDD!$C:$C,"NITROGEN, TOTAL (AS N)",CedarRapNDD!$G:$G,"LBS/DAY",CedarRapNDD!$H:$H,"FINAL EFFLUENT")</f>
        <v>0</v>
      </c>
      <c r="L22" s="148" t="e">
        <f>AVERAGEIFS((CedarRapNDD!$F:$F),CedarRapNDD!$E:$E,"&gt;=5/1/2018",CedarRapNDD!$E:$E,"&lt;=4/30/2019",(CedarRapNDD!$C:$C),("NITROGEN, TOTAL (AS N)"),(CedarRapNDD!$H:$H),("FINAL EFFLUENT"),(CedarRapNDD!$G:$G),("LBS/DAY"))</f>
        <v>#DIV/0!</v>
      </c>
      <c r="M22" s="148">
        <f>SUMIFS(CedarRapNDD!$F:$F,CedarRapNDD!$E:$E,"&gt;=5/1/2018",CedarRapNDD!$E:$E,"&lt;=4/30/2019",(CedarRapNDD!$C:$C),("NITROGEN, TOTAL (AS N)"),(CedarRapNDD!$H:$H),("FINAL EFFLUENT"),(CedarRapNDD!$G:$G),("LBS/DAY"))</f>
        <v>0</v>
      </c>
      <c r="N22" s="149" t="e">
        <f>L22*365</f>
        <v>#DIV/0!</v>
      </c>
      <c r="O22" s="150" t="e">
        <f>((D22-J22))/D22</f>
        <v>#DIV/0!</v>
      </c>
      <c r="P22" s="151" t="e">
        <f>((F22-L22))/F22</f>
        <v>#DIV/0!</v>
      </c>
      <c r="Q22" s="152" t="e">
        <f>(F22-L22)*365</f>
        <v>#DIV/0!</v>
      </c>
    </row>
    <row r="23" spans="1:17" s="40" customFormat="1" ht="11.25" customHeight="1" x14ac:dyDescent="0.2">
      <c r="A23" s="110"/>
      <c r="B23" s="91"/>
      <c r="C23" s="92"/>
      <c r="D23" s="93"/>
      <c r="E23" s="92"/>
      <c r="F23" s="94"/>
      <c r="G23" s="94"/>
      <c r="H23" s="94"/>
      <c r="I23" s="92"/>
      <c r="J23" s="93"/>
      <c r="K23" s="92"/>
      <c r="L23" s="94"/>
      <c r="M23" s="94"/>
      <c r="N23" s="94"/>
      <c r="O23" s="95"/>
      <c r="P23" s="153" t="s">
        <v>65</v>
      </c>
      <c r="Q23" s="94">
        <f>_xlfn.STDEV.P(Q19)</f>
        <v>0</v>
      </c>
    </row>
    <row r="24" spans="1:17" s="40" customFormat="1" ht="11.25" customHeight="1" x14ac:dyDescent="0.2">
      <c r="A24" s="110"/>
      <c r="B24" s="91"/>
      <c r="C24" s="92"/>
      <c r="D24" s="93"/>
      <c r="E24" s="92"/>
      <c r="F24" s="94"/>
      <c r="G24" s="94"/>
      <c r="H24" s="94"/>
      <c r="I24" s="92"/>
      <c r="J24" s="93"/>
      <c r="K24" s="92"/>
      <c r="L24" s="94"/>
      <c r="M24" s="94"/>
      <c r="N24" s="94"/>
      <c r="O24" s="95"/>
      <c r="P24" s="153" t="s">
        <v>66</v>
      </c>
      <c r="Q24" s="154">
        <f>(Q23/(AVERAGE(Q19)))</f>
        <v>0</v>
      </c>
    </row>
    <row r="25" spans="1:17" s="40" customFormat="1" ht="11.25" customHeight="1" x14ac:dyDescent="0.2">
      <c r="A25" s="110"/>
      <c r="B25" s="91"/>
      <c r="C25" s="92"/>
      <c r="D25" s="93"/>
      <c r="E25" s="92"/>
      <c r="F25" s="94"/>
      <c r="G25" s="94"/>
      <c r="H25" s="94"/>
      <c r="I25" s="92"/>
      <c r="J25" s="93"/>
      <c r="K25" s="92"/>
      <c r="L25" s="94"/>
      <c r="M25" s="94"/>
      <c r="N25" s="94"/>
      <c r="O25" s="95"/>
      <c r="P25" s="153" t="s">
        <v>67</v>
      </c>
      <c r="Q25" s="94">
        <f>_xlfn.STDEV.P(Q18)</f>
        <v>0</v>
      </c>
    </row>
    <row r="26" spans="1:17" s="40" customFormat="1" ht="11.25" customHeight="1" x14ac:dyDescent="0.2">
      <c r="A26" s="110"/>
      <c r="B26" s="91"/>
      <c r="C26" s="92"/>
      <c r="D26" s="93"/>
      <c r="E26" s="92"/>
      <c r="F26" s="94"/>
      <c r="G26" s="94"/>
      <c r="H26" s="94"/>
      <c r="I26" s="92"/>
      <c r="J26" s="93"/>
      <c r="K26" s="92"/>
      <c r="L26" s="94"/>
      <c r="M26" s="94"/>
      <c r="N26" s="94"/>
      <c r="O26" s="95"/>
      <c r="P26" s="153" t="s">
        <v>68</v>
      </c>
      <c r="Q26" s="154">
        <f>Q25/(AVERAGE(Q18))</f>
        <v>0</v>
      </c>
    </row>
    <row r="27" spans="1:17" s="40" customFormat="1" ht="11.25" customHeight="1" x14ac:dyDescent="0.2">
      <c r="A27" s="110"/>
      <c r="B27" s="91"/>
      <c r="C27" s="92"/>
      <c r="D27" s="93"/>
      <c r="E27" s="92"/>
      <c r="F27" s="94"/>
      <c r="G27" s="94"/>
      <c r="H27" s="94"/>
      <c r="I27" s="92"/>
      <c r="J27" s="93"/>
      <c r="K27" s="92"/>
      <c r="L27" s="94"/>
      <c r="M27" s="94"/>
      <c r="N27" s="94"/>
      <c r="O27" s="95"/>
      <c r="P27" s="153" t="s">
        <v>69</v>
      </c>
      <c r="Q27" s="155">
        <f>_xlfn.STDEV.P(Q19)</f>
        <v>0</v>
      </c>
    </row>
    <row r="28" spans="1:17" s="40" customFormat="1" ht="11.25" customHeight="1" x14ac:dyDescent="0.2">
      <c r="A28" s="110"/>
      <c r="B28" s="91"/>
      <c r="C28" s="92"/>
      <c r="D28" s="93"/>
      <c r="E28" s="92"/>
      <c r="F28" s="94"/>
      <c r="G28" s="94"/>
      <c r="H28" s="94"/>
      <c r="I28" s="92"/>
      <c r="J28" s="93"/>
      <c r="K28" s="92"/>
      <c r="L28" s="94"/>
      <c r="M28" s="94"/>
      <c r="N28" s="94"/>
      <c r="O28" s="95"/>
      <c r="P28" s="153" t="s">
        <v>70</v>
      </c>
      <c r="Q28" s="95">
        <f>Q27/(AVERAGE(Q19))</f>
        <v>0</v>
      </c>
    </row>
    <row r="29" spans="1:17" s="40" customFormat="1" ht="12.75" customHeight="1" x14ac:dyDescent="0.2">
      <c r="A29" s="110"/>
      <c r="B29" s="91"/>
      <c r="C29" s="92"/>
      <c r="D29" s="93"/>
      <c r="E29" s="92"/>
      <c r="F29" s="94"/>
      <c r="G29" s="94"/>
      <c r="H29" s="94"/>
      <c r="I29" s="92"/>
      <c r="J29" s="93"/>
      <c r="K29" s="92"/>
      <c r="L29" s="94"/>
      <c r="M29" s="94"/>
      <c r="N29" s="94"/>
      <c r="O29" s="95"/>
      <c r="P29" s="95"/>
      <c r="Q29" s="94"/>
    </row>
    <row r="30" spans="1:17" ht="12" thickBot="1" x14ac:dyDescent="0.25"/>
    <row r="31" spans="1:17" ht="11.25" customHeight="1" x14ac:dyDescent="0.2">
      <c r="A31" s="253" t="s">
        <v>38</v>
      </c>
      <c r="B31" s="239" t="s">
        <v>38</v>
      </c>
      <c r="C31" s="242" t="s">
        <v>39</v>
      </c>
      <c r="D31" s="243"/>
      <c r="E31" s="243"/>
      <c r="F31" s="243"/>
      <c r="G31" s="243"/>
      <c r="H31" s="243"/>
      <c r="I31" s="244" t="s">
        <v>48</v>
      </c>
      <c r="J31" s="244"/>
      <c r="K31" s="244"/>
      <c r="L31" s="244"/>
      <c r="M31" s="244"/>
      <c r="N31" s="244"/>
      <c r="O31" s="259" t="s">
        <v>40</v>
      </c>
      <c r="P31" s="260"/>
      <c r="Q31" s="263" t="s">
        <v>62</v>
      </c>
    </row>
    <row r="32" spans="1:17" ht="11.25" customHeight="1" x14ac:dyDescent="0.2">
      <c r="A32" s="254"/>
      <c r="B32" s="240"/>
      <c r="C32" s="256" t="s">
        <v>28</v>
      </c>
      <c r="D32" s="257"/>
      <c r="E32" s="256" t="s">
        <v>29</v>
      </c>
      <c r="F32" s="258"/>
      <c r="G32" s="258"/>
      <c r="H32" s="257"/>
      <c r="I32" s="256" t="s">
        <v>28</v>
      </c>
      <c r="J32" s="257"/>
      <c r="K32" s="256" t="s">
        <v>29</v>
      </c>
      <c r="L32" s="258"/>
      <c r="M32" s="258"/>
      <c r="N32" s="258"/>
      <c r="O32" s="261"/>
      <c r="P32" s="262"/>
      <c r="Q32" s="264"/>
    </row>
    <row r="33" spans="1:17" ht="26.25" customHeight="1" x14ac:dyDescent="0.2">
      <c r="A33" s="254"/>
      <c r="B33" s="241"/>
      <c r="C33" s="6" t="s">
        <v>30</v>
      </c>
      <c r="D33" s="7" t="s">
        <v>31</v>
      </c>
      <c r="E33" s="6" t="s">
        <v>30</v>
      </c>
      <c r="F33" s="8" t="s">
        <v>32</v>
      </c>
      <c r="G33" s="8" t="s">
        <v>33</v>
      </c>
      <c r="H33" s="9" t="s">
        <v>43</v>
      </c>
      <c r="I33" s="6" t="s">
        <v>30</v>
      </c>
      <c r="J33" s="7" t="s">
        <v>31</v>
      </c>
      <c r="K33" s="6" t="s">
        <v>30</v>
      </c>
      <c r="L33" s="8" t="s">
        <v>32</v>
      </c>
      <c r="M33" s="8" t="s">
        <v>34</v>
      </c>
      <c r="N33" s="9" t="s">
        <v>44</v>
      </c>
      <c r="O33" s="10" t="s">
        <v>35</v>
      </c>
      <c r="P33" s="109" t="s">
        <v>36</v>
      </c>
      <c r="Q33" s="30" t="s">
        <v>45</v>
      </c>
    </row>
    <row r="34" spans="1:17" s="18" customFormat="1" x14ac:dyDescent="0.2">
      <c r="A34" s="254"/>
      <c r="B34" s="69" t="s">
        <v>37</v>
      </c>
      <c r="C34" s="31">
        <f>COUNTIFS(CedarRapNDD!C:C,"PHOSPHORUS, TOTAL (AS P)",CedarRapNDD!G:G,"MG/L",CedarRapNDD!H:H,"RAW WASTE")</f>
        <v>317</v>
      </c>
      <c r="D34" s="32">
        <f>AVERAGEIFS(CedarRapNDD!F:F,(CedarRapNDD!C:C),("PHOSPHORUS, TOTAL (AS P)"),(CedarRapNDD!H:H),("RAW WASTE"),(CedarRapNDD!G:G),("MG/L"))</f>
        <v>12.894654611671925</v>
      </c>
      <c r="E34" s="33">
        <f>COUNTIFS(CedarRapNDD!C:C,"PHOSPHORUS, TOTAL (AS P)",CedarRapNDD!G:G,"LBS/DAY",CedarRapNDD!H:H,"RAW WASTE")</f>
        <v>317</v>
      </c>
      <c r="F34" s="34">
        <f>AVERAGEIFS(CedarRapNDD!F:F,(CedarRapNDD!C:C),("PHOSPHORUS, TOTAL (AS P)"),(CedarRapNDD!H:H),("RAW WASTE"),(CedarRapNDD!G:G),("LBS/DAY"))</f>
        <v>4598.0363254160857</v>
      </c>
      <c r="G34" s="34">
        <f>(SUMIFS(CedarRapNDD!F:F,(CedarRapNDD!C:C),("PHOSPHORUS, TOTAL (AS P)"),(CedarRapNDD!H:H),("RAW WASTE"),(CedarRapNDD!G:G),("LBS/DAY")))</f>
        <v>1457577.5151568991</v>
      </c>
      <c r="H34" s="35">
        <f>F34*365</f>
        <v>1678283.2587768713</v>
      </c>
      <c r="I34" s="33">
        <f>COUNTIFS(CedarRapNDD!C:C,"PHOSPHORUS, TOTAL (AS P)",CedarRapNDD!G:G,"MG/L",CedarRapNDD!H:H,"FINAL EFFLUENT")</f>
        <v>317</v>
      </c>
      <c r="J34" s="32">
        <f>(AVERAGEIFS(CedarRapNDD!F:F,(CedarRapNDD!C:C),("PHOSPHORUS, TOTAL (AS P)"),(CedarRapNDD!H:H),("FINAL EFFLUENT"),(CedarRapNDD!G:G),("MG/L")))</f>
        <v>7.9408201892744472</v>
      </c>
      <c r="K34" s="33">
        <f>COUNTIFS(CedarRapNDD!C:C,"PHOSPHORUS, TOTAL (AS P)",CedarRapNDD!G:G,"LBS/DAY",CedarRapNDD!H:H,"FINAL EFFLUENT")</f>
        <v>317</v>
      </c>
      <c r="L34" s="34">
        <f>AVERAGEIFS(CedarRapNDD!F:F,(CedarRapNDD!C:C),("PHOSPHORUS, TOTAL (AS P)"),(CedarRapNDD!H:H),("FINAL EFFLUENT"),(CedarRapNDD!G:G),("LBS/DAY"))</f>
        <v>2822.5330537476329</v>
      </c>
      <c r="M34" s="34">
        <f>SUMIFS(CedarRapNDD!F:F,(CedarRapNDD!C:C),("PHOSPHORUS, TOTAL (AS P)"),(CedarRapNDD!H:H),("FINAL EFFLUENT"),(CedarRapNDD!G:G),("LBS/DAY"))</f>
        <v>894742.97803799971</v>
      </c>
      <c r="N34" s="35">
        <f>L34*365</f>
        <v>1030224.564617886</v>
      </c>
      <c r="O34" s="36">
        <f>((D34-J34))/D34</f>
        <v>0.38417736430981164</v>
      </c>
      <c r="P34" s="37">
        <f>((F34-L34))/F34</f>
        <v>0.38614381140361781</v>
      </c>
      <c r="Q34" s="38">
        <f>(F34-L34)*365</f>
        <v>648058.69415898528</v>
      </c>
    </row>
    <row r="35" spans="1:17" s="18" customFormat="1" ht="5.25" customHeight="1" x14ac:dyDescent="0.2">
      <c r="A35" s="254"/>
      <c r="B35" s="69"/>
      <c r="C35" s="11"/>
      <c r="D35" s="12"/>
      <c r="E35" s="13"/>
      <c r="F35" s="14"/>
      <c r="G35" s="14"/>
      <c r="H35" s="15"/>
      <c r="I35" s="13"/>
      <c r="J35" s="12"/>
      <c r="K35" s="13"/>
      <c r="L35" s="14"/>
      <c r="M35" s="14"/>
      <c r="N35" s="15"/>
      <c r="O35" s="16"/>
      <c r="P35" s="17"/>
      <c r="Q35" s="39"/>
    </row>
    <row r="36" spans="1:17" s="40" customFormat="1" x14ac:dyDescent="0.2">
      <c r="A36" s="254"/>
      <c r="B36" s="70" t="s">
        <v>49</v>
      </c>
      <c r="C36" s="71">
        <f>COUNTIFS(CedarRapNDD!$E:$E,"&gt;=5/1/2014",CedarRapNDD!$E:$E,"&lt;=4/30/2015",CedarRapNDD!$C:$C,"PHOSPHORUS, TOTAL (AS P)",CedarRapNDD!$G:$G,"MG/L",CedarRapNDD!$H:$H,"RAW WASTE")</f>
        <v>0</v>
      </c>
      <c r="D36" s="72" t="e">
        <f>AVERAGEIFS(CedarRapNDD!$F:$F,CedarRapNDD!$E:$E,"&gt;=5/1/2014",CedarRapNDD!$E:$E,"&lt;=4/30/2015",(CedarRapNDD!$C:$C),("PHOSPHORUS, TOTAL (AS P)"),(CedarRapNDD!$H:$H),("RAW WASTE"),(CedarRapNDD!$G:$G),("MG/L"))</f>
        <v>#DIV/0!</v>
      </c>
      <c r="E36" s="73">
        <f>COUNTIFS(CedarRapNDD!$E:$E,"&gt;=5/1/2014",CedarRapNDD!$E:$E,"&lt;=4/30/2015",CedarRapNDD!$C:$C,"PHOSPHORUS, TOTAL (AS P)",CedarRapNDD!$G:$G,"LBS/DAY",CedarRapNDD!$H:$H,"RAW WASTE")</f>
        <v>0</v>
      </c>
      <c r="F36" s="74" t="e">
        <f>AVERAGEIFS(CedarRapNDD!$F:$F,CedarRapNDD!$E:$E,"&gt;=5/1/2014",CedarRapNDD!$E:$E,"&lt;=4/30/2015",(CedarRapNDD!$C:$C),("PHOSPHORUS, TOTAL (AS P)"),(CedarRapNDD!$H:$H),("RAW WASTE"),(CedarRapNDD!$G:$G),("LBS/DAY"))</f>
        <v>#DIV/0!</v>
      </c>
      <c r="G36" s="74">
        <f>SUMIFS(CedarRapNDD!$F:$F,CedarRapNDD!$E:$E,"&gt;=5/1/2014",CedarRapNDD!$E:$E,"&lt;=4/30/2015",(CedarRapNDD!$C:$C),("PHOSPHORUS, TOTAL (AS P)"),(CedarRapNDD!$H:$H),("RAW WASTE"),(CedarRapNDD!$G:$G),("LBS/DAY"))</f>
        <v>0</v>
      </c>
      <c r="H36" s="75" t="e">
        <f>F36*365</f>
        <v>#DIV/0!</v>
      </c>
      <c r="I36" s="73">
        <f>COUNTIFS(CedarRapNDD!$E:$E,"&gt;=5/1/2014",CedarRapNDD!$E:$E,"&lt;=4/30/2015",CedarRapNDD!$C:$C,"PHOSPHORUS, TOTAL (AS P)",CedarRapNDD!$G:$G,"MG/L",CedarRapNDD!$H:$H,"FINAL EFFLUENT")</f>
        <v>0</v>
      </c>
      <c r="J36" s="72" t="e">
        <f>AVERAGEIFS(CedarRapNDD!$F:$F,CedarRapNDD!$E:$E,"&gt;=5/1/2014",CedarRapNDD!$E:$E,"&lt;=4/30/2015",(CedarRapNDD!$C:$C),("PHOSPHORUS, TOTAL (AS P)"),(CedarRapNDD!$H:$H),("FINAL EFFLUENT"),(CedarRapNDD!$G:$G),("MG/L"))</f>
        <v>#DIV/0!</v>
      </c>
      <c r="K36" s="73">
        <f>COUNTIFS(CedarRapNDD!$E:$E,"&gt;=5/1/2014",CedarRapNDD!$E:$E,"&lt;=4/30/2015",CedarRapNDD!$C:$C,"PHOSPHORUS, TOTAL (AS P)",CedarRapNDD!$G:$G,"LBS/DAY",CedarRapNDD!$H:$H,"FINAL EFFLUENT")</f>
        <v>0</v>
      </c>
      <c r="L36" s="74" t="e">
        <f>AVERAGEIFS((CedarRapNDD!$F:$F),CedarRapNDD!$E:$E,"&gt;=5/1/2014",CedarRapNDD!$E:$E,"&lt;=4/30/2015",(CedarRapNDD!$C:$C),("PHOSPHORUS, TOTAL (AS P)"),(CedarRapNDD!$H:$H),("FINAL EFFLUENT"),(CedarRapNDD!$G:$G),("LBS/DAY"))</f>
        <v>#DIV/0!</v>
      </c>
      <c r="M36" s="74">
        <f>SUMIFS(CedarRapNDD!$F:$F,CedarRapNDD!$E:$E,"&gt;=5/1/2014",CedarRapNDD!$E:$E,"&lt;=4/30/2015",(CedarRapNDD!$C:$C),("PHOSPHORUS, TOTAL (AS P)"),(CedarRapNDD!$H:$H),("FINAL EFFLUENT"),(CedarRapNDD!$G:$G),("LBS/DAY"))</f>
        <v>0</v>
      </c>
      <c r="N36" s="75" t="e">
        <f>L36*365</f>
        <v>#DIV/0!</v>
      </c>
      <c r="O36" s="76" t="e">
        <f>((D36-J36))/D36</f>
        <v>#DIV/0!</v>
      </c>
      <c r="P36" s="77" t="e">
        <f>((F36-L36))/F36</f>
        <v>#DIV/0!</v>
      </c>
      <c r="Q36" s="78" t="s">
        <v>61</v>
      </c>
    </row>
    <row r="37" spans="1:17" s="18" customFormat="1" ht="6" customHeight="1" x14ac:dyDescent="0.2">
      <c r="A37" s="254"/>
      <c r="B37" s="69"/>
      <c r="C37" s="11"/>
      <c r="D37" s="12"/>
      <c r="E37" s="13"/>
      <c r="F37" s="14"/>
      <c r="G37" s="14"/>
      <c r="H37" s="15"/>
      <c r="I37" s="13"/>
      <c r="J37" s="12"/>
      <c r="K37" s="13"/>
      <c r="L37" s="14"/>
      <c r="M37" s="14"/>
      <c r="N37" s="15"/>
      <c r="O37" s="16"/>
      <c r="P37" s="17"/>
      <c r="Q37" s="39"/>
    </row>
    <row r="38" spans="1:17" s="50" customFormat="1" x14ac:dyDescent="0.2">
      <c r="A38" s="254"/>
      <c r="B38" s="79" t="s">
        <v>46</v>
      </c>
      <c r="C38" s="41">
        <f>COUNTIFS(CedarRapNDD!$E:$E,"&gt;=1/1/2015",CedarRapNDD!$E:$E,"&lt;=12/31/2015",CedarRapNDD!$C:$C,"PHOSPHORUS, TOTAL (AS P)",CedarRapNDD!$G:$G,"MG/L",CedarRapNDD!$H:$H,"RAW WASTE")</f>
        <v>0</v>
      </c>
      <c r="D38" s="42" t="e">
        <f>AVERAGEIFS(CedarRapNDD!$F:$F,CedarRapNDD!$E:$E,"&gt;=1/1/2015",CedarRapNDD!$E:$E,"&lt;=12/31/2015",(CedarRapNDD!$C:$C),("PHOSPHORUS, TOTAL (AS P)"),(CedarRapNDD!$H:$H),("RAW WASTE"),(CedarRapNDD!$G:$G),("MG/L"))</f>
        <v>#DIV/0!</v>
      </c>
      <c r="E38" s="41">
        <f>COUNTIFS(CedarRapNDD!$E:$E,"&gt;=1/1/2015",CedarRapNDD!$E:$E,"&lt;=12/31/2015",CedarRapNDD!$C:$C,"PHOSPHORUS, TOTAL (AS P)",CedarRapNDD!$G:$G,"LBS/DAY",CedarRapNDD!$H:$H,"RAW WASTE")</f>
        <v>0</v>
      </c>
      <c r="F38" s="43" t="e">
        <f>AVERAGEIFS(CedarRapNDD!$F:$F,CedarRapNDD!$E:$E,"&gt;=1/1/2015",CedarRapNDD!$E:$E,"&lt;=12/31/2015",(CedarRapNDD!$C:$C),("PHOSPHORUS, TOTAL (AS P)"),(CedarRapNDD!$H:$H),("RAW WASTE"),(CedarRapNDD!$G:$G),("LBS/DAY"))</f>
        <v>#DIV/0!</v>
      </c>
      <c r="G38" s="43">
        <f>SUMIFS(CedarRapNDD!$F:$F,CedarRapNDD!$E:$E,"&gt;=1/1/2015",CedarRapNDD!$E:$E,"&lt;=12/31/2015",(CedarRapNDD!$C:$C),("PHOSPHORUS, TOTAL (AS P)"),(CedarRapNDD!$H:$H),("RAW WASTE"),(CedarRapNDD!$G:$G),("LBS/DAY"))</f>
        <v>0</v>
      </c>
      <c r="H38" s="44" t="e">
        <f>F38*365</f>
        <v>#DIV/0!</v>
      </c>
      <c r="I38" s="41">
        <f>COUNTIFS(CedarRapNDD!$E:$E,"&gt;=1/1/2015",CedarRapNDD!$E:$E,"&lt;=12/31/2015",CedarRapNDD!$C:$C,"PHOSPHORUS, TOTAL (AS P)",CedarRapNDD!$G:$G,"MG/L",CedarRapNDD!$H:$H,"FINAL EFFLUENT")</f>
        <v>0</v>
      </c>
      <c r="J38" s="45" t="e">
        <f>AVERAGEIFS(CedarRapNDD!$F:$F,CedarRapNDD!$E:$E,"&gt;=1/1/2015",CedarRapNDD!$E:$E,"&lt;=12/31/2015",(CedarRapNDD!$C:$C),("PHOSPHORUS, TOTAL (AS P)"),(CedarRapNDD!$H:$H),("FINAL EFFLUENT"),(CedarRapNDD!$G:$G),("MG/L"))</f>
        <v>#DIV/0!</v>
      </c>
      <c r="K38" s="41">
        <f>COUNTIFS(CedarRapNDD!$E:$E,"&gt;=1/1/2015",CedarRapNDD!$E:$E,"&lt;=12/31/2015",CedarRapNDD!$C:$C,"PHOSPHORUS, TOTAL (AS P)",CedarRapNDD!$G:$G,"LBS/DAY",CedarRapNDD!$H:$H,"FINAL EFFLUENT")</f>
        <v>0</v>
      </c>
      <c r="L38" s="158" t="e">
        <f>AVERAGEIFS((CedarRapNDD!$F:$F),CedarRapNDD!$E:$E,"&gt;=1/1/2015",CedarRapNDD!$E:$E,"&lt;=12/31/2015",(CedarRapNDD!$C:$C),("PHOSPHORUS, TOTAL (AS P)"),(CedarRapNDD!$H:$H),("FINAL EFFLUENT"),(CedarRapNDD!$G:$G),("LBS/DAY"))</f>
        <v>#DIV/0!</v>
      </c>
      <c r="M38" s="43">
        <f>SUMIFS(CedarRapNDD!$F:$F,CedarRapNDD!$E:$E,"&gt;=1/1/2015",CedarRapNDD!$E:$E,"&lt;=12/31/2015",(CedarRapNDD!$C:$C),("PHOSPHORUS, TOTAL (AS P)"),(CedarRapNDD!$H:$H),("FINAL EFFLUENT"),(CedarRapNDD!$G:$G),("LBS/DAY"))</f>
        <v>0</v>
      </c>
      <c r="N38" s="46" t="e">
        <f>L38*365</f>
        <v>#DIV/0!</v>
      </c>
      <c r="O38" s="47" t="e">
        <f>((D38-J38))/D38</f>
        <v>#DIV/0!</v>
      </c>
      <c r="P38" s="48" t="e">
        <f>((F38-L38))/F38</f>
        <v>#DIV/0!</v>
      </c>
      <c r="Q38" s="49" t="s">
        <v>61</v>
      </c>
    </row>
    <row r="39" spans="1:17" s="40" customFormat="1" x14ac:dyDescent="0.2">
      <c r="A39" s="254"/>
      <c r="B39" s="80" t="s">
        <v>50</v>
      </c>
      <c r="C39" s="51">
        <f>COUNTIFS(CedarRapNDD!$E:$E,"&gt;=5/1/2015",CedarRapNDD!$E:$E,"&lt;=4/30/2016",CedarRapNDD!$C:$C,"PHOSPHORUS, TOTAL (AS P)",CedarRapNDD!$G:$G,"MG/L",CedarRapNDD!$H:$H,"RAW WASTE")</f>
        <v>0</v>
      </c>
      <c r="D39" s="52" t="e">
        <f>AVERAGEIFS(CedarRapNDD!$F:$F,CedarRapNDD!$E:$E,"&gt;=5/1/2015",CedarRapNDD!$E:$E,"&lt;=4/30/2016",(CedarRapNDD!$C:$C),("PHOSPHORUS, TOTAL (AS P)"),(CedarRapNDD!$H:$H),("RAW WASTE"),(CedarRapNDD!$G:$G),("MG/L"))</f>
        <v>#DIV/0!</v>
      </c>
      <c r="E39" s="51">
        <f>COUNTIFS(CedarRapNDD!$E:$E,"&gt;=5/1/2015",CedarRapNDD!$E:$E,"&lt;=4/30/2016",CedarRapNDD!$C:$C,"PHOSPHORUS, TOTAL (AS P)",CedarRapNDD!$G:$G,"LBS/DAY",CedarRapNDD!$H:$H,"RAW WASTE")</f>
        <v>0</v>
      </c>
      <c r="F39" s="53" t="e">
        <f>AVERAGEIFS(CedarRapNDD!$F:$F,CedarRapNDD!$E:$E,"&gt;=5/1/2015",CedarRapNDD!$E:$E,"&lt;=4/30/2016",(CedarRapNDD!$C:$C),("PHOSPHORUS, TOTAL (AS P)"),(CedarRapNDD!$H:$H),("RAW WASTE"),(CedarRapNDD!$G:$G),("LBS/DAY"))</f>
        <v>#DIV/0!</v>
      </c>
      <c r="G39" s="53">
        <f>SUMIFS(CedarRapNDD!$F:$F,CedarRapNDD!$E:$E,"&gt;=5/1/2015",CedarRapNDD!$E:$E,"&lt;=4/30/2016",(CedarRapNDD!$C:$C),("PHOSPHORUS, TOTAL (AS P)"),(CedarRapNDD!$H:$H),("RAW WASTE"),(CedarRapNDD!$G:$G),("LBS/DAY"))</f>
        <v>0</v>
      </c>
      <c r="H39" s="54" t="e">
        <f>F39*365</f>
        <v>#DIV/0!</v>
      </c>
      <c r="I39" s="51">
        <f>COUNTIFS(CedarRapNDD!$E:$E,"&gt;=5/1/2015",CedarRapNDD!$E:$E,"&lt;=4/30/2016",CedarRapNDD!$C:$C,"PHOSPHORUS, TOTAL (AS P)",CedarRapNDD!$G:$G,"MG/L",CedarRapNDD!$H:$H,"FINAL EFFLUENT")</f>
        <v>0</v>
      </c>
      <c r="J39" s="52" t="e">
        <f>AVERAGEIFS(CedarRapNDD!$F:$F,CedarRapNDD!$E:$E,"&gt;=5/1/2015",CedarRapNDD!$E:$E,"&lt;=4/30/2016",(CedarRapNDD!$C:$C),("PHOSPHORUS, TOTAL (AS P)"),(CedarRapNDD!$H:$H),("FINAL EFFLUENT"),(CedarRapNDD!$G:$G),("MG/L"))</f>
        <v>#DIV/0!</v>
      </c>
      <c r="K39" s="51">
        <f>COUNTIFS(CedarRapNDD!$E:$E,"&gt;=5/1/2015",CedarRapNDD!$E:$E,"&lt;=4/30/2016",CedarRapNDD!$C:$C,"PHOSPHORUS, TOTAL (AS P)",CedarRapNDD!$G:$G,"LBS/DAY",CedarRapNDD!$H:$H,"FINAL EFFLUENT")</f>
        <v>0</v>
      </c>
      <c r="L39" s="53" t="e">
        <f>AVERAGEIFS((CedarRapNDD!$F:$F),CedarRapNDD!$E:$E,"&gt;=5/1/2015",CedarRapNDD!$E:$E,"&lt;=4/30/2016",(CedarRapNDD!$C:$C),("PHOSPHORUS, TOTAL (AS P)"),(CedarRapNDD!$H:$H),("FINAL EFFLUENT"),(CedarRapNDD!$G:$G),("LBS/DAY"))</f>
        <v>#DIV/0!</v>
      </c>
      <c r="M39" s="53">
        <f>SUMIFS(CedarRapNDD!$F:$F,CedarRapNDD!$E:$E,"&gt;=5/1/2015",CedarRapNDD!$E:$E,"&lt;=4/30/2016",(CedarRapNDD!$C:$C),("PHOSPHORUS, TOTAL (AS P)"),(CedarRapNDD!$H:$H),("FINAL EFFLUENT"),(CedarRapNDD!$G:$G),("LBS/DAY"))</f>
        <v>0</v>
      </c>
      <c r="N39" s="54" t="e">
        <f>L39*365</f>
        <v>#DIV/0!</v>
      </c>
      <c r="O39" s="55" t="e">
        <f>((D39-J39))/D39</f>
        <v>#DIV/0!</v>
      </c>
      <c r="P39" s="56" t="e">
        <f>((F39-L39))/F39</f>
        <v>#DIV/0!</v>
      </c>
      <c r="Q39" s="57" t="s">
        <v>61</v>
      </c>
    </row>
    <row r="40" spans="1:17" s="67" customFormat="1" ht="6" customHeight="1" x14ac:dyDescent="0.2">
      <c r="A40" s="254"/>
      <c r="B40" s="81"/>
      <c r="C40" s="58"/>
      <c r="D40" s="59"/>
      <c r="E40" s="58"/>
      <c r="F40" s="60"/>
      <c r="G40" s="60"/>
      <c r="H40" s="61"/>
      <c r="I40" s="58"/>
      <c r="J40" s="62"/>
      <c r="K40" s="58"/>
      <c r="L40" s="159"/>
      <c r="M40" s="60"/>
      <c r="N40" s="63"/>
      <c r="O40" s="64"/>
      <c r="P40" s="65"/>
      <c r="Q40" s="66"/>
    </row>
    <row r="41" spans="1:17" s="67" customFormat="1" x14ac:dyDescent="0.2">
      <c r="A41" s="254"/>
      <c r="B41" s="82" t="s">
        <v>47</v>
      </c>
      <c r="C41" s="19">
        <f>COUNTIFS(CedarRapNDD!$E:$E,"&gt;=1/1/2016",CedarRapNDD!$E:$E,"&lt;=12/31/2016",CedarRapNDD!$C:$C,"PHOSPHORUS, TOTAL (AS P)",CedarRapNDD!$G:$G,"MG/L",CedarRapNDD!$H:$H,"RAW WASTE")</f>
        <v>0</v>
      </c>
      <c r="D41" s="20" t="e">
        <f>AVERAGEIFS(CedarRapNDD!$F:$F,CedarRapNDD!$E:$E,"&gt;=1/1/2016",CedarRapNDD!$E:$E,"&lt;=12/31/2016",(CedarRapNDD!$C:$C),("PHOSPHORUS, TOTAL (AS P)"),(CedarRapNDD!$H:$H),("RAW WASTE"),(CedarRapNDD!$G:$G),("MG/L"))</f>
        <v>#DIV/0!</v>
      </c>
      <c r="E41" s="19">
        <f>COUNTIFS(CedarRapNDD!$E:$E,"&gt;=1/1/2016",CedarRapNDD!$E:$E,"&lt;=12/31/2016",CedarRapNDD!$C:$C,"PHOSPHORUS, TOTAL (AS P)",CedarRapNDD!$G:$G,"LBS/DAY",CedarRapNDD!$H:$H,"RAW WASTE")</f>
        <v>0</v>
      </c>
      <c r="F41" s="21" t="e">
        <f>AVERAGEIFS(CedarRapNDD!$F:$F,CedarRapNDD!$E:$E,"&gt;=1/1/2016",CedarRapNDD!$E:$E,"&lt;=12/31/2016",(CedarRapNDD!$C:$C),("PHOSPHORUS, TOTAL (AS P)"),(CedarRapNDD!$H:$H),("RAW WASTE"),(CedarRapNDD!$G:$G),("LBS/DAY"))</f>
        <v>#DIV/0!</v>
      </c>
      <c r="G41" s="21">
        <f>SUMIFS(CedarRapNDD!$F:$F,CedarRapNDD!$E:$E,"&gt;=1/1/2016",CedarRapNDD!$E:$E,"&lt;=12/31/2016",(CedarRapNDD!$C:$C),("PHOSPHORUS, TOTAL (AS P)"),(CedarRapNDD!$H:$H),("RAW WASTE"),(CedarRapNDD!$G:$G),("LBS/DAY"))</f>
        <v>0</v>
      </c>
      <c r="H41" s="22" t="e">
        <f>F41*365</f>
        <v>#DIV/0!</v>
      </c>
      <c r="I41" s="19">
        <f>COUNTIFS(CedarRapNDD!$E:$E,"&gt;=1/1/2016",CedarRapNDD!$E:$E,"&lt;=12/31/2016",CedarRapNDD!$C:$C,"PHOSPHORUS, TOTAL (AS P)",CedarRapNDD!$G:$G,"MG/L",CedarRapNDD!$H:$H,"FINAL EFFLUENT")</f>
        <v>0</v>
      </c>
      <c r="J41" s="23" t="e">
        <f>AVERAGEIFS(CedarRapNDD!$F:$F,CedarRapNDD!$E:$E,"&gt;=1/1/2016",CedarRapNDD!$E:$E,"&lt;=12/31/2016",(CedarRapNDD!$C:$C),("PHOSPHORUS, TOTAL (AS P)"),(CedarRapNDD!$H:$H),("FINAL EFFLUENT"),(CedarRapNDD!$G:$G),("MG/L"))</f>
        <v>#DIV/0!</v>
      </c>
      <c r="K41" s="19">
        <f>COUNTIFS(CedarRapNDD!$E:$E,"&gt;=1/1/2016",CedarRapNDD!$E:$E,"&lt;=12/31/2016",CedarRapNDD!$C:$C,"PHOSPHORUS, TOTAL (AS P)",CedarRapNDD!$G:$G,"LBS/DAY",CedarRapNDD!$H:$H,"FINAL EFFLUENT")</f>
        <v>0</v>
      </c>
      <c r="L41" s="160" t="e">
        <f>AVERAGEIFS((CedarRapNDD!$F:$F),CedarRapNDD!$E:$E,"&gt;=1/1/2016",CedarRapNDD!$E:$E,"&lt;=12/31/2016",(CedarRapNDD!$C:$C),("PHOSPHORUS, TOTAL (AS P)"),(CedarRapNDD!$H:$H),("FINAL EFFLUENT"),(CedarRapNDD!$G:$G),("LBS/DAY"))</f>
        <v>#DIV/0!</v>
      </c>
      <c r="M41" s="21">
        <f>SUMIFS(CedarRapNDD!$F:$F,CedarRapNDD!$E:$E,"&gt;=1/1/2016",CedarRapNDD!$E:$E,"&lt;=12/31/2016",(CedarRapNDD!$C:$C),("PHOSPHORUS, TOTAL (AS P)"),(CedarRapNDD!$H:$H),("FINAL EFFLUENT"),(CedarRapNDD!$G:$G),("LBS/DAY"))</f>
        <v>0</v>
      </c>
      <c r="N41" s="24" t="e">
        <f>L41*365</f>
        <v>#DIV/0!</v>
      </c>
      <c r="O41" s="25" t="e">
        <f>((D41-J41))/D41</f>
        <v>#DIV/0!</v>
      </c>
      <c r="P41" s="26" t="e">
        <f>((F41-L41))/F41</f>
        <v>#DIV/0!</v>
      </c>
      <c r="Q41" s="68" t="s">
        <v>61</v>
      </c>
    </row>
    <row r="42" spans="1:17" s="40" customFormat="1" x14ac:dyDescent="0.2">
      <c r="A42" s="254"/>
      <c r="B42" s="83" t="s">
        <v>51</v>
      </c>
      <c r="C42" s="84">
        <f>COUNTIFS(CedarRapNDD!$E:$E,"&gt;=5/1/2016",CedarRapNDD!$E:$E,"&lt;=4/30/2017",CedarRapNDD!$C:$C,"PHOSPHORUS, TOTAL (AS P)",CedarRapNDD!$G:$G,"MG/L",CedarRapNDD!$H:$H,"RAW WASTE")</f>
        <v>0</v>
      </c>
      <c r="D42" s="85" t="e">
        <f>AVERAGEIFS(CedarRapNDD!$F:$F,CedarRapNDD!$E:$E,"&gt;=5/1/2016",CedarRapNDD!$E:$E,"&lt;=4/30/2017",(CedarRapNDD!$C:$C),("PHOSPHORUS, TOTAL (AS P)"),(CedarRapNDD!$H:$H),("RAW WASTE"),(CedarRapNDD!$G:$G),("MG/L"))</f>
        <v>#DIV/0!</v>
      </c>
      <c r="E42" s="84">
        <f>COUNTIFS(CedarRapNDD!$E:$E,"&gt;=5/1/2016",CedarRapNDD!$E:$E,"&lt;=4/30/2017",CedarRapNDD!$C:$C,"PHOSPHORUS, TOTAL (AS P)",CedarRapNDD!$G:$G,"LBS/DAY",CedarRapNDD!$H:$H,"RAW WASTE")</f>
        <v>0</v>
      </c>
      <c r="F42" s="86" t="e">
        <f>AVERAGEIFS(CedarRapNDD!$F:$F,CedarRapNDD!$E:$E,"&gt;=5/1/2016",CedarRapNDD!$E:$E,"&lt;=4/30/2017",(CedarRapNDD!$C:$C),("PHOSPHORUS, TOTAL (AS P)"),(CedarRapNDD!$H:$H),("RAW WASTE"),(CedarRapNDD!$G:$G),("LBS/DAY"))</f>
        <v>#DIV/0!</v>
      </c>
      <c r="G42" s="86">
        <f>SUMIFS(CedarRapNDD!$F:$F,CedarRapNDD!$E:$E,"&gt;=5/1/2016",CedarRapNDD!$E:$E,"&lt;=4/30/2017",(CedarRapNDD!$C:$C),("PHOSPHORUS, TOTAL (AS P)"),(CedarRapNDD!$H:$H),("RAW WASTE"),(CedarRapNDD!$G:$G),("LBS/DAY"))</f>
        <v>0</v>
      </c>
      <c r="H42" s="87" t="e">
        <f>F42*365</f>
        <v>#DIV/0!</v>
      </c>
      <c r="I42" s="84">
        <f>COUNTIFS(CedarRapNDD!$E:$E,"&gt;=5/1/2016",CedarRapNDD!$E:$E,"&lt;=4/30/2017",CedarRapNDD!$C:$C,"PHOSPHORUS, TOTAL (AS P)",CedarRapNDD!$G:$G,"MG/L",CedarRapNDD!$H:$H,"FINAL EFFLUENT")</f>
        <v>0</v>
      </c>
      <c r="J42" s="85" t="e">
        <f>AVERAGEIFS(CedarRapNDD!$F:$F,CedarRapNDD!$E:$E,"&gt;=5/1/2016",CedarRapNDD!$E:$E,"&lt;=4/30/2017",(CedarRapNDD!$C:$C),("PHOSPHORUS, TOTAL (AS P)"),(CedarRapNDD!$H:$H),("FINAL EFFLUENT"),(CedarRapNDD!$G:$G),("MG/L"))</f>
        <v>#DIV/0!</v>
      </c>
      <c r="K42" s="84">
        <f>COUNTIFS(CedarRapNDD!$E:$E,"&gt;=5/1/2016",CedarRapNDD!$E:$E,"&lt;=4/30/2017",CedarRapNDD!$C:$C,"PHOSPHORUS, TOTAL (AS P)",CedarRapNDD!$G:$G,"LBS/DAY",CedarRapNDD!$H:$H,"FINAL EFFLUENT")</f>
        <v>0</v>
      </c>
      <c r="L42" s="86" t="e">
        <f>AVERAGEIFS((CedarRapNDD!$F:$F),CedarRapNDD!$E:$E,"&gt;=5/1/2016",CedarRapNDD!$E:$E,"&lt;=4/30/2017",(CedarRapNDD!$C:$C),("PHOSPHORUS, TOTAL (AS P)"),(CedarRapNDD!$H:$H),("FINAL EFFLUENT"),(CedarRapNDD!$G:$G),("LBS/DAY"))</f>
        <v>#DIV/0!</v>
      </c>
      <c r="M42" s="86">
        <f>SUMIFS(CedarRapNDD!$F:$F,CedarRapNDD!$E:$E,"&gt;=5/1/2016",CedarRapNDD!$E:$E,"&lt;=4/30/2017",(CedarRapNDD!$C:$C),("PHOSPHORUS, TOTAL (AS P)"),(CedarRapNDD!$H:$H),("FINAL EFFLUENT"),(CedarRapNDD!$G:$G),("LBS/DAY"))</f>
        <v>0</v>
      </c>
      <c r="N42" s="87" t="e">
        <f>L42*365</f>
        <v>#DIV/0!</v>
      </c>
      <c r="O42" s="88" t="e">
        <f>((D42-J42))/D42</f>
        <v>#DIV/0!</v>
      </c>
      <c r="P42" s="89" t="e">
        <f>((F42-L42))/F42</f>
        <v>#DIV/0!</v>
      </c>
      <c r="Q42" s="90" t="s">
        <v>61</v>
      </c>
    </row>
    <row r="43" spans="1:17" ht="6" customHeight="1" x14ac:dyDescent="0.2">
      <c r="A43" s="254"/>
      <c r="Q43" s="108"/>
    </row>
    <row r="44" spans="1:17" s="107" customFormat="1" x14ac:dyDescent="0.2">
      <c r="A44" s="254"/>
      <c r="B44" s="97" t="s">
        <v>52</v>
      </c>
      <c r="C44" s="98">
        <f>COUNTIFS(CedarRapNDD!$E:$E,"&gt;=1/1/2017",CedarRapNDD!$E:$E,"&lt;=12/31/2017",CedarRapNDD!$C:$C,"PHOSPHORUS, TOTAL (AS P)",CedarRapNDD!$G:$G,"MG/L",CedarRapNDD!$H:$H,"RAW WASTE")</f>
        <v>200</v>
      </c>
      <c r="D44" s="99">
        <f>AVERAGEIFS(CedarRapNDD!$F:$F,CedarRapNDD!$E:$E,"&gt;=1/1/2017",CedarRapNDD!$E:$E,"&lt;=12/31/2017",(CedarRapNDD!$C:$C),("PHOSPHORUS, TOTAL (AS P)"),(CedarRapNDD!$H:$H),("RAW WASTE"),(CedarRapNDD!$G:$G),("MG/L"))</f>
        <v>12.113835802499993</v>
      </c>
      <c r="E44" s="98">
        <f>COUNTIFS(CedarRapNDD!$E:$E,"&gt;=1/1/2017",CedarRapNDD!$E:$E,"&lt;=12/31/2017",CedarRapNDD!$C:$C,"PHOSPHORUS, TOTAL (AS P)",CedarRapNDD!$G:$G,"LBS/DAY",CedarRapNDD!$H:$H,"RAW WASTE")</f>
        <v>200</v>
      </c>
      <c r="F44" s="100">
        <f>AVERAGEIFS(CedarRapNDD!$F:$F,CedarRapNDD!$E:$E,"&gt;=1/1/2017",CedarRapNDD!$E:$E,"&lt;=12/31/2017",(CedarRapNDD!$C:$C),("PHOSPHORUS, TOTAL (AS P)"),(CedarRapNDD!$H:$H),("RAW WASTE"),(CedarRapNDD!$G:$G),("LBS/DAY"))</f>
        <v>4200.0222838075015</v>
      </c>
      <c r="G44" s="100">
        <f>SUMIFS(CedarRapNDD!$F:$F,CedarRapNDD!$E:$E,"&gt;=1/1/2017",CedarRapNDD!$E:$E,"&lt;=12/31/2017",(CedarRapNDD!$C:$C),("PHOSPHORUS, TOTAL (AS P)"),(CedarRapNDD!$H:$H),("RAW WASTE"),(CedarRapNDD!$G:$G),("LBS/DAY"))</f>
        <v>840004.45676150022</v>
      </c>
      <c r="H44" s="101">
        <f>F44*365</f>
        <v>1533008.133589738</v>
      </c>
      <c r="I44" s="98">
        <f>COUNTIFS(CedarRapNDD!$E:$E,"&gt;=1/1/2017",CedarRapNDD!$E:$E,"&lt;=12/31/2017",CedarRapNDD!$C:$C,"PHOSPHORUS, TOTAL (AS P)",CedarRapNDD!$G:$G,"MG/L",CedarRapNDD!$H:$H,"FINAL EFFLUENT")</f>
        <v>200</v>
      </c>
      <c r="J44" s="102">
        <f>AVERAGEIFS(CedarRapNDD!$F:$F,CedarRapNDD!$E:$E,"&gt;=1/1/2017",CedarRapNDD!$E:$E,"&lt;=12/31/2017",(CedarRapNDD!$C:$C),("PHOSPHORUS, TOTAL (AS P)"),(CedarRapNDD!$H:$H),("FINAL EFFLUENT"),(CedarRapNDD!$G:$G),("MG/L"))</f>
        <v>7.8496000000000024</v>
      </c>
      <c r="K44" s="98">
        <f>COUNTIFS(CedarRapNDD!$E:$E,"&gt;=1/1/2017",CedarRapNDD!$E:$E,"&lt;=12/31/2017",CedarRapNDD!$C:$C,"PHOSPHORUS, TOTAL (AS P)",CedarRapNDD!$G:$G,"LBS/DAY",CedarRapNDD!$H:$H,"FINAL EFFLUENT")</f>
        <v>200</v>
      </c>
      <c r="L44" s="161">
        <f>AVERAGEIFS((CedarRapNDD!$F:$F),CedarRapNDD!$E:$E,"&gt;=1/1/2017",CedarRapNDD!$E:$E,"&lt;=12/31/2017",(CedarRapNDD!$C:$C),("PHOSPHORUS, TOTAL (AS P)"),(CedarRapNDD!$H:$H),("FINAL EFFLUENT"),(CedarRapNDD!$G:$G),("LBS/DAY"))</f>
        <v>2711.7589897199996</v>
      </c>
      <c r="M44" s="100">
        <f>SUMIFS(CedarRapNDD!$F:$F,CedarRapNDD!$E:$E,"&gt;=1/1/2017",CedarRapNDD!$E:$E,"&lt;=12/31/2017",(CedarRapNDD!$C:$C),("PHOSPHORUS, TOTAL (AS P)"),(CedarRapNDD!$H:$H),("FINAL EFFLUENT"),(CedarRapNDD!$G:$G),("LBS/DAY"))</f>
        <v>542351.79794399987</v>
      </c>
      <c r="N44" s="103">
        <f>L44*365</f>
        <v>989792.03124779987</v>
      </c>
      <c r="O44" s="104">
        <f>((D44-J44))/D44</f>
        <v>0.35201367032067243</v>
      </c>
      <c r="P44" s="105">
        <f>((F44-L44))/F44</f>
        <v>0.35434652330899707</v>
      </c>
      <c r="Q44" s="106">
        <f>(F44-L44)*365</f>
        <v>543216.10234193818</v>
      </c>
    </row>
    <row r="45" spans="1:17" s="40" customFormat="1" x14ac:dyDescent="0.2">
      <c r="A45" s="254"/>
      <c r="B45" s="156" t="s">
        <v>53</v>
      </c>
      <c r="C45" s="111">
        <f>COUNTIFS(CedarRapNDD!$E:$E,"&gt;=5/1/2017",CedarRapNDD!$E:$E,"&lt;=4/30/2018",CedarRapNDD!$C:$C,"PHOSPHORUS, TOTAL (AS P)",CedarRapNDD!$G:$G,"MG/L",CedarRapNDD!$H:$H,"RAW WASTE")</f>
        <v>317</v>
      </c>
      <c r="D45" s="112">
        <f>AVERAGEIFS(CedarRapNDD!$F:$F,CedarRapNDD!$E:$E,"&gt;=5/1/2017",CedarRapNDD!$E:$E,"&lt;=4/30/2018",(CedarRapNDD!$C:$C),("PHOSPHORUS, TOTAL (AS P)"),(CedarRapNDD!$H:$H),("RAW WASTE"),(CedarRapNDD!$G:$G),("MG/L"))</f>
        <v>12.894654611671925</v>
      </c>
      <c r="E45" s="111">
        <f>COUNTIFS(CedarRapNDD!$E:$E,"&gt;=5/1/2017",CedarRapNDD!$E:$E,"&lt;=4/30/2018",CedarRapNDD!$C:$C,"PHOSPHORUS, TOTAL (AS P)",CedarRapNDD!$G:$G,"LBS/DAY",CedarRapNDD!$H:$H,"RAW WASTE")</f>
        <v>317</v>
      </c>
      <c r="F45" s="113">
        <f>AVERAGEIFS(CedarRapNDD!$F:$F,CedarRapNDD!$E:$E,"&gt;=5/1/2017",CedarRapNDD!$E:$E,"&lt;=4/30/2018",(CedarRapNDD!$C:$C),("PHOSPHORUS, TOTAL (AS P)"),(CedarRapNDD!$H:$H),("RAW WASTE"),(CedarRapNDD!$G:$G),("LBS/DAY"))</f>
        <v>4598.0363254160857</v>
      </c>
      <c r="G45" s="113">
        <f>SUMIFS(CedarRapNDD!$F:$F,CedarRapNDD!$E:$E,"&gt;=5/1/2017",CedarRapNDD!$E:$E,"&lt;=4/30/2018",(CedarRapNDD!$C:$C),("PHOSPHORUS, TOTAL (AS P)"),(CedarRapNDD!$H:$H),("RAW WASTE"),(CedarRapNDD!$G:$G),("LBS/DAY"))</f>
        <v>1457577.5151568991</v>
      </c>
      <c r="H45" s="114">
        <f>F45*365</f>
        <v>1678283.2587768713</v>
      </c>
      <c r="I45" s="111">
        <f>COUNTIFS(CedarRapNDD!$E:$E,"&gt;=5/1/2017",CedarRapNDD!$E:$E,"&lt;=4/30/2018",CedarRapNDD!$C:$C,"PHOSPHORUS, TOTAL (AS P)",CedarRapNDD!$G:$G,"MG/L",CedarRapNDD!$H:$H,"FINAL EFFLUENT")</f>
        <v>317</v>
      </c>
      <c r="J45" s="112">
        <f>AVERAGEIFS(CedarRapNDD!$F:$F,CedarRapNDD!$E:$E,"&gt;=5/1/2017",CedarRapNDD!$E:$E,"&lt;=4/30/2018",(CedarRapNDD!$C:$C),("PHOSPHORUS, TOTAL (AS P)"),(CedarRapNDD!$H:$H),("FINAL EFFLUENT"),(CedarRapNDD!$G:$G),("MG/L"))</f>
        <v>7.9408201892744472</v>
      </c>
      <c r="K45" s="111">
        <f>COUNTIFS(CedarRapNDD!$E:$E,"&gt;=5/1/2017",CedarRapNDD!$E:$E,"&lt;=4/30/2018",CedarRapNDD!$C:$C,"PHOSPHORUS, TOTAL (AS P)",CedarRapNDD!$G:$G,"LBS/DAY",CedarRapNDD!$H:$H,"FINAL EFFLUENT")</f>
        <v>317</v>
      </c>
      <c r="L45" s="113">
        <f>AVERAGEIFS((CedarRapNDD!$F:$F),CedarRapNDD!$E:$E,"&gt;=5/1/2017",CedarRapNDD!$E:$E,"&lt;=4/30/2018",(CedarRapNDD!$C:$C),("PHOSPHORUS, TOTAL (AS P)"),(CedarRapNDD!$H:$H),("FINAL EFFLUENT"),(CedarRapNDD!$G:$G),("LBS/DAY"))</f>
        <v>2822.5330537476329</v>
      </c>
      <c r="M45" s="113">
        <f>SUMIFS(CedarRapNDD!$F:$F,CedarRapNDD!$E:$E,"&gt;=5/1/2017",CedarRapNDD!$E:$E,"&lt;=4/30/2018",(CedarRapNDD!$C:$C),("PHOSPHORUS, TOTAL (AS P)"),(CedarRapNDD!$H:$H),("FINAL EFFLUENT"),(CedarRapNDD!$G:$G),("LBS/DAY"))</f>
        <v>894742.97803799971</v>
      </c>
      <c r="N45" s="114">
        <f>L45*365</f>
        <v>1030224.564617886</v>
      </c>
      <c r="O45" s="115">
        <f>((D45-J45))/D45</f>
        <v>0.38417736430981164</v>
      </c>
      <c r="P45" s="116">
        <f>((F45-L45))/F45</f>
        <v>0.38614381140361781</v>
      </c>
      <c r="Q45" s="117">
        <f>(F45-L45)*365</f>
        <v>648058.69415898528</v>
      </c>
    </row>
    <row r="46" spans="1:17" ht="6" customHeight="1" x14ac:dyDescent="0.2">
      <c r="A46" s="254"/>
      <c r="Q46" s="108"/>
    </row>
    <row r="47" spans="1:17" s="144" customFormat="1" x14ac:dyDescent="0.2">
      <c r="A47" s="254"/>
      <c r="B47" s="134" t="s">
        <v>63</v>
      </c>
      <c r="C47" s="135">
        <f>COUNTIFS(CedarRapNDD!$E:$E,"&gt;=1/1/2018",CedarRapNDD!$E:$E,"&lt;=12/31/2018",CedarRapNDD!$C:$C,"PHOSPHORUS, TOTAL (AS P)",CedarRapNDD!$G:$G,"MG/L",CedarRapNDD!$H:$H,"RAW WASTE")</f>
        <v>117</v>
      </c>
      <c r="D47" s="136">
        <f>AVERAGEIFS(CedarRapNDD!$F:$F,CedarRapNDD!$E:$E,"&gt;=1/1/2018",CedarRapNDD!$E:$E,"&lt;=12/31/2018",(CedarRapNDD!$C:$C),("PHOSPHORUS, TOTAL (AS P)"),(CedarRapNDD!$H:$H),("RAW WASTE"),(CedarRapNDD!$G:$G),("MG/L"))</f>
        <v>14.22938761880342</v>
      </c>
      <c r="E47" s="135">
        <f>COUNTIFS(CedarRapNDD!$E:$E,"&gt;=1/1/2018",CedarRapNDD!$E:$E,"&lt;=12/31/2018",CedarRapNDD!$C:$C,"PHOSPHORUS, TOTAL (AS P)",CedarRapNDD!$G:$G,"LBS/DAY",CedarRapNDD!$H:$H,"RAW WASTE")</f>
        <v>117</v>
      </c>
      <c r="F47" s="137">
        <f>AVERAGEIFS(CedarRapNDD!$F:$F,CedarRapNDD!$E:$E,"&gt;=1/1/2018",CedarRapNDD!$E:$E,"&lt;=12/31/2018",(CedarRapNDD!$C:$C),("PHOSPHORUS, TOTAL (AS P)"),(CedarRapNDD!$H:$H),("RAW WASTE"),(CedarRapNDD!$G:$G),("LBS/DAY"))</f>
        <v>5278.4022085076913</v>
      </c>
      <c r="G47" s="137">
        <f>SUMIFS(CedarRapNDD!$F:$F,CedarRapNDD!$E:$E,"&gt;=1/1/2018",CedarRapNDD!$E:$E,"&lt;=12/31/2018",(CedarRapNDD!$C:$C),("PHOSPHORUS, TOTAL (AS P)"),(CedarRapNDD!$H:$H),("RAW WASTE"),(CedarRapNDD!$G:$G),("LBS/DAY"))</f>
        <v>617573.05839539983</v>
      </c>
      <c r="H47" s="138">
        <f>F47*365</f>
        <v>1926616.8061053073</v>
      </c>
      <c r="I47" s="135">
        <f>COUNTIFS(CedarRapNDD!$E:$E,"&gt;=1/1/2018",CedarRapNDD!$E:$E,"&lt;=12/31/2018",CedarRapNDD!$C:$C,"PHOSPHORUS, TOTAL (AS P)",CedarRapNDD!$G:$G,"MG/L",CedarRapNDD!$H:$H,"FINAL EFFLUENT")</f>
        <v>117</v>
      </c>
      <c r="J47" s="139">
        <f>AVERAGEIFS(CedarRapNDD!$F:$F,CedarRapNDD!$E:$E,"&gt;=1/1/2018",CedarRapNDD!$E:$E,"&lt;=12/31/2018",(CedarRapNDD!$C:$C),("PHOSPHORUS, TOTAL (AS P)"),(CedarRapNDD!$H:$H),("FINAL EFFLUENT"),(CedarRapNDD!$G:$G),("MG/L"))</f>
        <v>8.0967521367521389</v>
      </c>
      <c r="K47" s="135">
        <f>COUNTIFS(CedarRapNDD!$E:$E,"&gt;=1/1/2018",CedarRapNDD!$E:$E,"&lt;=12/31/2018",CedarRapNDD!$C:$C,"PHOSPHORUS, TOTAL (AS P)",CedarRapNDD!$G:$G,"LBS/DAY",CedarRapNDD!$H:$H,"FINAL EFFLUENT")</f>
        <v>117</v>
      </c>
      <c r="L47" s="162">
        <f>AVERAGEIFS((CedarRapNDD!$F:$F),CedarRapNDD!$E:$E,"&gt;=1/1/2018",CedarRapNDD!$E:$E,"&lt;=12/31/2018",(CedarRapNDD!$C:$C),("PHOSPHORUS, TOTAL (AS P)"),(CedarRapNDD!$H:$H),("FINAL EFFLUENT"),(CedarRapNDD!$G:$G),("LBS/DAY"))</f>
        <v>3011.8904281538457</v>
      </c>
      <c r="M47" s="137">
        <f>SUMIFS(CedarRapNDD!$F:$F,CedarRapNDD!$E:$E,"&gt;=1/1/2018",CedarRapNDD!$E:$E,"&lt;=12/31/2018",(CedarRapNDD!$C:$C),("PHOSPHORUS, TOTAL (AS P)"),(CedarRapNDD!$H:$H),("FINAL EFFLUENT"),(CedarRapNDD!$G:$G),("LBS/DAY"))</f>
        <v>352391.18009399995</v>
      </c>
      <c r="N47" s="140">
        <f>L47*365</f>
        <v>1099340.0062761537</v>
      </c>
      <c r="O47" s="141">
        <f>((D47-J47))/D47</f>
        <v>0.43098379539168025</v>
      </c>
      <c r="P47" s="142">
        <f>((F47-L47))/F47</f>
        <v>0.42939353441098099</v>
      </c>
      <c r="Q47" s="143">
        <f>(F47-L47)*365</f>
        <v>827276.79982915358</v>
      </c>
    </row>
    <row r="48" spans="1:17" s="40" customFormat="1" ht="12" thickBot="1" x14ac:dyDescent="0.25">
      <c r="A48" s="255"/>
      <c r="B48" s="145" t="s">
        <v>64</v>
      </c>
      <c r="C48" s="146">
        <f>COUNTIFS(CedarRapNDD!$E:$E,"&gt;=5/1/2018",CedarRapNDD!$E:$E,"&lt;=4/30/2019",CedarRapNDD!$C:$C,"PHOSPHORUS, TOTAL (AS P)",CedarRapNDD!$G:$G,"MG/L",CedarRapNDD!$H:$H,"RAW WASTE")</f>
        <v>0</v>
      </c>
      <c r="D48" s="147" t="e">
        <f>AVERAGEIFS(CedarRapNDD!$F:$F,CedarRapNDD!$E:$E,"&gt;=5/1/2018",CedarRapNDD!$E:$E,"&lt;=4/30/2019",(CedarRapNDD!$C:$C),("PHOSPHORUS, TOTAL (AS P)"),(CedarRapNDD!$H:$H),("RAW WASTE"),(CedarRapNDD!$G:$G),("MG/L"))</f>
        <v>#DIV/0!</v>
      </c>
      <c r="E48" s="146">
        <f>COUNTIFS(CedarRapNDD!$E:$E,"&gt;=5/1/2018",CedarRapNDD!$E:$E,"&lt;=4/30/2019",CedarRapNDD!$C:$C,"PHOSPHORUS, TOTAL (AS P)",CedarRapNDD!$G:$G,"LBS/DAY",CedarRapNDD!$H:$H,"RAW WASTE")</f>
        <v>0</v>
      </c>
      <c r="F48" s="148" t="e">
        <f>AVERAGEIFS(CedarRapNDD!$F:$F,CedarRapNDD!$E:$E,"&gt;=5/1/2018",CedarRapNDD!$E:$E,"&lt;=4/30/2019",(CedarRapNDD!$C:$C),("PHOSPHORUS, TOTAL (AS P)"),(CedarRapNDD!$H:$H),("RAW WASTE"),(CedarRapNDD!$G:$G),("LBS/DAY"))</f>
        <v>#DIV/0!</v>
      </c>
      <c r="G48" s="148">
        <f>SUMIFS(CedarRapNDD!$F:$F,CedarRapNDD!$E:$E,"&gt;=5/1/2018",CedarRapNDD!$E:$E,"&lt;=4/30/2019",(CedarRapNDD!$C:$C),("PHOSPHORUS, TOTAL (AS P)"),(CedarRapNDD!$H:$H),("RAW WASTE"),(CedarRapNDD!$G:$G),("LBS/DAY"))</f>
        <v>0</v>
      </c>
      <c r="H48" s="149" t="e">
        <f>F48*365</f>
        <v>#DIV/0!</v>
      </c>
      <c r="I48" s="146">
        <f>COUNTIFS(CedarRapNDD!$E:$E,"&gt;=5/1/2018",CedarRapNDD!$E:$E,"&lt;=4/30/2019",CedarRapNDD!$C:$C,"PHOSPHORUS, TOTAL (AS P)",CedarRapNDD!$G:$G,"MG/L",CedarRapNDD!$H:$H,"FINAL EFFLUENT")</f>
        <v>0</v>
      </c>
      <c r="J48" s="147" t="e">
        <f>AVERAGEIFS(CedarRapNDD!$F:$F,CedarRapNDD!$E:$E,"&gt;=5/1/2018",CedarRapNDD!$E:$E,"&lt;=4/30/2019",(CedarRapNDD!$C:$C),("PHOSPHORUS, TOTAL (AS P)"),(CedarRapNDD!$H:$H),("FINAL EFFLUENT"),(CedarRapNDD!$G:$G),("MG/L"))</f>
        <v>#DIV/0!</v>
      </c>
      <c r="K48" s="146">
        <f>COUNTIFS(CedarRapNDD!$E:$E,"&gt;=5/1/2018",CedarRapNDD!$E:$E,"&lt;=4/30/2019",CedarRapNDD!$C:$C,"PHOSPHORUS, TOTAL (AS P)",CedarRapNDD!$G:$G,"LBS/DAY",CedarRapNDD!$H:$H,"FINAL EFFLUENT")</f>
        <v>0</v>
      </c>
      <c r="L48" s="148" t="e">
        <f>AVERAGEIFS((CedarRapNDD!$F:$F),CedarRapNDD!$E:$E,"&gt;=5/1/2018",CedarRapNDD!$E:$E,"&lt;=4/30/2019",(CedarRapNDD!$C:$C),("PHOSPHORUS, TOTAL (AS P)"),(CedarRapNDD!$H:$H),("FINAL EFFLUENT"),(CedarRapNDD!$G:$G),("LBS/DAY"))</f>
        <v>#DIV/0!</v>
      </c>
      <c r="M48" s="148">
        <f>SUMIFS(CedarRapNDD!$F:$F,CedarRapNDD!$E:$E,"&gt;=5/1/2018",CedarRapNDD!$E:$E,"&lt;=4/30/2019",(CedarRapNDD!$C:$C),("PHOSPHORUS, TOTAL (AS P)"),(CedarRapNDD!$H:$H),("FINAL EFFLUENT"),(CedarRapNDD!$G:$G),("LBS/DAY"))</f>
        <v>0</v>
      </c>
      <c r="N48" s="149" t="e">
        <f>L48*365</f>
        <v>#DIV/0!</v>
      </c>
      <c r="O48" s="150" t="e">
        <f>((D48-J48))/D48</f>
        <v>#DIV/0!</v>
      </c>
      <c r="P48" s="151" t="e">
        <f>((F48-L48))/F48</f>
        <v>#DIV/0!</v>
      </c>
      <c r="Q48" s="152" t="e">
        <f>(F48-L48)*365</f>
        <v>#DIV/0!</v>
      </c>
    </row>
    <row r="49" spans="16:17" x14ac:dyDescent="0.2">
      <c r="P49" s="153" t="s">
        <v>65</v>
      </c>
      <c r="Q49" s="94">
        <f>_xlfn.STDEV.P(Q45)</f>
        <v>0</v>
      </c>
    </row>
    <row r="50" spans="16:17" x14ac:dyDescent="0.2">
      <c r="P50" s="153" t="s">
        <v>66</v>
      </c>
      <c r="Q50" s="154">
        <f>(Q49/(AVERAGE(Q45)))</f>
        <v>0</v>
      </c>
    </row>
    <row r="51" spans="16:17" x14ac:dyDescent="0.2">
      <c r="P51" s="153" t="s">
        <v>67</v>
      </c>
      <c r="Q51" s="94">
        <f>_xlfn.STDEV.P(Q44)</f>
        <v>0</v>
      </c>
    </row>
    <row r="52" spans="16:17" x14ac:dyDescent="0.2">
      <c r="P52" s="153" t="s">
        <v>68</v>
      </c>
      <c r="Q52" s="154">
        <f>Q51/(AVERAGE(Q44))</f>
        <v>0</v>
      </c>
    </row>
    <row r="53" spans="16:17" x14ac:dyDescent="0.2">
      <c r="P53" s="153" t="s">
        <v>69</v>
      </c>
      <c r="Q53" s="155">
        <f>_xlfn.STDEV.P(Q45)</f>
        <v>0</v>
      </c>
    </row>
    <row r="54" spans="16:17" x14ac:dyDescent="0.2">
      <c r="P54" s="153" t="s">
        <v>70</v>
      </c>
      <c r="Q54" s="95">
        <f>Q53/(AVERAGE(Q45))</f>
        <v>0</v>
      </c>
    </row>
  </sheetData>
  <mergeCells count="26">
    <mergeCell ref="A31:A48"/>
    <mergeCell ref="Q31:Q32"/>
    <mergeCell ref="C32:D32"/>
    <mergeCell ref="E32:H32"/>
    <mergeCell ref="I32:J32"/>
    <mergeCell ref="K32:N32"/>
    <mergeCell ref="O5:P6"/>
    <mergeCell ref="Q5:Q6"/>
    <mergeCell ref="C6:D6"/>
    <mergeCell ref="E6:H6"/>
    <mergeCell ref="B31:B33"/>
    <mergeCell ref="C31:H31"/>
    <mergeCell ref="I31:N31"/>
    <mergeCell ref="O31:P32"/>
    <mergeCell ref="C3:F3"/>
    <mergeCell ref="B5:B7"/>
    <mergeCell ref="C5:H5"/>
    <mergeCell ref="I5:N5"/>
    <mergeCell ref="A1:B1"/>
    <mergeCell ref="C1:D1"/>
    <mergeCell ref="E1:F1"/>
    <mergeCell ref="C2:D2"/>
    <mergeCell ref="E2:F2"/>
    <mergeCell ref="A5:A22"/>
    <mergeCell ref="I6:J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3"/>
  <sheetViews>
    <sheetView workbookViewId="0">
      <selection activeCell="A27" sqref="A27"/>
    </sheetView>
  </sheetViews>
  <sheetFormatPr defaultRowHeight="11.25" x14ac:dyDescent="0.2"/>
  <cols>
    <col min="1" max="1" width="7.85546875" style="167" customWidth="1"/>
    <col min="2" max="2" width="12.28515625" style="167" customWidth="1"/>
    <col min="3" max="3" width="22" style="167" customWidth="1"/>
    <col min="4" max="4" width="18.28515625" style="167" customWidth="1"/>
    <col min="5" max="5" width="10" style="172" customWidth="1"/>
    <col min="6" max="6" width="6.85546875" style="173" customWidth="1"/>
    <col min="7" max="7" width="7.7109375" style="167" customWidth="1"/>
    <col min="8" max="8" width="14" style="167" customWidth="1"/>
    <col min="9" max="9" width="4" style="167" customWidth="1"/>
    <col min="10" max="10" width="14.5703125" style="167" customWidth="1"/>
    <col min="11" max="11" width="15.5703125" style="167" customWidth="1"/>
    <col min="12" max="12" width="95.140625" style="167" customWidth="1"/>
    <col min="13" max="13" width="14.140625" style="167" customWidth="1"/>
    <col min="14" max="16384" width="9.140625" style="167"/>
  </cols>
  <sheetData>
    <row r="1" spans="1:14" s="198" customFormat="1" ht="21" x14ac:dyDescent="0.2">
      <c r="A1" s="166" t="s">
        <v>0</v>
      </c>
      <c r="B1" s="166" t="s">
        <v>1</v>
      </c>
      <c r="C1" s="166" t="s">
        <v>2</v>
      </c>
      <c r="D1" s="166" t="s">
        <v>3</v>
      </c>
      <c r="E1" s="197" t="s">
        <v>4</v>
      </c>
      <c r="F1" s="236" t="s">
        <v>5</v>
      </c>
      <c r="G1" s="166" t="s">
        <v>6</v>
      </c>
      <c r="H1" s="166" t="s">
        <v>73</v>
      </c>
      <c r="I1" s="197" t="s">
        <v>7</v>
      </c>
      <c r="J1" s="197" t="s">
        <v>8</v>
      </c>
      <c r="K1" s="197" t="s">
        <v>9</v>
      </c>
      <c r="L1" s="166" t="s">
        <v>10</v>
      </c>
      <c r="M1" s="166" t="s">
        <v>71</v>
      </c>
      <c r="N1" s="166" t="s">
        <v>72</v>
      </c>
    </row>
    <row r="2" spans="1:14" x14ac:dyDescent="0.2">
      <c r="A2" s="168" t="s">
        <v>74</v>
      </c>
      <c r="B2" s="168" t="s">
        <v>75</v>
      </c>
      <c r="C2" s="168" t="s">
        <v>11</v>
      </c>
      <c r="D2" s="168" t="s">
        <v>12</v>
      </c>
      <c r="E2" s="169">
        <v>43207</v>
      </c>
      <c r="F2" s="170">
        <v>23.4</v>
      </c>
      <c r="G2" s="171" t="s">
        <v>13</v>
      </c>
      <c r="H2" s="168" t="s">
        <v>14</v>
      </c>
      <c r="I2" s="171">
        <v>1</v>
      </c>
      <c r="J2" s="171" t="s">
        <v>15</v>
      </c>
      <c r="K2" s="171" t="s">
        <v>76</v>
      </c>
      <c r="L2" s="168" t="s">
        <v>77</v>
      </c>
    </row>
    <row r="3" spans="1:14" x14ac:dyDescent="0.2">
      <c r="A3" s="168" t="s">
        <v>74</v>
      </c>
      <c r="B3" s="168" t="s">
        <v>75</v>
      </c>
      <c r="C3" s="168" t="s">
        <v>11</v>
      </c>
      <c r="D3" s="168" t="s">
        <v>12</v>
      </c>
      <c r="E3" s="169">
        <v>43207</v>
      </c>
      <c r="F3" s="170">
        <v>475.009704</v>
      </c>
      <c r="G3" s="171" t="s">
        <v>16</v>
      </c>
      <c r="H3" s="168" t="s">
        <v>14</v>
      </c>
      <c r="I3" s="171">
        <v>1</v>
      </c>
      <c r="J3" s="171" t="s">
        <v>15</v>
      </c>
      <c r="K3" s="171" t="s">
        <v>76</v>
      </c>
      <c r="L3" s="168" t="s">
        <v>77</v>
      </c>
    </row>
    <row r="4" spans="1:14" x14ac:dyDescent="0.2">
      <c r="A4" s="168" t="s">
        <v>74</v>
      </c>
      <c r="B4" s="168" t="s">
        <v>75</v>
      </c>
      <c r="C4" s="168" t="s">
        <v>11</v>
      </c>
      <c r="D4" s="168" t="s">
        <v>78</v>
      </c>
      <c r="E4" s="169">
        <v>43207</v>
      </c>
      <c r="F4" s="170">
        <v>13.3</v>
      </c>
      <c r="G4" s="171" t="s">
        <v>13</v>
      </c>
      <c r="H4" s="168" t="s">
        <v>18</v>
      </c>
      <c r="I4" s="171">
        <v>3</v>
      </c>
      <c r="J4" s="171" t="s">
        <v>15</v>
      </c>
      <c r="K4" s="171" t="s">
        <v>76</v>
      </c>
      <c r="L4" s="168" t="s">
        <v>79</v>
      </c>
    </row>
    <row r="5" spans="1:14" x14ac:dyDescent="0.2">
      <c r="A5" s="168" t="s">
        <v>74</v>
      </c>
      <c r="B5" s="168" t="s">
        <v>75</v>
      </c>
      <c r="C5" s="168" t="s">
        <v>11</v>
      </c>
      <c r="D5" s="168" t="s">
        <v>78</v>
      </c>
      <c r="E5" s="169">
        <v>43207</v>
      </c>
      <c r="F5" s="170">
        <v>269.984148</v>
      </c>
      <c r="G5" s="171" t="s">
        <v>16</v>
      </c>
      <c r="H5" s="168" t="s">
        <v>18</v>
      </c>
      <c r="I5" s="171">
        <v>3</v>
      </c>
      <c r="J5" s="171" t="s">
        <v>15</v>
      </c>
      <c r="K5" s="171" t="s">
        <v>76</v>
      </c>
      <c r="L5" s="168" t="s">
        <v>79</v>
      </c>
    </row>
    <row r="6" spans="1:14" x14ac:dyDescent="0.2">
      <c r="A6" s="168" t="s">
        <v>74</v>
      </c>
      <c r="B6" s="168" t="s">
        <v>75</v>
      </c>
      <c r="C6" s="168" t="s">
        <v>11</v>
      </c>
      <c r="D6" s="168" t="s">
        <v>12</v>
      </c>
      <c r="E6" s="169">
        <v>43200</v>
      </c>
      <c r="F6" s="170">
        <v>33.6</v>
      </c>
      <c r="G6" s="171" t="s">
        <v>13</v>
      </c>
      <c r="H6" s="168" t="s">
        <v>14</v>
      </c>
      <c r="I6" s="171">
        <v>1</v>
      </c>
      <c r="J6" s="171" t="s">
        <v>15</v>
      </c>
      <c r="K6" s="171" t="s">
        <v>76</v>
      </c>
      <c r="L6" s="168" t="s">
        <v>77</v>
      </c>
    </row>
    <row r="7" spans="1:14" x14ac:dyDescent="0.2">
      <c r="A7" s="168" t="s">
        <v>74</v>
      </c>
      <c r="B7" s="168" t="s">
        <v>75</v>
      </c>
      <c r="C7" s="168" t="s">
        <v>11</v>
      </c>
      <c r="D7" s="168" t="s">
        <v>12</v>
      </c>
      <c r="E7" s="169">
        <v>43200</v>
      </c>
      <c r="F7" s="170">
        <v>444.43526400000002</v>
      </c>
      <c r="G7" s="171" t="s">
        <v>16</v>
      </c>
      <c r="H7" s="168" t="s">
        <v>14</v>
      </c>
      <c r="I7" s="171">
        <v>1</v>
      </c>
      <c r="J7" s="171" t="s">
        <v>15</v>
      </c>
      <c r="K7" s="171" t="s">
        <v>76</v>
      </c>
      <c r="L7" s="168" t="s">
        <v>77</v>
      </c>
    </row>
    <row r="8" spans="1:14" x14ac:dyDescent="0.2">
      <c r="A8" s="168" t="s">
        <v>74</v>
      </c>
      <c r="B8" s="168" t="s">
        <v>75</v>
      </c>
      <c r="C8" s="168" t="s">
        <v>11</v>
      </c>
      <c r="D8" s="168" t="s">
        <v>78</v>
      </c>
      <c r="E8" s="169">
        <v>43200</v>
      </c>
      <c r="F8" s="170">
        <v>17.8</v>
      </c>
      <c r="G8" s="171" t="s">
        <v>13</v>
      </c>
      <c r="H8" s="168" t="s">
        <v>18</v>
      </c>
      <c r="I8" s="171">
        <v>1</v>
      </c>
      <c r="J8" s="171" t="s">
        <v>15</v>
      </c>
      <c r="K8" s="171" t="s">
        <v>76</v>
      </c>
      <c r="L8" s="168" t="s">
        <v>77</v>
      </c>
    </row>
    <row r="9" spans="1:14" x14ac:dyDescent="0.2">
      <c r="A9" s="168" t="s">
        <v>74</v>
      </c>
      <c r="B9" s="168" t="s">
        <v>75</v>
      </c>
      <c r="C9" s="168" t="s">
        <v>11</v>
      </c>
      <c r="D9" s="168" t="s">
        <v>78</v>
      </c>
      <c r="E9" s="169">
        <v>43200</v>
      </c>
      <c r="F9" s="170">
        <v>235.444872</v>
      </c>
      <c r="G9" s="171" t="s">
        <v>16</v>
      </c>
      <c r="H9" s="168" t="s">
        <v>18</v>
      </c>
      <c r="I9" s="171">
        <v>1</v>
      </c>
      <c r="J9" s="171" t="s">
        <v>15</v>
      </c>
      <c r="K9" s="171" t="s">
        <v>76</v>
      </c>
      <c r="L9" s="168" t="s">
        <v>77</v>
      </c>
    </row>
    <row r="10" spans="1:14" x14ac:dyDescent="0.2">
      <c r="A10" s="168" t="s">
        <v>74</v>
      </c>
      <c r="B10" s="168" t="s">
        <v>75</v>
      </c>
      <c r="C10" s="168" t="s">
        <v>11</v>
      </c>
      <c r="D10" s="168" t="s">
        <v>12</v>
      </c>
      <c r="E10" s="169">
        <v>43193</v>
      </c>
      <c r="F10" s="170">
        <v>28.5</v>
      </c>
      <c r="G10" s="171" t="s">
        <v>13</v>
      </c>
      <c r="H10" s="168" t="s">
        <v>14</v>
      </c>
      <c r="I10" s="171">
        <v>1</v>
      </c>
      <c r="J10" s="171" t="s">
        <v>15</v>
      </c>
      <c r="K10" s="171" t="s">
        <v>76</v>
      </c>
      <c r="L10" s="168" t="s">
        <v>77</v>
      </c>
    </row>
    <row r="11" spans="1:14" x14ac:dyDescent="0.2">
      <c r="A11" s="168" t="s">
        <v>74</v>
      </c>
      <c r="B11" s="168" t="s">
        <v>75</v>
      </c>
      <c r="C11" s="168" t="s">
        <v>11</v>
      </c>
      <c r="D11" s="168" t="s">
        <v>12</v>
      </c>
      <c r="E11" s="169">
        <v>43193</v>
      </c>
      <c r="F11" s="170">
        <v>394.32771000000002</v>
      </c>
      <c r="G11" s="171" t="s">
        <v>16</v>
      </c>
      <c r="H11" s="168" t="s">
        <v>14</v>
      </c>
      <c r="I11" s="171">
        <v>1</v>
      </c>
      <c r="J11" s="171" t="s">
        <v>15</v>
      </c>
      <c r="K11" s="171" t="s">
        <v>76</v>
      </c>
      <c r="L11" s="168" t="s">
        <v>77</v>
      </c>
    </row>
    <row r="12" spans="1:14" x14ac:dyDescent="0.2">
      <c r="A12" s="168" t="s">
        <v>74</v>
      </c>
      <c r="B12" s="168" t="s">
        <v>75</v>
      </c>
      <c r="C12" s="168" t="s">
        <v>11</v>
      </c>
      <c r="D12" s="168" t="s">
        <v>78</v>
      </c>
      <c r="E12" s="169">
        <v>43193</v>
      </c>
      <c r="F12" s="170">
        <v>16.8</v>
      </c>
      <c r="G12" s="171" t="s">
        <v>13</v>
      </c>
      <c r="H12" s="168" t="s">
        <v>18</v>
      </c>
      <c r="I12" s="171">
        <v>1</v>
      </c>
      <c r="J12" s="171" t="s">
        <v>15</v>
      </c>
      <c r="K12" s="171" t="s">
        <v>76</v>
      </c>
      <c r="L12" s="168" t="s">
        <v>77</v>
      </c>
    </row>
    <row r="13" spans="1:14" x14ac:dyDescent="0.2">
      <c r="A13" s="168" t="s">
        <v>74</v>
      </c>
      <c r="B13" s="168" t="s">
        <v>75</v>
      </c>
      <c r="C13" s="168" t="s">
        <v>11</v>
      </c>
      <c r="D13" s="168" t="s">
        <v>78</v>
      </c>
      <c r="E13" s="169">
        <v>43193</v>
      </c>
      <c r="F13" s="170">
        <v>232.445808</v>
      </c>
      <c r="G13" s="171" t="s">
        <v>16</v>
      </c>
      <c r="H13" s="168" t="s">
        <v>18</v>
      </c>
      <c r="I13" s="171">
        <v>1</v>
      </c>
      <c r="J13" s="171" t="s">
        <v>15</v>
      </c>
      <c r="K13" s="171" t="s">
        <v>76</v>
      </c>
      <c r="L13" s="168" t="s">
        <v>77</v>
      </c>
    </row>
    <row r="14" spans="1:14" x14ac:dyDescent="0.2">
      <c r="A14" s="168" t="s">
        <v>74</v>
      </c>
      <c r="B14" s="168" t="s">
        <v>75</v>
      </c>
      <c r="C14" s="168" t="s">
        <v>11</v>
      </c>
      <c r="D14" s="168" t="s">
        <v>12</v>
      </c>
      <c r="E14" s="169">
        <v>43186</v>
      </c>
      <c r="F14" s="170">
        <v>32.5</v>
      </c>
      <c r="G14" s="171" t="s">
        <v>13</v>
      </c>
      <c r="H14" s="168" t="s">
        <v>14</v>
      </c>
      <c r="I14" s="171">
        <v>1</v>
      </c>
      <c r="J14" s="171" t="s">
        <v>15</v>
      </c>
      <c r="K14" s="171" t="s">
        <v>76</v>
      </c>
      <c r="L14" s="168" t="s">
        <v>77</v>
      </c>
    </row>
    <row r="15" spans="1:14" x14ac:dyDescent="0.2">
      <c r="A15" s="168" t="s">
        <v>74</v>
      </c>
      <c r="B15" s="168" t="s">
        <v>75</v>
      </c>
      <c r="C15" s="168" t="s">
        <v>11</v>
      </c>
      <c r="D15" s="168" t="s">
        <v>12</v>
      </c>
      <c r="E15" s="169">
        <v>43186</v>
      </c>
      <c r="F15" s="170">
        <v>421.48275000000001</v>
      </c>
      <c r="G15" s="171" t="s">
        <v>16</v>
      </c>
      <c r="H15" s="168" t="s">
        <v>14</v>
      </c>
      <c r="I15" s="171">
        <v>1</v>
      </c>
      <c r="J15" s="171" t="s">
        <v>15</v>
      </c>
      <c r="K15" s="171" t="s">
        <v>76</v>
      </c>
      <c r="L15" s="168" t="s">
        <v>77</v>
      </c>
    </row>
    <row r="16" spans="1:14" x14ac:dyDescent="0.2">
      <c r="A16" s="168" t="s">
        <v>74</v>
      </c>
      <c r="B16" s="168" t="s">
        <v>75</v>
      </c>
      <c r="C16" s="168" t="s">
        <v>11</v>
      </c>
      <c r="D16" s="168" t="s">
        <v>78</v>
      </c>
      <c r="E16" s="169">
        <v>43186</v>
      </c>
      <c r="F16" s="170">
        <v>19.600000000000001</v>
      </c>
      <c r="G16" s="171" t="s">
        <v>13</v>
      </c>
      <c r="H16" s="168" t="s">
        <v>18</v>
      </c>
      <c r="I16" s="171">
        <v>1</v>
      </c>
      <c r="J16" s="171" t="s">
        <v>15</v>
      </c>
      <c r="K16" s="171" t="s">
        <v>76</v>
      </c>
      <c r="L16" s="168" t="s">
        <v>77</v>
      </c>
    </row>
    <row r="17" spans="1:12" x14ac:dyDescent="0.2">
      <c r="A17" s="168" t="s">
        <v>74</v>
      </c>
      <c r="B17" s="168" t="s">
        <v>75</v>
      </c>
      <c r="C17" s="168" t="s">
        <v>11</v>
      </c>
      <c r="D17" s="168" t="s">
        <v>78</v>
      </c>
      <c r="E17" s="169">
        <v>43186</v>
      </c>
      <c r="F17" s="170">
        <v>254.18652</v>
      </c>
      <c r="G17" s="171" t="s">
        <v>16</v>
      </c>
      <c r="H17" s="168" t="s">
        <v>18</v>
      </c>
      <c r="I17" s="171">
        <v>1</v>
      </c>
      <c r="J17" s="171" t="s">
        <v>15</v>
      </c>
      <c r="K17" s="171" t="s">
        <v>76</v>
      </c>
      <c r="L17" s="168" t="s">
        <v>77</v>
      </c>
    </row>
    <row r="18" spans="1:12" x14ac:dyDescent="0.2">
      <c r="A18" s="168" t="s">
        <v>74</v>
      </c>
      <c r="B18" s="168" t="s">
        <v>75</v>
      </c>
      <c r="C18" s="168" t="s">
        <v>11</v>
      </c>
      <c r="D18" s="168" t="s">
        <v>12</v>
      </c>
      <c r="E18" s="169">
        <v>43179</v>
      </c>
      <c r="F18" s="170">
        <v>39.9</v>
      </c>
      <c r="G18" s="171" t="s">
        <v>13</v>
      </c>
      <c r="H18" s="168" t="s">
        <v>14</v>
      </c>
      <c r="I18" s="171">
        <v>1</v>
      </c>
      <c r="J18" s="171" t="s">
        <v>15</v>
      </c>
      <c r="K18" s="171" t="s">
        <v>76</v>
      </c>
      <c r="L18" s="168" t="s">
        <v>77</v>
      </c>
    </row>
    <row r="19" spans="1:12" x14ac:dyDescent="0.2">
      <c r="A19" s="168" t="s">
        <v>74</v>
      </c>
      <c r="B19" s="168" t="s">
        <v>75</v>
      </c>
      <c r="C19" s="168" t="s">
        <v>11</v>
      </c>
      <c r="D19" s="168" t="s">
        <v>12</v>
      </c>
      <c r="E19" s="169">
        <v>43179</v>
      </c>
      <c r="F19" s="170">
        <v>443.57707799999997</v>
      </c>
      <c r="G19" s="171" t="s">
        <v>16</v>
      </c>
      <c r="H19" s="168" t="s">
        <v>14</v>
      </c>
      <c r="I19" s="171">
        <v>1</v>
      </c>
      <c r="J19" s="171" t="s">
        <v>15</v>
      </c>
      <c r="K19" s="171" t="s">
        <v>76</v>
      </c>
      <c r="L19" s="168" t="s">
        <v>77</v>
      </c>
    </row>
    <row r="20" spans="1:12" x14ac:dyDescent="0.2">
      <c r="A20" s="168" t="s">
        <v>74</v>
      </c>
      <c r="B20" s="168" t="s">
        <v>75</v>
      </c>
      <c r="C20" s="168" t="s">
        <v>11</v>
      </c>
      <c r="D20" s="168" t="s">
        <v>78</v>
      </c>
      <c r="E20" s="169">
        <v>43179</v>
      </c>
      <c r="F20" s="170">
        <v>20.2</v>
      </c>
      <c r="G20" s="171" t="s">
        <v>13</v>
      </c>
      <c r="H20" s="168" t="s">
        <v>18</v>
      </c>
      <c r="I20" s="171">
        <v>1</v>
      </c>
      <c r="J20" s="171" t="s">
        <v>15</v>
      </c>
      <c r="K20" s="171" t="s">
        <v>76</v>
      </c>
      <c r="L20" s="168" t="s">
        <v>77</v>
      </c>
    </row>
    <row r="21" spans="1:12" x14ac:dyDescent="0.2">
      <c r="A21" s="168" t="s">
        <v>74</v>
      </c>
      <c r="B21" s="168" t="s">
        <v>75</v>
      </c>
      <c r="C21" s="168" t="s">
        <v>11</v>
      </c>
      <c r="D21" s="168" t="s">
        <v>78</v>
      </c>
      <c r="E21" s="169">
        <v>43179</v>
      </c>
      <c r="F21" s="170">
        <v>224.56784400000001</v>
      </c>
      <c r="G21" s="171" t="s">
        <v>16</v>
      </c>
      <c r="H21" s="168" t="s">
        <v>18</v>
      </c>
      <c r="I21" s="171">
        <v>1</v>
      </c>
      <c r="J21" s="171" t="s">
        <v>15</v>
      </c>
      <c r="K21" s="171" t="s">
        <v>76</v>
      </c>
      <c r="L21" s="168" t="s">
        <v>77</v>
      </c>
    </row>
    <row r="22" spans="1:12" x14ac:dyDescent="0.2">
      <c r="A22" s="168" t="s">
        <v>74</v>
      </c>
      <c r="B22" s="168" t="s">
        <v>75</v>
      </c>
      <c r="C22" s="168" t="s">
        <v>11</v>
      </c>
      <c r="D22" s="168" t="s">
        <v>12</v>
      </c>
      <c r="E22" s="169">
        <v>43172</v>
      </c>
      <c r="F22" s="170">
        <v>29.4</v>
      </c>
      <c r="G22" s="171" t="s">
        <v>13</v>
      </c>
      <c r="H22" s="168" t="s">
        <v>14</v>
      </c>
      <c r="I22" s="171">
        <v>1</v>
      </c>
      <c r="J22" s="171" t="s">
        <v>15</v>
      </c>
      <c r="K22" s="171" t="s">
        <v>76</v>
      </c>
      <c r="L22" s="168" t="s">
        <v>77</v>
      </c>
    </row>
    <row r="23" spans="1:12" x14ac:dyDescent="0.2">
      <c r="A23" s="168" t="s">
        <v>74</v>
      </c>
      <c r="B23" s="168" t="s">
        <v>75</v>
      </c>
      <c r="C23" s="168" t="s">
        <v>11</v>
      </c>
      <c r="D23" s="168" t="s">
        <v>12</v>
      </c>
      <c r="E23" s="169">
        <v>43172</v>
      </c>
      <c r="F23" s="170">
        <v>351.85626000000002</v>
      </c>
      <c r="G23" s="171" t="s">
        <v>16</v>
      </c>
      <c r="H23" s="168" t="s">
        <v>14</v>
      </c>
      <c r="I23" s="171">
        <v>1</v>
      </c>
      <c r="J23" s="171" t="s">
        <v>15</v>
      </c>
      <c r="K23" s="171" t="s">
        <v>76</v>
      </c>
      <c r="L23" s="168" t="s">
        <v>77</v>
      </c>
    </row>
    <row r="24" spans="1:12" x14ac:dyDescent="0.2">
      <c r="A24" s="168" t="s">
        <v>74</v>
      </c>
      <c r="B24" s="168" t="s">
        <v>75</v>
      </c>
      <c r="C24" s="168" t="s">
        <v>11</v>
      </c>
      <c r="D24" s="168" t="s">
        <v>78</v>
      </c>
      <c r="E24" s="169">
        <v>43172</v>
      </c>
      <c r="F24" s="170">
        <v>15.6</v>
      </c>
      <c r="G24" s="171" t="s">
        <v>13</v>
      </c>
      <c r="H24" s="168" t="s">
        <v>18</v>
      </c>
      <c r="I24" s="171">
        <v>1</v>
      </c>
      <c r="J24" s="171" t="s">
        <v>15</v>
      </c>
      <c r="K24" s="171" t="s">
        <v>76</v>
      </c>
      <c r="L24" s="168" t="s">
        <v>77</v>
      </c>
    </row>
    <row r="25" spans="1:12" x14ac:dyDescent="0.2">
      <c r="A25" s="168" t="s">
        <v>74</v>
      </c>
      <c r="B25" s="168" t="s">
        <v>75</v>
      </c>
      <c r="C25" s="168" t="s">
        <v>11</v>
      </c>
      <c r="D25" s="168" t="s">
        <v>78</v>
      </c>
      <c r="E25" s="169">
        <v>43172</v>
      </c>
      <c r="F25" s="170">
        <v>186.69924</v>
      </c>
      <c r="G25" s="171" t="s">
        <v>16</v>
      </c>
      <c r="H25" s="168" t="s">
        <v>18</v>
      </c>
      <c r="I25" s="171">
        <v>1</v>
      </c>
      <c r="J25" s="171" t="s">
        <v>15</v>
      </c>
      <c r="K25" s="171" t="s">
        <v>76</v>
      </c>
      <c r="L25" s="168" t="s">
        <v>77</v>
      </c>
    </row>
    <row r="26" spans="1:12" x14ac:dyDescent="0.2">
      <c r="A26" s="168" t="s">
        <v>74</v>
      </c>
      <c r="B26" s="168" t="s">
        <v>75</v>
      </c>
      <c r="C26" s="168" t="s">
        <v>11</v>
      </c>
      <c r="D26" s="168" t="s">
        <v>12</v>
      </c>
      <c r="E26" s="169">
        <v>43165</v>
      </c>
      <c r="F26" s="170">
        <v>27.8</v>
      </c>
      <c r="G26" s="171" t="s">
        <v>13</v>
      </c>
      <c r="H26" s="168" t="s">
        <v>14</v>
      </c>
      <c r="I26" s="171">
        <v>1</v>
      </c>
      <c r="J26" s="171" t="s">
        <v>15</v>
      </c>
      <c r="K26" s="171" t="s">
        <v>76</v>
      </c>
      <c r="L26" s="168" t="s">
        <v>77</v>
      </c>
    </row>
    <row r="27" spans="1:12" x14ac:dyDescent="0.2">
      <c r="A27" s="168" t="s">
        <v>74</v>
      </c>
      <c r="B27" s="168" t="s">
        <v>75</v>
      </c>
      <c r="C27" s="168" t="s">
        <v>11</v>
      </c>
      <c r="D27" s="168" t="s">
        <v>12</v>
      </c>
      <c r="E27" s="169">
        <v>43165</v>
      </c>
      <c r="F27" s="170">
        <v>307.66760399999998</v>
      </c>
      <c r="G27" s="171" t="s">
        <v>16</v>
      </c>
      <c r="H27" s="168" t="s">
        <v>14</v>
      </c>
      <c r="I27" s="171">
        <v>1</v>
      </c>
      <c r="J27" s="171" t="s">
        <v>15</v>
      </c>
      <c r="K27" s="171" t="s">
        <v>76</v>
      </c>
      <c r="L27" s="168" t="s">
        <v>77</v>
      </c>
    </row>
    <row r="28" spans="1:12" x14ac:dyDescent="0.2">
      <c r="A28" s="168" t="s">
        <v>74</v>
      </c>
      <c r="B28" s="168" t="s">
        <v>75</v>
      </c>
      <c r="C28" s="168" t="s">
        <v>11</v>
      </c>
      <c r="D28" s="168" t="s">
        <v>78</v>
      </c>
      <c r="E28" s="169">
        <v>43165</v>
      </c>
      <c r="F28" s="170">
        <v>17.5</v>
      </c>
      <c r="G28" s="171" t="s">
        <v>13</v>
      </c>
      <c r="H28" s="168" t="s">
        <v>18</v>
      </c>
      <c r="I28" s="171">
        <v>1</v>
      </c>
      <c r="J28" s="171" t="s">
        <v>15</v>
      </c>
      <c r="K28" s="171" t="s">
        <v>76</v>
      </c>
      <c r="L28" s="168" t="s">
        <v>77</v>
      </c>
    </row>
    <row r="29" spans="1:12" x14ac:dyDescent="0.2">
      <c r="A29" s="168" t="s">
        <v>74</v>
      </c>
      <c r="B29" s="168" t="s">
        <v>75</v>
      </c>
      <c r="C29" s="168" t="s">
        <v>11</v>
      </c>
      <c r="D29" s="168" t="s">
        <v>78</v>
      </c>
      <c r="E29" s="169">
        <v>43165</v>
      </c>
      <c r="F29" s="170">
        <v>193.67564999999999</v>
      </c>
      <c r="G29" s="171" t="s">
        <v>16</v>
      </c>
      <c r="H29" s="168" t="s">
        <v>18</v>
      </c>
      <c r="I29" s="171">
        <v>1</v>
      </c>
      <c r="J29" s="171" t="s">
        <v>15</v>
      </c>
      <c r="K29" s="171" t="s">
        <v>76</v>
      </c>
      <c r="L29" s="168" t="s">
        <v>77</v>
      </c>
    </row>
    <row r="30" spans="1:12" x14ac:dyDescent="0.2">
      <c r="A30" s="168" t="s">
        <v>74</v>
      </c>
      <c r="B30" s="168" t="s">
        <v>75</v>
      </c>
      <c r="C30" s="168" t="s">
        <v>11</v>
      </c>
      <c r="D30" s="168" t="s">
        <v>12</v>
      </c>
      <c r="E30" s="169">
        <v>43158</v>
      </c>
      <c r="F30" s="170">
        <v>38.700000000000003</v>
      </c>
      <c r="G30" s="171" t="s">
        <v>13</v>
      </c>
      <c r="H30" s="168" t="s">
        <v>14</v>
      </c>
      <c r="I30" s="171">
        <v>1</v>
      </c>
      <c r="J30" s="171" t="s">
        <v>15</v>
      </c>
      <c r="K30" s="171" t="s">
        <v>76</v>
      </c>
      <c r="L30" s="168" t="s">
        <v>77</v>
      </c>
    </row>
    <row r="31" spans="1:12" x14ac:dyDescent="0.2">
      <c r="A31" s="168" t="s">
        <v>74</v>
      </c>
      <c r="B31" s="168" t="s">
        <v>75</v>
      </c>
      <c r="C31" s="168" t="s">
        <v>11</v>
      </c>
      <c r="D31" s="168" t="s">
        <v>12</v>
      </c>
      <c r="E31" s="169">
        <v>43158</v>
      </c>
      <c r="F31" s="170">
        <v>533.84173199999998</v>
      </c>
      <c r="G31" s="171" t="s">
        <v>16</v>
      </c>
      <c r="H31" s="168" t="s">
        <v>14</v>
      </c>
      <c r="I31" s="171">
        <v>1</v>
      </c>
      <c r="J31" s="171" t="s">
        <v>15</v>
      </c>
      <c r="K31" s="171" t="s">
        <v>76</v>
      </c>
      <c r="L31" s="168" t="s">
        <v>77</v>
      </c>
    </row>
    <row r="32" spans="1:12" x14ac:dyDescent="0.2">
      <c r="A32" s="168" t="s">
        <v>74</v>
      </c>
      <c r="B32" s="168" t="s">
        <v>75</v>
      </c>
      <c r="C32" s="168" t="s">
        <v>11</v>
      </c>
      <c r="D32" s="168" t="s">
        <v>78</v>
      </c>
      <c r="E32" s="169">
        <v>43158</v>
      </c>
      <c r="F32" s="170">
        <v>19.100000000000001</v>
      </c>
      <c r="G32" s="171" t="s">
        <v>13</v>
      </c>
      <c r="H32" s="168" t="s">
        <v>18</v>
      </c>
      <c r="I32" s="171">
        <v>1</v>
      </c>
      <c r="J32" s="171" t="s">
        <v>15</v>
      </c>
      <c r="K32" s="171" t="s">
        <v>76</v>
      </c>
      <c r="L32" s="168" t="s">
        <v>77</v>
      </c>
    </row>
    <row r="33" spans="1:13" x14ac:dyDescent="0.2">
      <c r="A33" s="168" t="s">
        <v>74</v>
      </c>
      <c r="B33" s="168" t="s">
        <v>75</v>
      </c>
      <c r="C33" s="168" t="s">
        <v>11</v>
      </c>
      <c r="D33" s="168" t="s">
        <v>78</v>
      </c>
      <c r="E33" s="169">
        <v>43158</v>
      </c>
      <c r="F33" s="170">
        <v>263.47227600000002</v>
      </c>
      <c r="G33" s="171" t="s">
        <v>16</v>
      </c>
      <c r="H33" s="168" t="s">
        <v>18</v>
      </c>
      <c r="I33" s="171">
        <v>1</v>
      </c>
      <c r="J33" s="171" t="s">
        <v>15</v>
      </c>
      <c r="K33" s="171" t="s">
        <v>76</v>
      </c>
      <c r="L33" s="168" t="s">
        <v>77</v>
      </c>
    </row>
    <row r="34" spans="1:13" x14ac:dyDescent="0.2">
      <c r="A34" s="168" t="s">
        <v>74</v>
      </c>
      <c r="B34" s="168" t="s">
        <v>75</v>
      </c>
      <c r="C34" s="168" t="s">
        <v>11</v>
      </c>
      <c r="D34" s="168" t="s">
        <v>12</v>
      </c>
      <c r="E34" s="169">
        <v>43151</v>
      </c>
      <c r="F34" s="170">
        <v>29.6</v>
      </c>
      <c r="G34" s="171" t="s">
        <v>13</v>
      </c>
      <c r="H34" s="168" t="s">
        <v>14</v>
      </c>
      <c r="I34" s="171">
        <v>1</v>
      </c>
      <c r="J34" s="171" t="s">
        <v>15</v>
      </c>
      <c r="K34" s="171" t="s">
        <v>76</v>
      </c>
      <c r="L34" s="168" t="s">
        <v>77</v>
      </c>
    </row>
    <row r="35" spans="1:13" x14ac:dyDescent="0.2">
      <c r="A35" s="168" t="s">
        <v>74</v>
      </c>
      <c r="B35" s="168" t="s">
        <v>75</v>
      </c>
      <c r="C35" s="168" t="s">
        <v>11</v>
      </c>
      <c r="D35" s="168" t="s">
        <v>12</v>
      </c>
      <c r="E35" s="169">
        <v>43151</v>
      </c>
      <c r="F35" s="170">
        <v>325.61361599999998</v>
      </c>
      <c r="G35" s="171" t="s">
        <v>16</v>
      </c>
      <c r="H35" s="168" t="s">
        <v>14</v>
      </c>
      <c r="I35" s="171">
        <v>1</v>
      </c>
      <c r="J35" s="171" t="s">
        <v>15</v>
      </c>
      <c r="K35" s="171" t="s">
        <v>76</v>
      </c>
      <c r="L35" s="168" t="s">
        <v>77</v>
      </c>
    </row>
    <row r="36" spans="1:13" x14ac:dyDescent="0.2">
      <c r="A36" s="168" t="s">
        <v>74</v>
      </c>
      <c r="B36" s="168" t="s">
        <v>75</v>
      </c>
      <c r="C36" s="168" t="s">
        <v>11</v>
      </c>
      <c r="D36" s="168" t="s">
        <v>78</v>
      </c>
      <c r="E36" s="169">
        <v>43151</v>
      </c>
      <c r="F36" s="170">
        <v>14.5</v>
      </c>
      <c r="G36" s="171" t="s">
        <v>13</v>
      </c>
      <c r="H36" s="168" t="s">
        <v>18</v>
      </c>
      <c r="I36" s="171">
        <v>1</v>
      </c>
      <c r="J36" s="171" t="s">
        <v>15</v>
      </c>
      <c r="K36" s="171" t="s">
        <v>76</v>
      </c>
      <c r="L36" s="168" t="s">
        <v>77</v>
      </c>
    </row>
    <row r="37" spans="1:13" x14ac:dyDescent="0.2">
      <c r="A37" s="168" t="s">
        <v>74</v>
      </c>
      <c r="B37" s="168" t="s">
        <v>75</v>
      </c>
      <c r="C37" s="168" t="s">
        <v>11</v>
      </c>
      <c r="D37" s="168" t="s">
        <v>78</v>
      </c>
      <c r="E37" s="169">
        <v>43151</v>
      </c>
      <c r="F37" s="170">
        <v>159.50667000000001</v>
      </c>
      <c r="G37" s="171" t="s">
        <v>16</v>
      </c>
      <c r="H37" s="168" t="s">
        <v>18</v>
      </c>
      <c r="I37" s="171">
        <v>1</v>
      </c>
      <c r="J37" s="171" t="s">
        <v>15</v>
      </c>
      <c r="K37" s="171" t="s">
        <v>76</v>
      </c>
      <c r="L37" s="168" t="s">
        <v>77</v>
      </c>
    </row>
    <row r="38" spans="1:13" x14ac:dyDescent="0.2">
      <c r="A38" s="168" t="s">
        <v>74</v>
      </c>
      <c r="B38" s="168" t="s">
        <v>75</v>
      </c>
      <c r="C38" s="168" t="s">
        <v>11</v>
      </c>
      <c r="D38" s="168" t="s">
        <v>12</v>
      </c>
      <c r="E38" s="169">
        <v>43144</v>
      </c>
      <c r="F38" s="170">
        <v>35.200000000000003</v>
      </c>
      <c r="G38" s="171" t="s">
        <v>13</v>
      </c>
      <c r="H38" s="168" t="s">
        <v>14</v>
      </c>
      <c r="I38" s="171">
        <v>1</v>
      </c>
      <c r="J38" s="171" t="s">
        <v>15</v>
      </c>
      <c r="K38" s="171" t="s">
        <v>76</v>
      </c>
      <c r="L38" s="168" t="s">
        <v>77</v>
      </c>
    </row>
    <row r="39" spans="1:13" x14ac:dyDescent="0.2">
      <c r="A39" s="168" t="s">
        <v>74</v>
      </c>
      <c r="B39" s="168" t="s">
        <v>75</v>
      </c>
      <c r="C39" s="168" t="s">
        <v>11</v>
      </c>
      <c r="D39" s="168" t="s">
        <v>12</v>
      </c>
      <c r="E39" s="169">
        <v>43144</v>
      </c>
      <c r="F39" s="170">
        <v>390.44544000000002</v>
      </c>
      <c r="G39" s="171" t="s">
        <v>16</v>
      </c>
      <c r="H39" s="168" t="s">
        <v>14</v>
      </c>
      <c r="I39" s="171">
        <v>1</v>
      </c>
      <c r="J39" s="171" t="s">
        <v>15</v>
      </c>
      <c r="K39" s="171" t="s">
        <v>76</v>
      </c>
      <c r="L39" s="168" t="s">
        <v>77</v>
      </c>
    </row>
    <row r="40" spans="1:13" x14ac:dyDescent="0.2">
      <c r="A40" s="168" t="s">
        <v>74</v>
      </c>
      <c r="B40" s="168" t="s">
        <v>75</v>
      </c>
      <c r="C40" s="168" t="s">
        <v>11</v>
      </c>
      <c r="D40" s="168" t="s">
        <v>78</v>
      </c>
      <c r="E40" s="169">
        <v>43144</v>
      </c>
      <c r="F40" s="170">
        <v>19</v>
      </c>
      <c r="G40" s="171" t="s">
        <v>13</v>
      </c>
      <c r="H40" s="168" t="s">
        <v>18</v>
      </c>
      <c r="I40" s="171">
        <v>1</v>
      </c>
      <c r="J40" s="171" t="s">
        <v>15</v>
      </c>
      <c r="K40" s="171" t="s">
        <v>76</v>
      </c>
      <c r="L40" s="168" t="s">
        <v>77</v>
      </c>
    </row>
    <row r="41" spans="1:13" x14ac:dyDescent="0.2">
      <c r="A41" s="168" t="s">
        <v>74</v>
      </c>
      <c r="B41" s="168" t="s">
        <v>75</v>
      </c>
      <c r="C41" s="168" t="s">
        <v>11</v>
      </c>
      <c r="D41" s="168" t="s">
        <v>78</v>
      </c>
      <c r="E41" s="169">
        <v>43144</v>
      </c>
      <c r="F41" s="170">
        <v>210.7518</v>
      </c>
      <c r="G41" s="171" t="s">
        <v>16</v>
      </c>
      <c r="H41" s="168" t="s">
        <v>18</v>
      </c>
      <c r="I41" s="171">
        <v>1</v>
      </c>
      <c r="J41" s="171" t="s">
        <v>15</v>
      </c>
      <c r="K41" s="171" t="s">
        <v>76</v>
      </c>
      <c r="L41" s="168" t="s">
        <v>77</v>
      </c>
    </row>
    <row r="42" spans="1:13" x14ac:dyDescent="0.2">
      <c r="A42" s="168" t="s">
        <v>74</v>
      </c>
      <c r="B42" s="168" t="s">
        <v>75</v>
      </c>
      <c r="C42" s="168" t="s">
        <v>11</v>
      </c>
      <c r="D42" s="168" t="s">
        <v>12</v>
      </c>
      <c r="E42" s="169">
        <v>43137</v>
      </c>
      <c r="F42" s="170">
        <v>36.6</v>
      </c>
      <c r="G42" s="171" t="s">
        <v>13</v>
      </c>
      <c r="H42" s="168" t="s">
        <v>14</v>
      </c>
      <c r="I42" s="171">
        <v>1</v>
      </c>
      <c r="J42" s="171" t="s">
        <v>15</v>
      </c>
      <c r="K42" s="171" t="s">
        <v>76</v>
      </c>
      <c r="L42" s="168" t="s">
        <v>77</v>
      </c>
    </row>
    <row r="43" spans="1:13" x14ac:dyDescent="0.2">
      <c r="A43" s="168" t="s">
        <v>74</v>
      </c>
      <c r="B43" s="168" t="s">
        <v>75</v>
      </c>
      <c r="C43" s="168" t="s">
        <v>11</v>
      </c>
      <c r="D43" s="168" t="s">
        <v>12</v>
      </c>
      <c r="E43" s="169">
        <v>43137</v>
      </c>
      <c r="F43" s="170">
        <v>396.511956</v>
      </c>
      <c r="G43" s="171" t="s">
        <v>16</v>
      </c>
      <c r="H43" s="168" t="s">
        <v>14</v>
      </c>
      <c r="I43" s="171">
        <v>1</v>
      </c>
      <c r="J43" s="171" t="s">
        <v>15</v>
      </c>
      <c r="K43" s="171" t="s">
        <v>76</v>
      </c>
      <c r="L43" s="168" t="s">
        <v>77</v>
      </c>
    </row>
    <row r="44" spans="1:13" x14ac:dyDescent="0.2">
      <c r="A44" s="168" t="s">
        <v>74</v>
      </c>
      <c r="B44" s="168" t="s">
        <v>75</v>
      </c>
      <c r="C44" s="168" t="s">
        <v>11</v>
      </c>
      <c r="D44" s="168" t="s">
        <v>78</v>
      </c>
      <c r="E44" s="169">
        <v>43137</v>
      </c>
      <c r="F44" s="170">
        <v>20.8</v>
      </c>
      <c r="G44" s="171" t="s">
        <v>13</v>
      </c>
      <c r="H44" s="168" t="s">
        <v>18</v>
      </c>
      <c r="I44" s="171">
        <v>1</v>
      </c>
      <c r="J44" s="171" t="s">
        <v>15</v>
      </c>
      <c r="K44" s="171" t="s">
        <v>76</v>
      </c>
      <c r="L44" s="168" t="s">
        <v>77</v>
      </c>
    </row>
    <row r="45" spans="1:13" x14ac:dyDescent="0.2">
      <c r="A45" s="168" t="s">
        <v>74</v>
      </c>
      <c r="B45" s="168" t="s">
        <v>75</v>
      </c>
      <c r="C45" s="168" t="s">
        <v>11</v>
      </c>
      <c r="D45" s="168" t="s">
        <v>78</v>
      </c>
      <c r="E45" s="169">
        <v>43137</v>
      </c>
      <c r="F45" s="170">
        <v>225.34012799999999</v>
      </c>
      <c r="G45" s="171" t="s">
        <v>16</v>
      </c>
      <c r="H45" s="168" t="s">
        <v>18</v>
      </c>
      <c r="I45" s="171">
        <v>1</v>
      </c>
      <c r="J45" s="171" t="s">
        <v>15</v>
      </c>
      <c r="K45" s="171" t="s">
        <v>76</v>
      </c>
      <c r="L45" s="168" t="s">
        <v>77</v>
      </c>
    </row>
    <row r="46" spans="1:13" x14ac:dyDescent="0.2">
      <c r="A46" s="168" t="s">
        <v>74</v>
      </c>
      <c r="B46" s="168" t="s">
        <v>75</v>
      </c>
      <c r="C46" s="168" t="s">
        <v>11</v>
      </c>
      <c r="D46" s="168" t="s">
        <v>12</v>
      </c>
      <c r="E46" s="169">
        <v>43130</v>
      </c>
      <c r="F46" s="170">
        <v>39.1</v>
      </c>
      <c r="G46" s="171" t="s">
        <v>13</v>
      </c>
      <c r="H46" s="168" t="s">
        <v>14</v>
      </c>
      <c r="I46" s="171">
        <v>1</v>
      </c>
      <c r="J46" s="171" t="s">
        <v>15</v>
      </c>
      <c r="K46" s="171" t="s">
        <v>80</v>
      </c>
      <c r="L46" s="168" t="s">
        <v>77</v>
      </c>
      <c r="M46" s="168" t="s">
        <v>14</v>
      </c>
    </row>
    <row r="47" spans="1:13" x14ac:dyDescent="0.2">
      <c r="A47" s="168" t="s">
        <v>74</v>
      </c>
      <c r="B47" s="168" t="s">
        <v>75</v>
      </c>
      <c r="C47" s="168" t="s">
        <v>11</v>
      </c>
      <c r="D47" s="168" t="s">
        <v>12</v>
      </c>
      <c r="E47" s="169">
        <v>43130</v>
      </c>
      <c r="F47" s="170">
        <v>442.50955800000003</v>
      </c>
      <c r="G47" s="171" t="s">
        <v>16</v>
      </c>
      <c r="H47" s="168" t="s">
        <v>14</v>
      </c>
      <c r="I47" s="171">
        <v>1</v>
      </c>
      <c r="J47" s="171" t="s">
        <v>15</v>
      </c>
      <c r="K47" s="171" t="s">
        <v>80</v>
      </c>
      <c r="L47" s="168" t="s">
        <v>77</v>
      </c>
      <c r="M47" s="168" t="s">
        <v>14</v>
      </c>
    </row>
    <row r="48" spans="1:13" x14ac:dyDescent="0.2">
      <c r="A48" s="168" t="s">
        <v>74</v>
      </c>
      <c r="B48" s="168" t="s">
        <v>75</v>
      </c>
      <c r="C48" s="168" t="s">
        <v>11</v>
      </c>
      <c r="D48" s="168" t="s">
        <v>78</v>
      </c>
      <c r="E48" s="169">
        <v>43130</v>
      </c>
      <c r="F48" s="170">
        <v>18.7</v>
      </c>
      <c r="G48" s="171" t="s">
        <v>13</v>
      </c>
      <c r="H48" s="168" t="s">
        <v>18</v>
      </c>
      <c r="I48" s="171">
        <v>1</v>
      </c>
      <c r="J48" s="171" t="s">
        <v>15</v>
      </c>
      <c r="K48" s="171" t="s">
        <v>80</v>
      </c>
      <c r="L48" s="168" t="s">
        <v>77</v>
      </c>
      <c r="M48" s="168" t="s">
        <v>18</v>
      </c>
    </row>
    <row r="49" spans="1:13" x14ac:dyDescent="0.2">
      <c r="A49" s="168" t="s">
        <v>74</v>
      </c>
      <c r="B49" s="168" t="s">
        <v>75</v>
      </c>
      <c r="C49" s="168" t="s">
        <v>11</v>
      </c>
      <c r="D49" s="168" t="s">
        <v>78</v>
      </c>
      <c r="E49" s="169">
        <v>43130</v>
      </c>
      <c r="F49" s="170">
        <v>211.635006</v>
      </c>
      <c r="G49" s="171" t="s">
        <v>16</v>
      </c>
      <c r="H49" s="168" t="s">
        <v>18</v>
      </c>
      <c r="I49" s="171">
        <v>1</v>
      </c>
      <c r="J49" s="171" t="s">
        <v>15</v>
      </c>
      <c r="K49" s="171" t="s">
        <v>80</v>
      </c>
      <c r="L49" s="168" t="s">
        <v>77</v>
      </c>
      <c r="M49" s="168" t="s">
        <v>18</v>
      </c>
    </row>
    <row r="50" spans="1:13" x14ac:dyDescent="0.2">
      <c r="A50" s="168" t="s">
        <v>74</v>
      </c>
      <c r="B50" s="168" t="s">
        <v>75</v>
      </c>
      <c r="C50" s="168" t="s">
        <v>11</v>
      </c>
      <c r="D50" s="168" t="s">
        <v>12</v>
      </c>
      <c r="E50" s="169">
        <v>43123</v>
      </c>
      <c r="F50" s="170">
        <v>34</v>
      </c>
      <c r="G50" s="171" t="s">
        <v>13</v>
      </c>
      <c r="H50" s="168" t="s">
        <v>14</v>
      </c>
      <c r="I50" s="171">
        <v>1</v>
      </c>
      <c r="J50" s="171" t="s">
        <v>15</v>
      </c>
      <c r="K50" s="171" t="s">
        <v>80</v>
      </c>
      <c r="L50" s="168" t="s">
        <v>77</v>
      </c>
      <c r="M50" s="168" t="s">
        <v>14</v>
      </c>
    </row>
    <row r="51" spans="1:13" x14ac:dyDescent="0.2">
      <c r="A51" s="168" t="s">
        <v>74</v>
      </c>
      <c r="B51" s="168" t="s">
        <v>75</v>
      </c>
      <c r="C51" s="168" t="s">
        <v>11</v>
      </c>
      <c r="D51" s="168" t="s">
        <v>12</v>
      </c>
      <c r="E51" s="169">
        <v>43123</v>
      </c>
      <c r="F51" s="170">
        <v>404.35656</v>
      </c>
      <c r="G51" s="171" t="s">
        <v>16</v>
      </c>
      <c r="H51" s="168" t="s">
        <v>14</v>
      </c>
      <c r="I51" s="171">
        <v>1</v>
      </c>
      <c r="J51" s="171" t="s">
        <v>15</v>
      </c>
      <c r="K51" s="171" t="s">
        <v>80</v>
      </c>
      <c r="L51" s="168" t="s">
        <v>77</v>
      </c>
      <c r="M51" s="168" t="s">
        <v>14</v>
      </c>
    </row>
    <row r="52" spans="1:13" x14ac:dyDescent="0.2">
      <c r="A52" s="168" t="s">
        <v>74</v>
      </c>
      <c r="B52" s="168" t="s">
        <v>75</v>
      </c>
      <c r="C52" s="168" t="s">
        <v>11</v>
      </c>
      <c r="D52" s="168" t="s">
        <v>78</v>
      </c>
      <c r="E52" s="169">
        <v>43123</v>
      </c>
      <c r="F52" s="170">
        <v>16</v>
      </c>
      <c r="G52" s="171" t="s">
        <v>13</v>
      </c>
      <c r="H52" s="168" t="s">
        <v>18</v>
      </c>
      <c r="I52" s="171">
        <v>1</v>
      </c>
      <c r="J52" s="171" t="s">
        <v>15</v>
      </c>
      <c r="K52" s="171" t="s">
        <v>80</v>
      </c>
      <c r="L52" s="168" t="s">
        <v>77</v>
      </c>
      <c r="M52" s="168" t="s">
        <v>18</v>
      </c>
    </row>
    <row r="53" spans="1:13" x14ac:dyDescent="0.2">
      <c r="A53" s="168" t="s">
        <v>74</v>
      </c>
      <c r="B53" s="168" t="s">
        <v>75</v>
      </c>
      <c r="C53" s="168" t="s">
        <v>11</v>
      </c>
      <c r="D53" s="168" t="s">
        <v>78</v>
      </c>
      <c r="E53" s="169">
        <v>43123</v>
      </c>
      <c r="F53" s="170">
        <v>190.28543999999999</v>
      </c>
      <c r="G53" s="171" t="s">
        <v>16</v>
      </c>
      <c r="H53" s="168" t="s">
        <v>18</v>
      </c>
      <c r="I53" s="171">
        <v>1</v>
      </c>
      <c r="J53" s="171" t="s">
        <v>15</v>
      </c>
      <c r="K53" s="171" t="s">
        <v>80</v>
      </c>
      <c r="L53" s="168" t="s">
        <v>77</v>
      </c>
      <c r="M53" s="168" t="s">
        <v>18</v>
      </c>
    </row>
    <row r="54" spans="1:13" x14ac:dyDescent="0.2">
      <c r="A54" s="168" t="s">
        <v>74</v>
      </c>
      <c r="B54" s="168" t="s">
        <v>75</v>
      </c>
      <c r="C54" s="168" t="s">
        <v>11</v>
      </c>
      <c r="D54" s="168" t="s">
        <v>12</v>
      </c>
      <c r="E54" s="169">
        <v>43116</v>
      </c>
      <c r="F54" s="170">
        <v>41.7</v>
      </c>
      <c r="G54" s="171" t="s">
        <v>13</v>
      </c>
      <c r="H54" s="168" t="s">
        <v>14</v>
      </c>
      <c r="I54" s="171">
        <v>1</v>
      </c>
      <c r="J54" s="171" t="s">
        <v>15</v>
      </c>
      <c r="K54" s="171" t="s">
        <v>80</v>
      </c>
      <c r="L54" s="168" t="s">
        <v>77</v>
      </c>
      <c r="M54" s="168" t="s">
        <v>14</v>
      </c>
    </row>
    <row r="55" spans="1:13" x14ac:dyDescent="0.2">
      <c r="A55" s="168" t="s">
        <v>74</v>
      </c>
      <c r="B55" s="168" t="s">
        <v>75</v>
      </c>
      <c r="C55" s="168" t="s">
        <v>11</v>
      </c>
      <c r="D55" s="168" t="s">
        <v>12</v>
      </c>
      <c r="E55" s="169">
        <v>43116</v>
      </c>
      <c r="F55" s="170">
        <v>461.84918399999998</v>
      </c>
      <c r="G55" s="171" t="s">
        <v>16</v>
      </c>
      <c r="H55" s="168" t="s">
        <v>14</v>
      </c>
      <c r="I55" s="171">
        <v>1</v>
      </c>
      <c r="J55" s="171" t="s">
        <v>15</v>
      </c>
      <c r="K55" s="171" t="s">
        <v>80</v>
      </c>
      <c r="L55" s="168" t="s">
        <v>77</v>
      </c>
      <c r="M55" s="168" t="s">
        <v>14</v>
      </c>
    </row>
    <row r="56" spans="1:13" x14ac:dyDescent="0.2">
      <c r="A56" s="168" t="s">
        <v>74</v>
      </c>
      <c r="B56" s="168" t="s">
        <v>75</v>
      </c>
      <c r="C56" s="168" t="s">
        <v>11</v>
      </c>
      <c r="D56" s="168" t="s">
        <v>78</v>
      </c>
      <c r="E56" s="169">
        <v>43116</v>
      </c>
      <c r="F56" s="170">
        <v>18.7</v>
      </c>
      <c r="G56" s="171" t="s">
        <v>13</v>
      </c>
      <c r="H56" s="168" t="s">
        <v>18</v>
      </c>
      <c r="I56" s="171">
        <v>1</v>
      </c>
      <c r="J56" s="171" t="s">
        <v>15</v>
      </c>
      <c r="K56" s="171" t="s">
        <v>80</v>
      </c>
      <c r="L56" s="168" t="s">
        <v>77</v>
      </c>
      <c r="M56" s="168" t="s">
        <v>18</v>
      </c>
    </row>
    <row r="57" spans="1:13" x14ac:dyDescent="0.2">
      <c r="A57" s="168" t="s">
        <v>74</v>
      </c>
      <c r="B57" s="168" t="s">
        <v>75</v>
      </c>
      <c r="C57" s="168" t="s">
        <v>11</v>
      </c>
      <c r="D57" s="168" t="s">
        <v>78</v>
      </c>
      <c r="E57" s="169">
        <v>43116</v>
      </c>
      <c r="F57" s="170">
        <v>207.112224</v>
      </c>
      <c r="G57" s="171" t="s">
        <v>16</v>
      </c>
      <c r="H57" s="168" t="s">
        <v>18</v>
      </c>
      <c r="I57" s="171">
        <v>1</v>
      </c>
      <c r="J57" s="171" t="s">
        <v>15</v>
      </c>
      <c r="K57" s="171" t="s">
        <v>80</v>
      </c>
      <c r="L57" s="168" t="s">
        <v>77</v>
      </c>
      <c r="M57" s="168" t="s">
        <v>18</v>
      </c>
    </row>
    <row r="58" spans="1:13" x14ac:dyDescent="0.2">
      <c r="A58" s="168" t="s">
        <v>74</v>
      </c>
      <c r="B58" s="168" t="s">
        <v>75</v>
      </c>
      <c r="C58" s="168" t="s">
        <v>11</v>
      </c>
      <c r="D58" s="168" t="s">
        <v>12</v>
      </c>
      <c r="E58" s="169">
        <v>43109</v>
      </c>
      <c r="F58" s="170">
        <v>33.9</v>
      </c>
      <c r="G58" s="171" t="s">
        <v>13</v>
      </c>
      <c r="H58" s="168" t="s">
        <v>14</v>
      </c>
      <c r="I58" s="171">
        <v>1</v>
      </c>
      <c r="J58" s="171" t="s">
        <v>15</v>
      </c>
      <c r="K58" s="171" t="s">
        <v>80</v>
      </c>
      <c r="L58" s="168" t="s">
        <v>77</v>
      </c>
      <c r="M58" s="168" t="s">
        <v>14</v>
      </c>
    </row>
    <row r="59" spans="1:13" x14ac:dyDescent="0.2">
      <c r="A59" s="168" t="s">
        <v>74</v>
      </c>
      <c r="B59" s="168" t="s">
        <v>75</v>
      </c>
      <c r="C59" s="168" t="s">
        <v>11</v>
      </c>
      <c r="D59" s="168" t="s">
        <v>12</v>
      </c>
      <c r="E59" s="169">
        <v>43109</v>
      </c>
      <c r="F59" s="170">
        <v>387.90007200000002</v>
      </c>
      <c r="G59" s="171" t="s">
        <v>16</v>
      </c>
      <c r="H59" s="168" t="s">
        <v>14</v>
      </c>
      <c r="I59" s="171">
        <v>1</v>
      </c>
      <c r="J59" s="171" t="s">
        <v>15</v>
      </c>
      <c r="K59" s="171" t="s">
        <v>80</v>
      </c>
      <c r="L59" s="168" t="s">
        <v>77</v>
      </c>
      <c r="M59" s="168" t="s">
        <v>14</v>
      </c>
    </row>
    <row r="60" spans="1:13" x14ac:dyDescent="0.2">
      <c r="A60" s="168" t="s">
        <v>74</v>
      </c>
      <c r="B60" s="168" t="s">
        <v>75</v>
      </c>
      <c r="C60" s="168" t="s">
        <v>11</v>
      </c>
      <c r="D60" s="168" t="s">
        <v>78</v>
      </c>
      <c r="E60" s="169">
        <v>43109</v>
      </c>
      <c r="F60" s="170">
        <v>20.3</v>
      </c>
      <c r="G60" s="171" t="s">
        <v>13</v>
      </c>
      <c r="H60" s="168" t="s">
        <v>18</v>
      </c>
      <c r="I60" s="171">
        <v>1</v>
      </c>
      <c r="J60" s="171" t="s">
        <v>15</v>
      </c>
      <c r="K60" s="171" t="s">
        <v>80</v>
      </c>
      <c r="L60" s="168" t="s">
        <v>77</v>
      </c>
      <c r="M60" s="168" t="s">
        <v>18</v>
      </c>
    </row>
    <row r="61" spans="1:13" x14ac:dyDescent="0.2">
      <c r="A61" s="168" t="s">
        <v>74</v>
      </c>
      <c r="B61" s="168" t="s">
        <v>75</v>
      </c>
      <c r="C61" s="168" t="s">
        <v>11</v>
      </c>
      <c r="D61" s="168" t="s">
        <v>78</v>
      </c>
      <c r="E61" s="169">
        <v>43109</v>
      </c>
      <c r="F61" s="170">
        <v>232.28234399999999</v>
      </c>
      <c r="G61" s="171" t="s">
        <v>16</v>
      </c>
      <c r="H61" s="168" t="s">
        <v>18</v>
      </c>
      <c r="I61" s="171">
        <v>1</v>
      </c>
      <c r="J61" s="171" t="s">
        <v>15</v>
      </c>
      <c r="K61" s="171" t="s">
        <v>80</v>
      </c>
      <c r="L61" s="168" t="s">
        <v>77</v>
      </c>
      <c r="M61" s="168" t="s">
        <v>18</v>
      </c>
    </row>
    <row r="62" spans="1:13" x14ac:dyDescent="0.2">
      <c r="A62" s="168" t="s">
        <v>74</v>
      </c>
      <c r="B62" s="168" t="s">
        <v>75</v>
      </c>
      <c r="C62" s="168" t="s">
        <v>11</v>
      </c>
      <c r="D62" s="168" t="s">
        <v>12</v>
      </c>
      <c r="E62" s="169">
        <v>43102</v>
      </c>
      <c r="F62" s="170">
        <v>32.299999999999997</v>
      </c>
      <c r="G62" s="171" t="s">
        <v>13</v>
      </c>
      <c r="H62" s="168" t="s">
        <v>14</v>
      </c>
      <c r="I62" s="171">
        <v>1</v>
      </c>
      <c r="J62" s="171" t="s">
        <v>15</v>
      </c>
      <c r="K62" s="171" t="s">
        <v>80</v>
      </c>
      <c r="L62" s="168" t="s">
        <v>77</v>
      </c>
      <c r="M62" s="168" t="s">
        <v>14</v>
      </c>
    </row>
    <row r="63" spans="1:13" x14ac:dyDescent="0.2">
      <c r="A63" s="168" t="s">
        <v>74</v>
      </c>
      <c r="B63" s="168" t="s">
        <v>75</v>
      </c>
      <c r="C63" s="168" t="s">
        <v>11</v>
      </c>
      <c r="D63" s="168" t="s">
        <v>12</v>
      </c>
      <c r="E63" s="169">
        <v>43102</v>
      </c>
      <c r="F63" s="170">
        <v>409.191258</v>
      </c>
      <c r="G63" s="171" t="s">
        <v>16</v>
      </c>
      <c r="H63" s="168" t="s">
        <v>14</v>
      </c>
      <c r="I63" s="171">
        <v>1</v>
      </c>
      <c r="J63" s="171" t="s">
        <v>15</v>
      </c>
      <c r="K63" s="171" t="s">
        <v>80</v>
      </c>
      <c r="L63" s="168" t="s">
        <v>77</v>
      </c>
      <c r="M63" s="168" t="s">
        <v>14</v>
      </c>
    </row>
    <row r="64" spans="1:13" x14ac:dyDescent="0.2">
      <c r="A64" s="168" t="s">
        <v>74</v>
      </c>
      <c r="B64" s="168" t="s">
        <v>75</v>
      </c>
      <c r="C64" s="168" t="s">
        <v>11</v>
      </c>
      <c r="D64" s="168" t="s">
        <v>78</v>
      </c>
      <c r="E64" s="169">
        <v>43102</v>
      </c>
      <c r="F64" s="170">
        <v>21.7</v>
      </c>
      <c r="G64" s="171" t="s">
        <v>13</v>
      </c>
      <c r="H64" s="168" t="s">
        <v>18</v>
      </c>
      <c r="I64" s="171">
        <v>1</v>
      </c>
      <c r="J64" s="171" t="s">
        <v>15</v>
      </c>
      <c r="K64" s="171" t="s">
        <v>80</v>
      </c>
      <c r="L64" s="168" t="s">
        <v>77</v>
      </c>
      <c r="M64" s="168" t="s">
        <v>18</v>
      </c>
    </row>
    <row r="65" spans="1:13" x14ac:dyDescent="0.2">
      <c r="A65" s="168" t="s">
        <v>74</v>
      </c>
      <c r="B65" s="168" t="s">
        <v>75</v>
      </c>
      <c r="C65" s="168" t="s">
        <v>11</v>
      </c>
      <c r="D65" s="168" t="s">
        <v>78</v>
      </c>
      <c r="E65" s="169">
        <v>43102</v>
      </c>
      <c r="F65" s="170">
        <v>274.90558199999998</v>
      </c>
      <c r="G65" s="171" t="s">
        <v>16</v>
      </c>
      <c r="H65" s="168" t="s">
        <v>18</v>
      </c>
      <c r="I65" s="171">
        <v>1</v>
      </c>
      <c r="J65" s="171" t="s">
        <v>15</v>
      </c>
      <c r="K65" s="171" t="s">
        <v>80</v>
      </c>
      <c r="L65" s="168" t="s">
        <v>77</v>
      </c>
      <c r="M65" s="168" t="s">
        <v>18</v>
      </c>
    </row>
    <row r="66" spans="1:13" x14ac:dyDescent="0.2">
      <c r="A66" s="168" t="s">
        <v>74</v>
      </c>
      <c r="B66" s="168" t="s">
        <v>75</v>
      </c>
      <c r="C66" s="168" t="s">
        <v>11</v>
      </c>
      <c r="D66" s="168" t="s">
        <v>12</v>
      </c>
      <c r="E66" s="169">
        <v>43095</v>
      </c>
      <c r="F66" s="170">
        <v>42.6</v>
      </c>
      <c r="G66" s="171" t="s">
        <v>13</v>
      </c>
      <c r="H66" s="168" t="s">
        <v>14</v>
      </c>
      <c r="I66" s="171">
        <v>1</v>
      </c>
      <c r="J66" s="171" t="s">
        <v>15</v>
      </c>
      <c r="K66" s="171" t="s">
        <v>80</v>
      </c>
      <c r="L66" s="168" t="s">
        <v>77</v>
      </c>
      <c r="M66" s="168" t="s">
        <v>14</v>
      </c>
    </row>
    <row r="67" spans="1:13" x14ac:dyDescent="0.2">
      <c r="A67" s="168" t="s">
        <v>74</v>
      </c>
      <c r="B67" s="168" t="s">
        <v>75</v>
      </c>
      <c r="C67" s="168" t="s">
        <v>11</v>
      </c>
      <c r="D67" s="168" t="s">
        <v>12</v>
      </c>
      <c r="E67" s="169">
        <v>43095</v>
      </c>
      <c r="F67" s="170">
        <v>457.60579200000001</v>
      </c>
      <c r="G67" s="171" t="s">
        <v>16</v>
      </c>
      <c r="H67" s="168" t="s">
        <v>14</v>
      </c>
      <c r="I67" s="171">
        <v>1</v>
      </c>
      <c r="J67" s="171" t="s">
        <v>15</v>
      </c>
      <c r="K67" s="171" t="s">
        <v>80</v>
      </c>
      <c r="L67" s="168" t="s">
        <v>77</v>
      </c>
      <c r="M67" s="168" t="s">
        <v>14</v>
      </c>
    </row>
    <row r="68" spans="1:13" x14ac:dyDescent="0.2">
      <c r="A68" s="168" t="s">
        <v>74</v>
      </c>
      <c r="B68" s="168" t="s">
        <v>75</v>
      </c>
      <c r="C68" s="168" t="s">
        <v>11</v>
      </c>
      <c r="D68" s="168" t="s">
        <v>78</v>
      </c>
      <c r="E68" s="169">
        <v>43095</v>
      </c>
      <c r="F68" s="170">
        <v>25.7</v>
      </c>
      <c r="G68" s="171" t="s">
        <v>13</v>
      </c>
      <c r="H68" s="168" t="s">
        <v>18</v>
      </c>
      <c r="I68" s="171">
        <v>1</v>
      </c>
      <c r="J68" s="171" t="s">
        <v>15</v>
      </c>
      <c r="K68" s="171" t="s">
        <v>80</v>
      </c>
      <c r="L68" s="168" t="s">
        <v>77</v>
      </c>
      <c r="M68" s="168" t="s">
        <v>18</v>
      </c>
    </row>
    <row r="69" spans="1:13" x14ac:dyDescent="0.2">
      <c r="A69" s="168" t="s">
        <v>74</v>
      </c>
      <c r="B69" s="168" t="s">
        <v>75</v>
      </c>
      <c r="C69" s="168" t="s">
        <v>11</v>
      </c>
      <c r="D69" s="168" t="s">
        <v>78</v>
      </c>
      <c r="E69" s="169">
        <v>43095</v>
      </c>
      <c r="F69" s="170">
        <v>276.06734399999999</v>
      </c>
      <c r="G69" s="171" t="s">
        <v>16</v>
      </c>
      <c r="H69" s="168" t="s">
        <v>18</v>
      </c>
      <c r="I69" s="171">
        <v>1</v>
      </c>
      <c r="J69" s="171" t="s">
        <v>15</v>
      </c>
      <c r="K69" s="171" t="s">
        <v>80</v>
      </c>
      <c r="L69" s="168" t="s">
        <v>77</v>
      </c>
      <c r="M69" s="168" t="s">
        <v>18</v>
      </c>
    </row>
    <row r="70" spans="1:13" x14ac:dyDescent="0.2">
      <c r="A70" s="168" t="s">
        <v>74</v>
      </c>
      <c r="B70" s="168" t="s">
        <v>75</v>
      </c>
      <c r="C70" s="168" t="s">
        <v>11</v>
      </c>
      <c r="D70" s="168" t="s">
        <v>12</v>
      </c>
      <c r="E70" s="169">
        <v>43088</v>
      </c>
      <c r="F70" s="170">
        <v>34.299999999999997</v>
      </c>
      <c r="G70" s="171" t="s">
        <v>13</v>
      </c>
      <c r="H70" s="168" t="s">
        <v>14</v>
      </c>
      <c r="I70" s="171">
        <v>1</v>
      </c>
      <c r="J70" s="171" t="s">
        <v>15</v>
      </c>
      <c r="K70" s="171" t="s">
        <v>80</v>
      </c>
      <c r="L70" s="168" t="s">
        <v>77</v>
      </c>
      <c r="M70" s="168" t="s">
        <v>14</v>
      </c>
    </row>
    <row r="71" spans="1:13" x14ac:dyDescent="0.2">
      <c r="A71" s="168" t="s">
        <v>74</v>
      </c>
      <c r="B71" s="168" t="s">
        <v>75</v>
      </c>
      <c r="C71" s="168" t="s">
        <v>11</v>
      </c>
      <c r="D71" s="168" t="s">
        <v>12</v>
      </c>
      <c r="E71" s="169">
        <v>43088</v>
      </c>
      <c r="F71" s="170">
        <v>403.91954399999997</v>
      </c>
      <c r="G71" s="171" t="s">
        <v>16</v>
      </c>
      <c r="H71" s="168" t="s">
        <v>14</v>
      </c>
      <c r="I71" s="171">
        <v>1</v>
      </c>
      <c r="J71" s="171" t="s">
        <v>15</v>
      </c>
      <c r="K71" s="171" t="s">
        <v>80</v>
      </c>
      <c r="L71" s="168" t="s">
        <v>77</v>
      </c>
      <c r="M71" s="168" t="s">
        <v>14</v>
      </c>
    </row>
    <row r="72" spans="1:13" x14ac:dyDescent="0.2">
      <c r="A72" s="168" t="s">
        <v>74</v>
      </c>
      <c r="B72" s="168" t="s">
        <v>75</v>
      </c>
      <c r="C72" s="168" t="s">
        <v>11</v>
      </c>
      <c r="D72" s="168" t="s">
        <v>78</v>
      </c>
      <c r="E72" s="169">
        <v>43088</v>
      </c>
      <c r="F72" s="170">
        <v>21.4</v>
      </c>
      <c r="G72" s="171" t="s">
        <v>13</v>
      </c>
      <c r="H72" s="168" t="s">
        <v>18</v>
      </c>
      <c r="I72" s="171">
        <v>1</v>
      </c>
      <c r="J72" s="171" t="s">
        <v>15</v>
      </c>
      <c r="K72" s="171" t="s">
        <v>80</v>
      </c>
      <c r="L72" s="168" t="s">
        <v>77</v>
      </c>
      <c r="M72" s="168" t="s">
        <v>18</v>
      </c>
    </row>
    <row r="73" spans="1:13" x14ac:dyDescent="0.2">
      <c r="A73" s="168" t="s">
        <v>74</v>
      </c>
      <c r="B73" s="168" t="s">
        <v>75</v>
      </c>
      <c r="C73" s="168" t="s">
        <v>11</v>
      </c>
      <c r="D73" s="168" t="s">
        <v>78</v>
      </c>
      <c r="E73" s="169">
        <v>43088</v>
      </c>
      <c r="F73" s="170">
        <v>252.00811200000001</v>
      </c>
      <c r="G73" s="171" t="s">
        <v>16</v>
      </c>
      <c r="H73" s="168" t="s">
        <v>18</v>
      </c>
      <c r="I73" s="171">
        <v>1</v>
      </c>
      <c r="J73" s="171" t="s">
        <v>15</v>
      </c>
      <c r="K73" s="171" t="s">
        <v>80</v>
      </c>
      <c r="L73" s="168" t="s">
        <v>77</v>
      </c>
      <c r="M73" s="168" t="s">
        <v>18</v>
      </c>
    </row>
    <row r="74" spans="1:13" x14ac:dyDescent="0.2">
      <c r="A74" s="168" t="s">
        <v>74</v>
      </c>
      <c r="B74" s="168" t="s">
        <v>75</v>
      </c>
      <c r="C74" s="168" t="s">
        <v>11</v>
      </c>
      <c r="D74" s="168" t="s">
        <v>12</v>
      </c>
      <c r="E74" s="169">
        <v>43081</v>
      </c>
      <c r="F74" s="170">
        <v>31</v>
      </c>
      <c r="G74" s="171" t="s">
        <v>13</v>
      </c>
      <c r="H74" s="168" t="s">
        <v>14</v>
      </c>
      <c r="I74" s="171">
        <v>1</v>
      </c>
      <c r="J74" s="171" t="s">
        <v>15</v>
      </c>
      <c r="K74" s="171" t="s">
        <v>80</v>
      </c>
      <c r="L74" s="168" t="s">
        <v>77</v>
      </c>
      <c r="M74" s="168" t="s">
        <v>14</v>
      </c>
    </row>
    <row r="75" spans="1:13" x14ac:dyDescent="0.2">
      <c r="A75" s="168" t="s">
        <v>74</v>
      </c>
      <c r="B75" s="168" t="s">
        <v>75</v>
      </c>
      <c r="C75" s="168" t="s">
        <v>11</v>
      </c>
      <c r="D75" s="168" t="s">
        <v>12</v>
      </c>
      <c r="E75" s="169">
        <v>43081</v>
      </c>
      <c r="F75" s="170">
        <v>361.18038000000001</v>
      </c>
      <c r="G75" s="171" t="s">
        <v>16</v>
      </c>
      <c r="H75" s="168" t="s">
        <v>14</v>
      </c>
      <c r="I75" s="171">
        <v>1</v>
      </c>
      <c r="J75" s="171" t="s">
        <v>15</v>
      </c>
      <c r="K75" s="171" t="s">
        <v>80</v>
      </c>
      <c r="L75" s="168" t="s">
        <v>77</v>
      </c>
      <c r="M75" s="168" t="s">
        <v>14</v>
      </c>
    </row>
    <row r="76" spans="1:13" x14ac:dyDescent="0.2">
      <c r="A76" s="168" t="s">
        <v>74</v>
      </c>
      <c r="B76" s="168" t="s">
        <v>75</v>
      </c>
      <c r="C76" s="168" t="s">
        <v>11</v>
      </c>
      <c r="D76" s="168" t="s">
        <v>78</v>
      </c>
      <c r="E76" s="169">
        <v>43081</v>
      </c>
      <c r="F76" s="170">
        <v>24.2</v>
      </c>
      <c r="G76" s="171" t="s">
        <v>13</v>
      </c>
      <c r="H76" s="168" t="s">
        <v>18</v>
      </c>
      <c r="I76" s="171">
        <v>1</v>
      </c>
      <c r="J76" s="171" t="s">
        <v>15</v>
      </c>
      <c r="K76" s="171" t="s">
        <v>80</v>
      </c>
      <c r="L76" s="168" t="s">
        <v>77</v>
      </c>
      <c r="M76" s="168" t="s">
        <v>18</v>
      </c>
    </row>
    <row r="77" spans="1:13" x14ac:dyDescent="0.2">
      <c r="A77" s="168" t="s">
        <v>74</v>
      </c>
      <c r="B77" s="168" t="s">
        <v>75</v>
      </c>
      <c r="C77" s="168" t="s">
        <v>11</v>
      </c>
      <c r="D77" s="168" t="s">
        <v>78</v>
      </c>
      <c r="E77" s="169">
        <v>43081</v>
      </c>
      <c r="F77" s="170">
        <v>281.95371599999999</v>
      </c>
      <c r="G77" s="171" t="s">
        <v>16</v>
      </c>
      <c r="H77" s="168" t="s">
        <v>18</v>
      </c>
      <c r="I77" s="171">
        <v>1</v>
      </c>
      <c r="J77" s="171" t="s">
        <v>15</v>
      </c>
      <c r="K77" s="171" t="s">
        <v>80</v>
      </c>
      <c r="L77" s="168" t="s">
        <v>77</v>
      </c>
      <c r="M77" s="168" t="s">
        <v>18</v>
      </c>
    </row>
    <row r="78" spans="1:13" x14ac:dyDescent="0.2">
      <c r="A78" s="168" t="s">
        <v>74</v>
      </c>
      <c r="B78" s="168" t="s">
        <v>75</v>
      </c>
      <c r="C78" s="168" t="s">
        <v>11</v>
      </c>
      <c r="D78" s="168" t="s">
        <v>12</v>
      </c>
      <c r="E78" s="169">
        <v>43074</v>
      </c>
      <c r="F78" s="170">
        <v>34.799999999999997</v>
      </c>
      <c r="G78" s="171" t="s">
        <v>13</v>
      </c>
      <c r="H78" s="168" t="s">
        <v>14</v>
      </c>
      <c r="I78" s="171">
        <v>1</v>
      </c>
      <c r="J78" s="171" t="s">
        <v>15</v>
      </c>
      <c r="K78" s="171" t="s">
        <v>80</v>
      </c>
      <c r="L78" s="168" t="s">
        <v>77</v>
      </c>
      <c r="M78" s="168" t="s">
        <v>14</v>
      </c>
    </row>
    <row r="79" spans="1:13" x14ac:dyDescent="0.2">
      <c r="A79" s="168" t="s">
        <v>74</v>
      </c>
      <c r="B79" s="168" t="s">
        <v>75</v>
      </c>
      <c r="C79" s="168" t="s">
        <v>11</v>
      </c>
      <c r="D79" s="168" t="s">
        <v>12</v>
      </c>
      <c r="E79" s="169">
        <v>43074</v>
      </c>
      <c r="F79" s="170">
        <v>408.066192</v>
      </c>
      <c r="G79" s="171" t="s">
        <v>16</v>
      </c>
      <c r="H79" s="168" t="s">
        <v>14</v>
      </c>
      <c r="I79" s="171">
        <v>1</v>
      </c>
      <c r="J79" s="171" t="s">
        <v>15</v>
      </c>
      <c r="K79" s="171" t="s">
        <v>80</v>
      </c>
      <c r="L79" s="168" t="s">
        <v>77</v>
      </c>
      <c r="M79" s="168" t="s">
        <v>14</v>
      </c>
    </row>
    <row r="80" spans="1:13" x14ac:dyDescent="0.2">
      <c r="A80" s="168" t="s">
        <v>74</v>
      </c>
      <c r="B80" s="168" t="s">
        <v>75</v>
      </c>
      <c r="C80" s="168" t="s">
        <v>11</v>
      </c>
      <c r="D80" s="168" t="s">
        <v>78</v>
      </c>
      <c r="E80" s="169">
        <v>43074</v>
      </c>
      <c r="F80" s="170">
        <v>25.3</v>
      </c>
      <c r="G80" s="171" t="s">
        <v>13</v>
      </c>
      <c r="H80" s="168" t="s">
        <v>18</v>
      </c>
      <c r="I80" s="171">
        <v>1</v>
      </c>
      <c r="J80" s="171" t="s">
        <v>15</v>
      </c>
      <c r="K80" s="171" t="s">
        <v>80</v>
      </c>
      <c r="L80" s="168" t="s">
        <v>77</v>
      </c>
      <c r="M80" s="168" t="s">
        <v>18</v>
      </c>
    </row>
    <row r="81" spans="1:13" x14ac:dyDescent="0.2">
      <c r="A81" s="168" t="s">
        <v>74</v>
      </c>
      <c r="B81" s="168" t="s">
        <v>75</v>
      </c>
      <c r="C81" s="168" t="s">
        <v>11</v>
      </c>
      <c r="D81" s="168" t="s">
        <v>78</v>
      </c>
      <c r="E81" s="169">
        <v>43074</v>
      </c>
      <c r="F81" s="170">
        <v>296.668812</v>
      </c>
      <c r="G81" s="171" t="s">
        <v>16</v>
      </c>
      <c r="H81" s="168" t="s">
        <v>18</v>
      </c>
      <c r="I81" s="171">
        <v>1</v>
      </c>
      <c r="J81" s="171" t="s">
        <v>15</v>
      </c>
      <c r="K81" s="171" t="s">
        <v>80</v>
      </c>
      <c r="L81" s="168" t="s">
        <v>77</v>
      </c>
      <c r="M81" s="168" t="s">
        <v>18</v>
      </c>
    </row>
    <row r="82" spans="1:13" x14ac:dyDescent="0.2">
      <c r="A82" s="168" t="s">
        <v>74</v>
      </c>
      <c r="B82" s="168" t="s">
        <v>75</v>
      </c>
      <c r="C82" s="168" t="s">
        <v>11</v>
      </c>
      <c r="D82" s="168" t="s">
        <v>12</v>
      </c>
      <c r="E82" s="169">
        <v>43067</v>
      </c>
      <c r="F82" s="170">
        <v>27.5</v>
      </c>
      <c r="G82" s="171" t="s">
        <v>13</v>
      </c>
      <c r="H82" s="168" t="s">
        <v>14</v>
      </c>
      <c r="I82" s="171">
        <v>1</v>
      </c>
      <c r="J82" s="171" t="s">
        <v>15</v>
      </c>
      <c r="K82" s="171" t="s">
        <v>80</v>
      </c>
      <c r="L82" s="168" t="s">
        <v>77</v>
      </c>
      <c r="M82" s="168" t="s">
        <v>14</v>
      </c>
    </row>
    <row r="83" spans="1:13" x14ac:dyDescent="0.2">
      <c r="A83" s="168" t="s">
        <v>74</v>
      </c>
      <c r="B83" s="168" t="s">
        <v>75</v>
      </c>
      <c r="C83" s="168" t="s">
        <v>11</v>
      </c>
      <c r="D83" s="168" t="s">
        <v>12</v>
      </c>
      <c r="E83" s="169">
        <v>43067</v>
      </c>
      <c r="F83" s="170">
        <v>317.42039999999997</v>
      </c>
      <c r="G83" s="171" t="s">
        <v>16</v>
      </c>
      <c r="H83" s="168" t="s">
        <v>14</v>
      </c>
      <c r="I83" s="171">
        <v>1</v>
      </c>
      <c r="J83" s="171" t="s">
        <v>15</v>
      </c>
      <c r="K83" s="171" t="s">
        <v>80</v>
      </c>
      <c r="L83" s="168" t="s">
        <v>77</v>
      </c>
      <c r="M83" s="168" t="s">
        <v>14</v>
      </c>
    </row>
    <row r="84" spans="1:13" x14ac:dyDescent="0.2">
      <c r="A84" s="168" t="s">
        <v>74</v>
      </c>
      <c r="B84" s="168" t="s">
        <v>75</v>
      </c>
      <c r="C84" s="168" t="s">
        <v>11</v>
      </c>
      <c r="D84" s="168" t="s">
        <v>78</v>
      </c>
      <c r="E84" s="169">
        <v>43067</v>
      </c>
      <c r="F84" s="170">
        <v>20.399999999999999</v>
      </c>
      <c r="G84" s="171" t="s">
        <v>13</v>
      </c>
      <c r="H84" s="168" t="s">
        <v>18</v>
      </c>
      <c r="I84" s="171">
        <v>1</v>
      </c>
      <c r="J84" s="171" t="s">
        <v>15</v>
      </c>
      <c r="K84" s="171" t="s">
        <v>80</v>
      </c>
      <c r="L84" s="168" t="s">
        <v>77</v>
      </c>
      <c r="M84" s="168" t="s">
        <v>18</v>
      </c>
    </row>
    <row r="85" spans="1:13" x14ac:dyDescent="0.2">
      <c r="A85" s="168" t="s">
        <v>74</v>
      </c>
      <c r="B85" s="168" t="s">
        <v>75</v>
      </c>
      <c r="C85" s="168" t="s">
        <v>11</v>
      </c>
      <c r="D85" s="168" t="s">
        <v>78</v>
      </c>
      <c r="E85" s="169">
        <v>43067</v>
      </c>
      <c r="F85" s="170">
        <v>235.46822399999999</v>
      </c>
      <c r="G85" s="171" t="s">
        <v>16</v>
      </c>
      <c r="H85" s="168" t="s">
        <v>18</v>
      </c>
      <c r="I85" s="171">
        <v>1</v>
      </c>
      <c r="J85" s="171" t="s">
        <v>15</v>
      </c>
      <c r="K85" s="171" t="s">
        <v>80</v>
      </c>
      <c r="L85" s="168" t="s">
        <v>77</v>
      </c>
      <c r="M85" s="168" t="s">
        <v>18</v>
      </c>
    </row>
    <row r="86" spans="1:13" x14ac:dyDescent="0.2">
      <c r="A86" s="168" t="s">
        <v>74</v>
      </c>
      <c r="B86" s="168" t="s">
        <v>75</v>
      </c>
      <c r="C86" s="168" t="s">
        <v>11</v>
      </c>
      <c r="D86" s="168" t="s">
        <v>12</v>
      </c>
      <c r="E86" s="169">
        <v>43059</v>
      </c>
      <c r="F86" s="170">
        <v>25.4</v>
      </c>
      <c r="G86" s="171" t="s">
        <v>13</v>
      </c>
      <c r="H86" s="168" t="s">
        <v>14</v>
      </c>
      <c r="I86" s="171">
        <v>1</v>
      </c>
      <c r="J86" s="171" t="s">
        <v>15</v>
      </c>
      <c r="K86" s="171" t="s">
        <v>80</v>
      </c>
      <c r="L86" s="168" t="s">
        <v>77</v>
      </c>
      <c r="M86" s="168" t="s">
        <v>14</v>
      </c>
    </row>
    <row r="87" spans="1:13" x14ac:dyDescent="0.2">
      <c r="A87" s="168" t="s">
        <v>74</v>
      </c>
      <c r="B87" s="168" t="s">
        <v>75</v>
      </c>
      <c r="C87" s="168" t="s">
        <v>11</v>
      </c>
      <c r="D87" s="168" t="s">
        <v>12</v>
      </c>
      <c r="E87" s="169">
        <v>43059</v>
      </c>
      <c r="F87" s="170">
        <v>312.4581</v>
      </c>
      <c r="G87" s="171" t="s">
        <v>16</v>
      </c>
      <c r="H87" s="168" t="s">
        <v>14</v>
      </c>
      <c r="I87" s="171">
        <v>1</v>
      </c>
      <c r="J87" s="171" t="s">
        <v>15</v>
      </c>
      <c r="K87" s="171" t="s">
        <v>80</v>
      </c>
      <c r="L87" s="168" t="s">
        <v>77</v>
      </c>
      <c r="M87" s="168" t="s">
        <v>14</v>
      </c>
    </row>
    <row r="88" spans="1:13" x14ac:dyDescent="0.2">
      <c r="A88" s="168" t="s">
        <v>74</v>
      </c>
      <c r="B88" s="168" t="s">
        <v>75</v>
      </c>
      <c r="C88" s="168" t="s">
        <v>11</v>
      </c>
      <c r="D88" s="168" t="s">
        <v>78</v>
      </c>
      <c r="E88" s="169">
        <v>43059</v>
      </c>
      <c r="F88" s="170">
        <v>19.8</v>
      </c>
      <c r="G88" s="171" t="s">
        <v>13</v>
      </c>
      <c r="H88" s="168" t="s">
        <v>18</v>
      </c>
      <c r="I88" s="171">
        <v>1</v>
      </c>
      <c r="J88" s="171" t="s">
        <v>15</v>
      </c>
      <c r="K88" s="171" t="s">
        <v>80</v>
      </c>
      <c r="L88" s="168" t="s">
        <v>77</v>
      </c>
      <c r="M88" s="168" t="s">
        <v>18</v>
      </c>
    </row>
    <row r="89" spans="1:13" x14ac:dyDescent="0.2">
      <c r="A89" s="168" t="s">
        <v>74</v>
      </c>
      <c r="B89" s="168" t="s">
        <v>75</v>
      </c>
      <c r="C89" s="168" t="s">
        <v>11</v>
      </c>
      <c r="D89" s="168" t="s">
        <v>78</v>
      </c>
      <c r="E89" s="169">
        <v>43059</v>
      </c>
      <c r="F89" s="170">
        <v>243.56970000000001</v>
      </c>
      <c r="G89" s="171" t="s">
        <v>16</v>
      </c>
      <c r="H89" s="168" t="s">
        <v>18</v>
      </c>
      <c r="I89" s="171">
        <v>1</v>
      </c>
      <c r="J89" s="171" t="s">
        <v>15</v>
      </c>
      <c r="K89" s="171" t="s">
        <v>80</v>
      </c>
      <c r="L89" s="168" t="s">
        <v>77</v>
      </c>
      <c r="M89" s="168" t="s">
        <v>18</v>
      </c>
    </row>
    <row r="90" spans="1:13" x14ac:dyDescent="0.2">
      <c r="A90" s="168" t="s">
        <v>74</v>
      </c>
      <c r="B90" s="168" t="s">
        <v>75</v>
      </c>
      <c r="C90" s="168" t="s">
        <v>11</v>
      </c>
      <c r="D90" s="168" t="s">
        <v>12</v>
      </c>
      <c r="E90" s="169">
        <v>43053</v>
      </c>
      <c r="F90" s="170">
        <v>37.5</v>
      </c>
      <c r="G90" s="171" t="s">
        <v>13</v>
      </c>
      <c r="H90" s="168" t="s">
        <v>14</v>
      </c>
      <c r="I90" s="171">
        <v>1</v>
      </c>
      <c r="J90" s="171" t="s">
        <v>15</v>
      </c>
      <c r="K90" s="171" t="s">
        <v>80</v>
      </c>
      <c r="L90" s="168" t="s">
        <v>77</v>
      </c>
      <c r="M90" s="168" t="s">
        <v>14</v>
      </c>
    </row>
    <row r="91" spans="1:13" x14ac:dyDescent="0.2">
      <c r="A91" s="168" t="s">
        <v>74</v>
      </c>
      <c r="B91" s="168" t="s">
        <v>75</v>
      </c>
      <c r="C91" s="168" t="s">
        <v>11</v>
      </c>
      <c r="D91" s="168" t="s">
        <v>12</v>
      </c>
      <c r="E91" s="169">
        <v>43053</v>
      </c>
      <c r="F91" s="170">
        <v>450.36</v>
      </c>
      <c r="G91" s="171" t="s">
        <v>16</v>
      </c>
      <c r="H91" s="168" t="s">
        <v>14</v>
      </c>
      <c r="I91" s="171">
        <v>1</v>
      </c>
      <c r="J91" s="171" t="s">
        <v>15</v>
      </c>
      <c r="K91" s="171" t="s">
        <v>80</v>
      </c>
      <c r="L91" s="168" t="s">
        <v>77</v>
      </c>
      <c r="M91" s="168" t="s">
        <v>14</v>
      </c>
    </row>
    <row r="92" spans="1:13" x14ac:dyDescent="0.2">
      <c r="A92" s="168" t="s">
        <v>74</v>
      </c>
      <c r="B92" s="168" t="s">
        <v>75</v>
      </c>
      <c r="C92" s="168" t="s">
        <v>11</v>
      </c>
      <c r="D92" s="168" t="s">
        <v>78</v>
      </c>
      <c r="E92" s="169">
        <v>43053</v>
      </c>
      <c r="F92" s="170">
        <v>21.7</v>
      </c>
      <c r="G92" s="171" t="s">
        <v>13</v>
      </c>
      <c r="H92" s="168" t="s">
        <v>18</v>
      </c>
      <c r="I92" s="171">
        <v>1</v>
      </c>
      <c r="J92" s="171" t="s">
        <v>15</v>
      </c>
      <c r="K92" s="171" t="s">
        <v>80</v>
      </c>
      <c r="L92" s="168" t="s">
        <v>77</v>
      </c>
      <c r="M92" s="168" t="s">
        <v>18</v>
      </c>
    </row>
    <row r="93" spans="1:13" x14ac:dyDescent="0.2">
      <c r="A93" s="168" t="s">
        <v>74</v>
      </c>
      <c r="B93" s="168" t="s">
        <v>75</v>
      </c>
      <c r="C93" s="168" t="s">
        <v>11</v>
      </c>
      <c r="D93" s="168" t="s">
        <v>78</v>
      </c>
      <c r="E93" s="169">
        <v>43053</v>
      </c>
      <c r="F93" s="170">
        <v>260.60831999999999</v>
      </c>
      <c r="G93" s="171" t="s">
        <v>16</v>
      </c>
      <c r="H93" s="168" t="s">
        <v>18</v>
      </c>
      <c r="I93" s="171">
        <v>1</v>
      </c>
      <c r="J93" s="171" t="s">
        <v>15</v>
      </c>
      <c r="K93" s="171" t="s">
        <v>80</v>
      </c>
      <c r="L93" s="168" t="s">
        <v>77</v>
      </c>
      <c r="M93" s="168" t="s">
        <v>18</v>
      </c>
    </row>
    <row r="94" spans="1:13" x14ac:dyDescent="0.2">
      <c r="A94" s="168" t="s">
        <v>74</v>
      </c>
      <c r="B94" s="168" t="s">
        <v>75</v>
      </c>
      <c r="C94" s="168" t="s">
        <v>11</v>
      </c>
      <c r="D94" s="168" t="s">
        <v>12</v>
      </c>
      <c r="E94" s="169">
        <v>43046</v>
      </c>
      <c r="F94" s="170">
        <v>26.8</v>
      </c>
      <c r="G94" s="171" t="s">
        <v>13</v>
      </c>
      <c r="H94" s="168" t="s">
        <v>14</v>
      </c>
      <c r="I94" s="171">
        <v>1</v>
      </c>
      <c r="J94" s="171" t="s">
        <v>15</v>
      </c>
      <c r="K94" s="171" t="s">
        <v>80</v>
      </c>
      <c r="L94" s="168" t="s">
        <v>77</v>
      </c>
      <c r="M94" s="168" t="s">
        <v>14</v>
      </c>
    </row>
    <row r="95" spans="1:13" x14ac:dyDescent="0.2">
      <c r="A95" s="168" t="s">
        <v>74</v>
      </c>
      <c r="B95" s="168" t="s">
        <v>75</v>
      </c>
      <c r="C95" s="168" t="s">
        <v>11</v>
      </c>
      <c r="D95" s="168" t="s">
        <v>12</v>
      </c>
      <c r="E95" s="169">
        <v>43046</v>
      </c>
      <c r="F95" s="170">
        <v>332.36234400000001</v>
      </c>
      <c r="G95" s="171" t="s">
        <v>16</v>
      </c>
      <c r="H95" s="168" t="s">
        <v>14</v>
      </c>
      <c r="I95" s="171">
        <v>1</v>
      </c>
      <c r="J95" s="171" t="s">
        <v>15</v>
      </c>
      <c r="K95" s="171" t="s">
        <v>80</v>
      </c>
      <c r="L95" s="168" t="s">
        <v>77</v>
      </c>
      <c r="M95" s="168" t="s">
        <v>14</v>
      </c>
    </row>
    <row r="96" spans="1:13" x14ac:dyDescent="0.2">
      <c r="A96" s="168" t="s">
        <v>74</v>
      </c>
      <c r="B96" s="168" t="s">
        <v>75</v>
      </c>
      <c r="C96" s="168" t="s">
        <v>11</v>
      </c>
      <c r="D96" s="168" t="s">
        <v>78</v>
      </c>
      <c r="E96" s="169">
        <v>43046</v>
      </c>
      <c r="F96" s="170">
        <v>20.100000000000001</v>
      </c>
      <c r="G96" s="171" t="s">
        <v>13</v>
      </c>
      <c r="H96" s="168" t="s">
        <v>18</v>
      </c>
      <c r="I96" s="171">
        <v>1</v>
      </c>
      <c r="J96" s="171" t="s">
        <v>15</v>
      </c>
      <c r="K96" s="171" t="s">
        <v>80</v>
      </c>
      <c r="L96" s="168" t="s">
        <v>77</v>
      </c>
      <c r="M96" s="168" t="s">
        <v>18</v>
      </c>
    </row>
    <row r="97" spans="1:13" x14ac:dyDescent="0.2">
      <c r="A97" s="168" t="s">
        <v>74</v>
      </c>
      <c r="B97" s="168" t="s">
        <v>75</v>
      </c>
      <c r="C97" s="168" t="s">
        <v>11</v>
      </c>
      <c r="D97" s="168" t="s">
        <v>78</v>
      </c>
      <c r="E97" s="169">
        <v>43046</v>
      </c>
      <c r="F97" s="170">
        <v>249.27175800000001</v>
      </c>
      <c r="G97" s="171" t="s">
        <v>16</v>
      </c>
      <c r="H97" s="168" t="s">
        <v>18</v>
      </c>
      <c r="I97" s="171">
        <v>1</v>
      </c>
      <c r="J97" s="171" t="s">
        <v>15</v>
      </c>
      <c r="K97" s="171" t="s">
        <v>80</v>
      </c>
      <c r="L97" s="168" t="s">
        <v>77</v>
      </c>
      <c r="M97" s="168" t="s">
        <v>18</v>
      </c>
    </row>
    <row r="98" spans="1:13" x14ac:dyDescent="0.2">
      <c r="A98" s="168" t="s">
        <v>74</v>
      </c>
      <c r="B98" s="168" t="s">
        <v>75</v>
      </c>
      <c r="C98" s="168" t="s">
        <v>11</v>
      </c>
      <c r="D98" s="168" t="s">
        <v>12</v>
      </c>
      <c r="E98" s="169">
        <v>43039</v>
      </c>
      <c r="F98" s="170">
        <v>26.4</v>
      </c>
      <c r="G98" s="171" t="s">
        <v>13</v>
      </c>
      <c r="H98" s="168" t="s">
        <v>14</v>
      </c>
      <c r="I98" s="171">
        <v>1</v>
      </c>
      <c r="J98" s="171" t="s">
        <v>15</v>
      </c>
      <c r="K98" s="171" t="s">
        <v>80</v>
      </c>
      <c r="L98" s="168" t="s">
        <v>77</v>
      </c>
      <c r="M98" s="168" t="s">
        <v>14</v>
      </c>
    </row>
    <row r="99" spans="1:13" x14ac:dyDescent="0.2">
      <c r="A99" s="168" t="s">
        <v>74</v>
      </c>
      <c r="B99" s="168" t="s">
        <v>75</v>
      </c>
      <c r="C99" s="168" t="s">
        <v>11</v>
      </c>
      <c r="D99" s="168" t="s">
        <v>12</v>
      </c>
      <c r="E99" s="169">
        <v>43039</v>
      </c>
      <c r="F99" s="170">
        <v>338.190336</v>
      </c>
      <c r="G99" s="171" t="s">
        <v>16</v>
      </c>
      <c r="H99" s="168" t="s">
        <v>14</v>
      </c>
      <c r="I99" s="171">
        <v>1</v>
      </c>
      <c r="J99" s="171" t="s">
        <v>15</v>
      </c>
      <c r="K99" s="171" t="s">
        <v>80</v>
      </c>
      <c r="L99" s="168" t="s">
        <v>77</v>
      </c>
      <c r="M99" s="168" t="s">
        <v>14</v>
      </c>
    </row>
    <row r="100" spans="1:13" x14ac:dyDescent="0.2">
      <c r="A100" s="168" t="s">
        <v>74</v>
      </c>
      <c r="B100" s="168" t="s">
        <v>75</v>
      </c>
      <c r="C100" s="168" t="s">
        <v>11</v>
      </c>
      <c r="D100" s="168" t="s">
        <v>78</v>
      </c>
      <c r="E100" s="169">
        <v>43039</v>
      </c>
      <c r="F100" s="170">
        <v>16.5</v>
      </c>
      <c r="G100" s="171" t="s">
        <v>13</v>
      </c>
      <c r="H100" s="168" t="s">
        <v>18</v>
      </c>
      <c r="I100" s="171">
        <v>1</v>
      </c>
      <c r="J100" s="171" t="s">
        <v>15</v>
      </c>
      <c r="K100" s="171" t="s">
        <v>80</v>
      </c>
      <c r="L100" s="168" t="s">
        <v>77</v>
      </c>
      <c r="M100" s="168" t="s">
        <v>18</v>
      </c>
    </row>
    <row r="101" spans="1:13" x14ac:dyDescent="0.2">
      <c r="A101" s="168" t="s">
        <v>74</v>
      </c>
      <c r="B101" s="168" t="s">
        <v>75</v>
      </c>
      <c r="C101" s="168" t="s">
        <v>11</v>
      </c>
      <c r="D101" s="168" t="s">
        <v>78</v>
      </c>
      <c r="E101" s="169">
        <v>43039</v>
      </c>
      <c r="F101" s="170">
        <v>211.36895999999999</v>
      </c>
      <c r="G101" s="171" t="s">
        <v>16</v>
      </c>
      <c r="H101" s="168" t="s">
        <v>18</v>
      </c>
      <c r="I101" s="171">
        <v>1</v>
      </c>
      <c r="J101" s="171" t="s">
        <v>15</v>
      </c>
      <c r="K101" s="171" t="s">
        <v>80</v>
      </c>
      <c r="L101" s="168" t="s">
        <v>77</v>
      </c>
      <c r="M101" s="168" t="s">
        <v>18</v>
      </c>
    </row>
    <row r="102" spans="1:13" x14ac:dyDescent="0.2">
      <c r="A102" s="168" t="s">
        <v>74</v>
      </c>
      <c r="B102" s="168" t="s">
        <v>75</v>
      </c>
      <c r="C102" s="168" t="s">
        <v>11</v>
      </c>
      <c r="D102" s="168" t="s">
        <v>12</v>
      </c>
      <c r="E102" s="169">
        <v>43032</v>
      </c>
      <c r="F102" s="170">
        <v>24.6</v>
      </c>
      <c r="G102" s="171" t="s">
        <v>13</v>
      </c>
      <c r="H102" s="168" t="s">
        <v>14</v>
      </c>
      <c r="I102" s="171">
        <v>1</v>
      </c>
      <c r="J102" s="171" t="s">
        <v>15</v>
      </c>
      <c r="K102" s="171" t="s">
        <v>80</v>
      </c>
      <c r="L102" s="168" t="s">
        <v>77</v>
      </c>
      <c r="M102" s="168" t="s">
        <v>14</v>
      </c>
    </row>
    <row r="103" spans="1:13" x14ac:dyDescent="0.2">
      <c r="A103" s="168" t="s">
        <v>74</v>
      </c>
      <c r="B103" s="168" t="s">
        <v>75</v>
      </c>
      <c r="C103" s="168" t="s">
        <v>11</v>
      </c>
      <c r="D103" s="168" t="s">
        <v>12</v>
      </c>
      <c r="E103" s="169">
        <v>43032</v>
      </c>
      <c r="F103" s="170">
        <v>342.82904400000001</v>
      </c>
      <c r="G103" s="171" t="s">
        <v>16</v>
      </c>
      <c r="H103" s="168" t="s">
        <v>14</v>
      </c>
      <c r="I103" s="171">
        <v>1</v>
      </c>
      <c r="J103" s="171" t="s">
        <v>15</v>
      </c>
      <c r="K103" s="171" t="s">
        <v>80</v>
      </c>
      <c r="L103" s="168" t="s">
        <v>77</v>
      </c>
      <c r="M103" s="168" t="s">
        <v>14</v>
      </c>
    </row>
    <row r="104" spans="1:13" x14ac:dyDescent="0.2">
      <c r="A104" s="168" t="s">
        <v>74</v>
      </c>
      <c r="B104" s="168" t="s">
        <v>75</v>
      </c>
      <c r="C104" s="168" t="s">
        <v>11</v>
      </c>
      <c r="D104" s="168" t="s">
        <v>78</v>
      </c>
      <c r="E104" s="169">
        <v>43032</v>
      </c>
      <c r="F104" s="170">
        <v>17.2</v>
      </c>
      <c r="G104" s="171" t="s">
        <v>13</v>
      </c>
      <c r="H104" s="168" t="s">
        <v>18</v>
      </c>
      <c r="I104" s="171">
        <v>1</v>
      </c>
      <c r="J104" s="171" t="s">
        <v>15</v>
      </c>
      <c r="K104" s="171" t="s">
        <v>80</v>
      </c>
      <c r="L104" s="168" t="s">
        <v>77</v>
      </c>
      <c r="M104" s="168" t="s">
        <v>18</v>
      </c>
    </row>
    <row r="105" spans="1:13" x14ac:dyDescent="0.2">
      <c r="A105" s="168" t="s">
        <v>74</v>
      </c>
      <c r="B105" s="168" t="s">
        <v>75</v>
      </c>
      <c r="C105" s="168" t="s">
        <v>11</v>
      </c>
      <c r="D105" s="168" t="s">
        <v>78</v>
      </c>
      <c r="E105" s="169">
        <v>43032</v>
      </c>
      <c r="F105" s="170">
        <v>239.70160799999999</v>
      </c>
      <c r="G105" s="171" t="s">
        <v>16</v>
      </c>
      <c r="H105" s="168" t="s">
        <v>18</v>
      </c>
      <c r="I105" s="171">
        <v>1</v>
      </c>
      <c r="J105" s="171" t="s">
        <v>15</v>
      </c>
      <c r="K105" s="171" t="s">
        <v>80</v>
      </c>
      <c r="L105" s="168" t="s">
        <v>77</v>
      </c>
      <c r="M105" s="168" t="s">
        <v>18</v>
      </c>
    </row>
    <row r="106" spans="1:13" x14ac:dyDescent="0.2">
      <c r="A106" s="168" t="s">
        <v>74</v>
      </c>
      <c r="B106" s="168" t="s">
        <v>75</v>
      </c>
      <c r="C106" s="168" t="s">
        <v>11</v>
      </c>
      <c r="D106" s="168" t="s">
        <v>12</v>
      </c>
      <c r="E106" s="169">
        <v>43025</v>
      </c>
      <c r="F106" s="170">
        <v>20</v>
      </c>
      <c r="G106" s="171" t="s">
        <v>13</v>
      </c>
      <c r="H106" s="168" t="s">
        <v>14</v>
      </c>
      <c r="I106" s="171">
        <v>1</v>
      </c>
      <c r="J106" s="171" t="s">
        <v>15</v>
      </c>
      <c r="K106" s="171" t="s">
        <v>80</v>
      </c>
      <c r="L106" s="168" t="s">
        <v>77</v>
      </c>
      <c r="M106" s="168" t="s">
        <v>14</v>
      </c>
    </row>
    <row r="107" spans="1:13" x14ac:dyDescent="0.2">
      <c r="A107" s="168" t="s">
        <v>74</v>
      </c>
      <c r="B107" s="168" t="s">
        <v>75</v>
      </c>
      <c r="C107" s="168" t="s">
        <v>11</v>
      </c>
      <c r="D107" s="168" t="s">
        <v>12</v>
      </c>
      <c r="E107" s="169">
        <v>43025</v>
      </c>
      <c r="F107" s="170">
        <v>277.38839999999999</v>
      </c>
      <c r="G107" s="171" t="s">
        <v>16</v>
      </c>
      <c r="H107" s="168" t="s">
        <v>14</v>
      </c>
      <c r="I107" s="171">
        <v>1</v>
      </c>
      <c r="J107" s="171" t="s">
        <v>15</v>
      </c>
      <c r="K107" s="171" t="s">
        <v>80</v>
      </c>
      <c r="L107" s="168" t="s">
        <v>77</v>
      </c>
      <c r="M107" s="168" t="s">
        <v>14</v>
      </c>
    </row>
    <row r="108" spans="1:13" x14ac:dyDescent="0.2">
      <c r="A108" s="168" t="s">
        <v>74</v>
      </c>
      <c r="B108" s="168" t="s">
        <v>75</v>
      </c>
      <c r="C108" s="168" t="s">
        <v>11</v>
      </c>
      <c r="D108" s="168" t="s">
        <v>78</v>
      </c>
      <c r="E108" s="169">
        <v>43025</v>
      </c>
      <c r="F108" s="170">
        <v>15.7</v>
      </c>
      <c r="G108" s="171" t="s">
        <v>13</v>
      </c>
      <c r="H108" s="168" t="s">
        <v>18</v>
      </c>
      <c r="I108" s="171">
        <v>1</v>
      </c>
      <c r="J108" s="171" t="s">
        <v>15</v>
      </c>
      <c r="K108" s="171" t="s">
        <v>80</v>
      </c>
      <c r="L108" s="168" t="s">
        <v>77</v>
      </c>
      <c r="M108" s="168" t="s">
        <v>18</v>
      </c>
    </row>
    <row r="109" spans="1:13" x14ac:dyDescent="0.2">
      <c r="A109" s="168" t="s">
        <v>74</v>
      </c>
      <c r="B109" s="168" t="s">
        <v>75</v>
      </c>
      <c r="C109" s="168" t="s">
        <v>11</v>
      </c>
      <c r="D109" s="168" t="s">
        <v>78</v>
      </c>
      <c r="E109" s="169">
        <v>43025</v>
      </c>
      <c r="F109" s="170">
        <v>217.74989400000001</v>
      </c>
      <c r="G109" s="171" t="s">
        <v>16</v>
      </c>
      <c r="H109" s="168" t="s">
        <v>18</v>
      </c>
      <c r="I109" s="171">
        <v>1</v>
      </c>
      <c r="J109" s="171" t="s">
        <v>15</v>
      </c>
      <c r="K109" s="171" t="s">
        <v>80</v>
      </c>
      <c r="L109" s="168" t="s">
        <v>77</v>
      </c>
      <c r="M109" s="168" t="s">
        <v>18</v>
      </c>
    </row>
    <row r="110" spans="1:13" x14ac:dyDescent="0.2">
      <c r="A110" s="168" t="s">
        <v>74</v>
      </c>
      <c r="B110" s="168" t="s">
        <v>75</v>
      </c>
      <c r="C110" s="168" t="s">
        <v>11</v>
      </c>
      <c r="D110" s="168" t="s">
        <v>12</v>
      </c>
      <c r="E110" s="169">
        <v>43018</v>
      </c>
      <c r="F110" s="170">
        <v>21.1</v>
      </c>
      <c r="G110" s="171" t="s">
        <v>13</v>
      </c>
      <c r="H110" s="168" t="s">
        <v>14</v>
      </c>
      <c r="I110" s="171">
        <v>1</v>
      </c>
      <c r="J110" s="171" t="s">
        <v>15</v>
      </c>
      <c r="K110" s="171" t="s">
        <v>80</v>
      </c>
      <c r="L110" s="168" t="s">
        <v>77</v>
      </c>
      <c r="M110" s="168" t="s">
        <v>14</v>
      </c>
    </row>
    <row r="111" spans="1:13" x14ac:dyDescent="0.2">
      <c r="A111" s="168" t="s">
        <v>74</v>
      </c>
      <c r="B111" s="168" t="s">
        <v>75</v>
      </c>
      <c r="C111" s="168" t="s">
        <v>11</v>
      </c>
      <c r="D111" s="168" t="s">
        <v>12</v>
      </c>
      <c r="E111" s="169">
        <v>43018</v>
      </c>
      <c r="F111" s="170">
        <v>316.577226</v>
      </c>
      <c r="G111" s="171" t="s">
        <v>16</v>
      </c>
      <c r="H111" s="168" t="s">
        <v>14</v>
      </c>
      <c r="I111" s="171">
        <v>1</v>
      </c>
      <c r="J111" s="171" t="s">
        <v>15</v>
      </c>
      <c r="K111" s="171" t="s">
        <v>80</v>
      </c>
      <c r="L111" s="168" t="s">
        <v>77</v>
      </c>
      <c r="M111" s="168" t="s">
        <v>14</v>
      </c>
    </row>
    <row r="112" spans="1:13" x14ac:dyDescent="0.2">
      <c r="A112" s="168" t="s">
        <v>74</v>
      </c>
      <c r="B112" s="168" t="s">
        <v>75</v>
      </c>
      <c r="C112" s="168" t="s">
        <v>11</v>
      </c>
      <c r="D112" s="168" t="s">
        <v>78</v>
      </c>
      <c r="E112" s="169">
        <v>43018</v>
      </c>
      <c r="F112" s="170">
        <v>14.8</v>
      </c>
      <c r="G112" s="171" t="s">
        <v>13</v>
      </c>
      <c r="H112" s="168" t="s">
        <v>18</v>
      </c>
      <c r="I112" s="171">
        <v>1</v>
      </c>
      <c r="J112" s="171" t="s">
        <v>15</v>
      </c>
      <c r="K112" s="171" t="s">
        <v>80</v>
      </c>
      <c r="L112" s="168" t="s">
        <v>77</v>
      </c>
      <c r="M112" s="168" t="s">
        <v>18</v>
      </c>
    </row>
    <row r="113" spans="1:13" x14ac:dyDescent="0.2">
      <c r="A113" s="168" t="s">
        <v>74</v>
      </c>
      <c r="B113" s="168" t="s">
        <v>75</v>
      </c>
      <c r="C113" s="168" t="s">
        <v>11</v>
      </c>
      <c r="D113" s="168" t="s">
        <v>78</v>
      </c>
      <c r="E113" s="169">
        <v>43018</v>
      </c>
      <c r="F113" s="170">
        <v>222.054168</v>
      </c>
      <c r="G113" s="171" t="s">
        <v>16</v>
      </c>
      <c r="H113" s="168" t="s">
        <v>18</v>
      </c>
      <c r="I113" s="171">
        <v>1</v>
      </c>
      <c r="J113" s="171" t="s">
        <v>15</v>
      </c>
      <c r="K113" s="171" t="s">
        <v>80</v>
      </c>
      <c r="L113" s="168" t="s">
        <v>77</v>
      </c>
      <c r="M113" s="168" t="s">
        <v>18</v>
      </c>
    </row>
    <row r="114" spans="1:13" x14ac:dyDescent="0.2">
      <c r="A114" s="168" t="s">
        <v>74</v>
      </c>
      <c r="B114" s="168" t="s">
        <v>75</v>
      </c>
      <c r="C114" s="168" t="s">
        <v>11</v>
      </c>
      <c r="D114" s="168" t="s">
        <v>12</v>
      </c>
      <c r="E114" s="169">
        <v>43011</v>
      </c>
      <c r="F114" s="170">
        <v>19</v>
      </c>
      <c r="G114" s="171" t="s">
        <v>13</v>
      </c>
      <c r="H114" s="168" t="s">
        <v>14</v>
      </c>
      <c r="I114" s="171">
        <v>1</v>
      </c>
      <c r="J114" s="171" t="s">
        <v>15</v>
      </c>
      <c r="K114" s="171" t="s">
        <v>80</v>
      </c>
      <c r="L114" s="168" t="s">
        <v>77</v>
      </c>
      <c r="M114" s="168" t="s">
        <v>14</v>
      </c>
    </row>
    <row r="115" spans="1:13" x14ac:dyDescent="0.2">
      <c r="A115" s="168" t="s">
        <v>74</v>
      </c>
      <c r="B115" s="168" t="s">
        <v>75</v>
      </c>
      <c r="C115" s="168" t="s">
        <v>11</v>
      </c>
      <c r="D115" s="168" t="s">
        <v>12</v>
      </c>
      <c r="E115" s="169">
        <v>43011</v>
      </c>
      <c r="F115" s="170">
        <v>241.01766000000001</v>
      </c>
      <c r="G115" s="171" t="s">
        <v>16</v>
      </c>
      <c r="H115" s="168" t="s">
        <v>14</v>
      </c>
      <c r="I115" s="171">
        <v>1</v>
      </c>
      <c r="J115" s="171" t="s">
        <v>15</v>
      </c>
      <c r="K115" s="171" t="s">
        <v>80</v>
      </c>
      <c r="L115" s="168" t="s">
        <v>77</v>
      </c>
      <c r="M115" s="168" t="s">
        <v>14</v>
      </c>
    </row>
    <row r="116" spans="1:13" x14ac:dyDescent="0.2">
      <c r="A116" s="168" t="s">
        <v>74</v>
      </c>
      <c r="B116" s="168" t="s">
        <v>75</v>
      </c>
      <c r="C116" s="168" t="s">
        <v>11</v>
      </c>
      <c r="D116" s="168" t="s">
        <v>78</v>
      </c>
      <c r="E116" s="169">
        <v>43011</v>
      </c>
      <c r="F116" s="170">
        <v>18.2</v>
      </c>
      <c r="G116" s="171" t="s">
        <v>13</v>
      </c>
      <c r="H116" s="168" t="s">
        <v>18</v>
      </c>
      <c r="I116" s="171">
        <v>1</v>
      </c>
      <c r="J116" s="171" t="s">
        <v>15</v>
      </c>
      <c r="K116" s="171" t="s">
        <v>80</v>
      </c>
      <c r="L116" s="168" t="s">
        <v>77</v>
      </c>
      <c r="M116" s="168" t="s">
        <v>18</v>
      </c>
    </row>
    <row r="117" spans="1:13" x14ac:dyDescent="0.2">
      <c r="A117" s="168" t="s">
        <v>74</v>
      </c>
      <c r="B117" s="168" t="s">
        <v>75</v>
      </c>
      <c r="C117" s="168" t="s">
        <v>11</v>
      </c>
      <c r="D117" s="168" t="s">
        <v>78</v>
      </c>
      <c r="E117" s="169">
        <v>43011</v>
      </c>
      <c r="F117" s="170">
        <v>230.86954800000001</v>
      </c>
      <c r="G117" s="171" t="s">
        <v>16</v>
      </c>
      <c r="H117" s="168" t="s">
        <v>18</v>
      </c>
      <c r="I117" s="171">
        <v>1</v>
      </c>
      <c r="J117" s="171" t="s">
        <v>15</v>
      </c>
      <c r="K117" s="171" t="s">
        <v>80</v>
      </c>
      <c r="L117" s="168" t="s">
        <v>77</v>
      </c>
      <c r="M117" s="168" t="s">
        <v>18</v>
      </c>
    </row>
    <row r="118" spans="1:13" x14ac:dyDescent="0.2">
      <c r="A118" s="168" t="s">
        <v>74</v>
      </c>
      <c r="B118" s="168" t="s">
        <v>75</v>
      </c>
      <c r="C118" s="168" t="s">
        <v>11</v>
      </c>
      <c r="D118" s="168" t="s">
        <v>12</v>
      </c>
      <c r="E118" s="169">
        <v>43004</v>
      </c>
      <c r="F118" s="170">
        <v>22.5</v>
      </c>
      <c r="G118" s="171" t="s">
        <v>13</v>
      </c>
      <c r="H118" s="168" t="s">
        <v>14</v>
      </c>
      <c r="I118" s="171">
        <v>1</v>
      </c>
      <c r="J118" s="171" t="s">
        <v>15</v>
      </c>
      <c r="K118" s="171" t="s">
        <v>80</v>
      </c>
      <c r="L118" s="168" t="s">
        <v>77</v>
      </c>
      <c r="M118" s="168" t="s">
        <v>14</v>
      </c>
    </row>
    <row r="119" spans="1:13" x14ac:dyDescent="0.2">
      <c r="A119" s="168" t="s">
        <v>74</v>
      </c>
      <c r="B119" s="168" t="s">
        <v>75</v>
      </c>
      <c r="C119" s="168" t="s">
        <v>11</v>
      </c>
      <c r="D119" s="168" t="s">
        <v>12</v>
      </c>
      <c r="E119" s="169">
        <v>43004</v>
      </c>
      <c r="F119" s="170">
        <v>292.3587</v>
      </c>
      <c r="G119" s="171" t="s">
        <v>16</v>
      </c>
      <c r="H119" s="168" t="s">
        <v>14</v>
      </c>
      <c r="I119" s="171">
        <v>1</v>
      </c>
      <c r="J119" s="171" t="s">
        <v>15</v>
      </c>
      <c r="K119" s="171" t="s">
        <v>80</v>
      </c>
      <c r="L119" s="168" t="s">
        <v>77</v>
      </c>
      <c r="M119" s="168" t="s">
        <v>14</v>
      </c>
    </row>
    <row r="120" spans="1:13" x14ac:dyDescent="0.2">
      <c r="A120" s="168" t="s">
        <v>74</v>
      </c>
      <c r="B120" s="168" t="s">
        <v>75</v>
      </c>
      <c r="C120" s="168" t="s">
        <v>11</v>
      </c>
      <c r="D120" s="168" t="s">
        <v>78</v>
      </c>
      <c r="E120" s="169">
        <v>43004</v>
      </c>
      <c r="F120" s="170">
        <v>17.8</v>
      </c>
      <c r="G120" s="171" t="s">
        <v>13</v>
      </c>
      <c r="H120" s="168" t="s">
        <v>18</v>
      </c>
      <c r="I120" s="171">
        <v>1</v>
      </c>
      <c r="J120" s="171" t="s">
        <v>15</v>
      </c>
      <c r="K120" s="171" t="s">
        <v>80</v>
      </c>
      <c r="L120" s="168" t="s">
        <v>77</v>
      </c>
      <c r="M120" s="168" t="s">
        <v>18</v>
      </c>
    </row>
    <row r="121" spans="1:13" x14ac:dyDescent="0.2">
      <c r="A121" s="168" t="s">
        <v>74</v>
      </c>
      <c r="B121" s="168" t="s">
        <v>75</v>
      </c>
      <c r="C121" s="168" t="s">
        <v>11</v>
      </c>
      <c r="D121" s="168" t="s">
        <v>78</v>
      </c>
      <c r="E121" s="169">
        <v>43004</v>
      </c>
      <c r="F121" s="170">
        <v>231.28821600000001</v>
      </c>
      <c r="G121" s="171" t="s">
        <v>16</v>
      </c>
      <c r="H121" s="168" t="s">
        <v>18</v>
      </c>
      <c r="I121" s="171">
        <v>1</v>
      </c>
      <c r="J121" s="171" t="s">
        <v>15</v>
      </c>
      <c r="K121" s="171" t="s">
        <v>80</v>
      </c>
      <c r="L121" s="168" t="s">
        <v>77</v>
      </c>
      <c r="M121" s="168" t="s">
        <v>18</v>
      </c>
    </row>
    <row r="122" spans="1:13" x14ac:dyDescent="0.2">
      <c r="A122" s="168" t="s">
        <v>74</v>
      </c>
      <c r="B122" s="168" t="s">
        <v>75</v>
      </c>
      <c r="C122" s="168" t="s">
        <v>11</v>
      </c>
      <c r="D122" s="168" t="s">
        <v>12</v>
      </c>
      <c r="E122" s="169">
        <v>42997</v>
      </c>
      <c r="F122" s="170">
        <v>23.9</v>
      </c>
      <c r="G122" s="171" t="s">
        <v>13</v>
      </c>
      <c r="H122" s="168" t="s">
        <v>14</v>
      </c>
      <c r="I122" s="171">
        <v>1</v>
      </c>
      <c r="J122" s="171" t="s">
        <v>15</v>
      </c>
      <c r="K122" s="171" t="s">
        <v>80</v>
      </c>
      <c r="L122" s="168" t="s">
        <v>77</v>
      </c>
      <c r="M122" s="168" t="s">
        <v>14</v>
      </c>
    </row>
    <row r="123" spans="1:13" x14ac:dyDescent="0.2">
      <c r="A123" s="168" t="s">
        <v>74</v>
      </c>
      <c r="B123" s="168" t="s">
        <v>75</v>
      </c>
      <c r="C123" s="168" t="s">
        <v>11</v>
      </c>
      <c r="D123" s="168" t="s">
        <v>12</v>
      </c>
      <c r="E123" s="169">
        <v>42997</v>
      </c>
      <c r="F123" s="170">
        <v>299.18832600000002</v>
      </c>
      <c r="G123" s="171" t="s">
        <v>16</v>
      </c>
      <c r="H123" s="168" t="s">
        <v>14</v>
      </c>
      <c r="I123" s="171">
        <v>1</v>
      </c>
      <c r="J123" s="171" t="s">
        <v>15</v>
      </c>
      <c r="K123" s="171" t="s">
        <v>80</v>
      </c>
      <c r="L123" s="168" t="s">
        <v>77</v>
      </c>
      <c r="M123" s="168" t="s">
        <v>14</v>
      </c>
    </row>
    <row r="124" spans="1:13" x14ac:dyDescent="0.2">
      <c r="A124" s="168" t="s">
        <v>74</v>
      </c>
      <c r="B124" s="168" t="s">
        <v>75</v>
      </c>
      <c r="C124" s="168" t="s">
        <v>11</v>
      </c>
      <c r="D124" s="168" t="s">
        <v>78</v>
      </c>
      <c r="E124" s="169">
        <v>42997</v>
      </c>
      <c r="F124" s="170">
        <v>18.600000000000001</v>
      </c>
      <c r="G124" s="171" t="s">
        <v>13</v>
      </c>
      <c r="H124" s="168" t="s">
        <v>18</v>
      </c>
      <c r="I124" s="171">
        <v>1</v>
      </c>
      <c r="J124" s="171" t="s">
        <v>15</v>
      </c>
      <c r="K124" s="171" t="s">
        <v>80</v>
      </c>
      <c r="L124" s="168" t="s">
        <v>77</v>
      </c>
      <c r="M124" s="168" t="s">
        <v>18</v>
      </c>
    </row>
    <row r="125" spans="1:13" x14ac:dyDescent="0.2">
      <c r="A125" s="168" t="s">
        <v>74</v>
      </c>
      <c r="B125" s="168" t="s">
        <v>75</v>
      </c>
      <c r="C125" s="168" t="s">
        <v>11</v>
      </c>
      <c r="D125" s="168" t="s">
        <v>78</v>
      </c>
      <c r="E125" s="169">
        <v>42997</v>
      </c>
      <c r="F125" s="170">
        <v>232.84112400000001</v>
      </c>
      <c r="G125" s="171" t="s">
        <v>16</v>
      </c>
      <c r="H125" s="168" t="s">
        <v>18</v>
      </c>
      <c r="I125" s="171">
        <v>1</v>
      </c>
      <c r="J125" s="171" t="s">
        <v>15</v>
      </c>
      <c r="K125" s="171" t="s">
        <v>80</v>
      </c>
      <c r="L125" s="168" t="s">
        <v>77</v>
      </c>
      <c r="M125" s="168" t="s">
        <v>18</v>
      </c>
    </row>
    <row r="126" spans="1:13" x14ac:dyDescent="0.2">
      <c r="A126" s="168" t="s">
        <v>74</v>
      </c>
      <c r="B126" s="168" t="s">
        <v>75</v>
      </c>
      <c r="C126" s="168" t="s">
        <v>11</v>
      </c>
      <c r="D126" s="168" t="s">
        <v>12</v>
      </c>
      <c r="E126" s="169">
        <v>42990</v>
      </c>
      <c r="F126" s="170">
        <v>22.3</v>
      </c>
      <c r="G126" s="171" t="s">
        <v>13</v>
      </c>
      <c r="H126" s="168" t="s">
        <v>14</v>
      </c>
      <c r="I126" s="171">
        <v>1</v>
      </c>
      <c r="J126" s="171" t="s">
        <v>15</v>
      </c>
      <c r="K126" s="171" t="s">
        <v>80</v>
      </c>
      <c r="L126" s="168" t="s">
        <v>77</v>
      </c>
      <c r="M126" s="168" t="s">
        <v>14</v>
      </c>
    </row>
    <row r="127" spans="1:13" x14ac:dyDescent="0.2">
      <c r="A127" s="168" t="s">
        <v>74</v>
      </c>
      <c r="B127" s="168" t="s">
        <v>75</v>
      </c>
      <c r="C127" s="168" t="s">
        <v>11</v>
      </c>
      <c r="D127" s="168" t="s">
        <v>12</v>
      </c>
      <c r="E127" s="169">
        <v>42990</v>
      </c>
      <c r="F127" s="170">
        <v>287.52817199999998</v>
      </c>
      <c r="G127" s="171" t="s">
        <v>16</v>
      </c>
      <c r="H127" s="168" t="s">
        <v>14</v>
      </c>
      <c r="I127" s="171">
        <v>1</v>
      </c>
      <c r="J127" s="171" t="s">
        <v>15</v>
      </c>
      <c r="K127" s="171" t="s">
        <v>80</v>
      </c>
      <c r="L127" s="168" t="s">
        <v>77</v>
      </c>
      <c r="M127" s="168" t="s">
        <v>14</v>
      </c>
    </row>
    <row r="128" spans="1:13" x14ac:dyDescent="0.2">
      <c r="A128" s="168" t="s">
        <v>74</v>
      </c>
      <c r="B128" s="168" t="s">
        <v>75</v>
      </c>
      <c r="C128" s="168" t="s">
        <v>11</v>
      </c>
      <c r="D128" s="168" t="s">
        <v>78</v>
      </c>
      <c r="E128" s="169">
        <v>42990</v>
      </c>
      <c r="F128" s="170">
        <v>19.2</v>
      </c>
      <c r="G128" s="171" t="s">
        <v>13</v>
      </c>
      <c r="H128" s="168" t="s">
        <v>18</v>
      </c>
      <c r="I128" s="171">
        <v>1</v>
      </c>
      <c r="J128" s="171" t="s">
        <v>15</v>
      </c>
      <c r="K128" s="171" t="s">
        <v>80</v>
      </c>
      <c r="L128" s="168" t="s">
        <v>77</v>
      </c>
      <c r="M128" s="168" t="s">
        <v>18</v>
      </c>
    </row>
    <row r="129" spans="1:13" x14ac:dyDescent="0.2">
      <c r="A129" s="168" t="s">
        <v>74</v>
      </c>
      <c r="B129" s="168" t="s">
        <v>75</v>
      </c>
      <c r="C129" s="168" t="s">
        <v>11</v>
      </c>
      <c r="D129" s="168" t="s">
        <v>78</v>
      </c>
      <c r="E129" s="169">
        <v>42990</v>
      </c>
      <c r="F129" s="170">
        <v>247.55788799999999</v>
      </c>
      <c r="G129" s="171" t="s">
        <v>16</v>
      </c>
      <c r="H129" s="168" t="s">
        <v>18</v>
      </c>
      <c r="I129" s="171">
        <v>1</v>
      </c>
      <c r="J129" s="171" t="s">
        <v>15</v>
      </c>
      <c r="K129" s="171" t="s">
        <v>80</v>
      </c>
      <c r="L129" s="168" t="s">
        <v>77</v>
      </c>
      <c r="M129" s="168" t="s">
        <v>18</v>
      </c>
    </row>
    <row r="130" spans="1:13" x14ac:dyDescent="0.2">
      <c r="A130" s="168" t="s">
        <v>74</v>
      </c>
      <c r="B130" s="168" t="s">
        <v>75</v>
      </c>
      <c r="C130" s="168" t="s">
        <v>11</v>
      </c>
      <c r="D130" s="168" t="s">
        <v>12</v>
      </c>
      <c r="E130" s="169">
        <v>42983</v>
      </c>
      <c r="F130" s="170">
        <v>24</v>
      </c>
      <c r="G130" s="171" t="s">
        <v>13</v>
      </c>
      <c r="H130" s="168" t="s">
        <v>14</v>
      </c>
      <c r="I130" s="171">
        <v>1</v>
      </c>
      <c r="J130" s="171" t="s">
        <v>15</v>
      </c>
      <c r="K130" s="171" t="s">
        <v>80</v>
      </c>
      <c r="L130" s="168" t="s">
        <v>77</v>
      </c>
      <c r="M130" s="168" t="s">
        <v>14</v>
      </c>
    </row>
    <row r="131" spans="1:13" x14ac:dyDescent="0.2">
      <c r="A131" s="168" t="s">
        <v>74</v>
      </c>
      <c r="B131" s="168" t="s">
        <v>75</v>
      </c>
      <c r="C131" s="168" t="s">
        <v>11</v>
      </c>
      <c r="D131" s="168" t="s">
        <v>12</v>
      </c>
      <c r="E131" s="169">
        <v>42983</v>
      </c>
      <c r="F131" s="170">
        <v>316.05264</v>
      </c>
      <c r="G131" s="171" t="s">
        <v>16</v>
      </c>
      <c r="H131" s="168" t="s">
        <v>14</v>
      </c>
      <c r="I131" s="171">
        <v>1</v>
      </c>
      <c r="J131" s="171" t="s">
        <v>15</v>
      </c>
      <c r="K131" s="171" t="s">
        <v>80</v>
      </c>
      <c r="L131" s="168" t="s">
        <v>77</v>
      </c>
      <c r="M131" s="168" t="s">
        <v>14</v>
      </c>
    </row>
    <row r="132" spans="1:13" x14ac:dyDescent="0.2">
      <c r="A132" s="168" t="s">
        <v>74</v>
      </c>
      <c r="B132" s="168" t="s">
        <v>75</v>
      </c>
      <c r="C132" s="168" t="s">
        <v>11</v>
      </c>
      <c r="D132" s="168" t="s">
        <v>78</v>
      </c>
      <c r="E132" s="169">
        <v>42983</v>
      </c>
      <c r="F132" s="170">
        <v>18.5</v>
      </c>
      <c r="G132" s="171" t="s">
        <v>13</v>
      </c>
      <c r="H132" s="168" t="s">
        <v>18</v>
      </c>
      <c r="I132" s="171">
        <v>1</v>
      </c>
      <c r="J132" s="171" t="s">
        <v>15</v>
      </c>
      <c r="K132" s="171" t="s">
        <v>80</v>
      </c>
      <c r="L132" s="168" t="s">
        <v>77</v>
      </c>
      <c r="M132" s="168" t="s">
        <v>18</v>
      </c>
    </row>
    <row r="133" spans="1:13" x14ac:dyDescent="0.2">
      <c r="A133" s="168" t="s">
        <v>74</v>
      </c>
      <c r="B133" s="168" t="s">
        <v>75</v>
      </c>
      <c r="C133" s="168" t="s">
        <v>11</v>
      </c>
      <c r="D133" s="168" t="s">
        <v>78</v>
      </c>
      <c r="E133" s="169">
        <v>42983</v>
      </c>
      <c r="F133" s="170">
        <v>243.62391</v>
      </c>
      <c r="G133" s="171" t="s">
        <v>16</v>
      </c>
      <c r="H133" s="168" t="s">
        <v>18</v>
      </c>
      <c r="I133" s="171">
        <v>1</v>
      </c>
      <c r="J133" s="171" t="s">
        <v>15</v>
      </c>
      <c r="K133" s="171" t="s">
        <v>80</v>
      </c>
      <c r="L133" s="168" t="s">
        <v>77</v>
      </c>
      <c r="M133" s="168" t="s">
        <v>18</v>
      </c>
    </row>
    <row r="134" spans="1:13" x14ac:dyDescent="0.2">
      <c r="A134" s="168" t="s">
        <v>74</v>
      </c>
      <c r="B134" s="168" t="s">
        <v>75</v>
      </c>
      <c r="C134" s="168" t="s">
        <v>11</v>
      </c>
      <c r="D134" s="168" t="s">
        <v>12</v>
      </c>
      <c r="E134" s="169">
        <v>42976</v>
      </c>
      <c r="F134" s="170">
        <v>28.3</v>
      </c>
      <c r="G134" s="171" t="s">
        <v>13</v>
      </c>
      <c r="H134" s="168" t="s">
        <v>14</v>
      </c>
      <c r="I134" s="171">
        <v>1</v>
      </c>
      <c r="J134" s="171" t="s">
        <v>15</v>
      </c>
      <c r="K134" s="171" t="s">
        <v>80</v>
      </c>
      <c r="L134" s="168" t="s">
        <v>77</v>
      </c>
      <c r="M134" s="168" t="s">
        <v>14</v>
      </c>
    </row>
    <row r="135" spans="1:13" x14ac:dyDescent="0.2">
      <c r="A135" s="168" t="s">
        <v>74</v>
      </c>
      <c r="B135" s="168" t="s">
        <v>75</v>
      </c>
      <c r="C135" s="168" t="s">
        <v>11</v>
      </c>
      <c r="D135" s="168" t="s">
        <v>12</v>
      </c>
      <c r="E135" s="169">
        <v>42976</v>
      </c>
      <c r="F135" s="170">
        <v>405.48579599999999</v>
      </c>
      <c r="G135" s="171" t="s">
        <v>16</v>
      </c>
      <c r="H135" s="168" t="s">
        <v>14</v>
      </c>
      <c r="I135" s="171">
        <v>1</v>
      </c>
      <c r="J135" s="171" t="s">
        <v>15</v>
      </c>
      <c r="K135" s="171" t="s">
        <v>80</v>
      </c>
      <c r="L135" s="168" t="s">
        <v>77</v>
      </c>
      <c r="M135" s="168" t="s">
        <v>14</v>
      </c>
    </row>
    <row r="136" spans="1:13" x14ac:dyDescent="0.2">
      <c r="A136" s="168" t="s">
        <v>74</v>
      </c>
      <c r="B136" s="168" t="s">
        <v>75</v>
      </c>
      <c r="C136" s="168" t="s">
        <v>11</v>
      </c>
      <c r="D136" s="168" t="s">
        <v>78</v>
      </c>
      <c r="E136" s="169">
        <v>42976</v>
      </c>
      <c r="F136" s="170">
        <v>18</v>
      </c>
      <c r="G136" s="171" t="s">
        <v>13</v>
      </c>
      <c r="H136" s="168" t="s">
        <v>18</v>
      </c>
      <c r="I136" s="171">
        <v>1</v>
      </c>
      <c r="J136" s="171" t="s">
        <v>15</v>
      </c>
      <c r="K136" s="171" t="s">
        <v>80</v>
      </c>
      <c r="L136" s="168" t="s">
        <v>77</v>
      </c>
      <c r="M136" s="168" t="s">
        <v>18</v>
      </c>
    </row>
    <row r="137" spans="1:13" x14ac:dyDescent="0.2">
      <c r="A137" s="168" t="s">
        <v>74</v>
      </c>
      <c r="B137" s="168" t="s">
        <v>75</v>
      </c>
      <c r="C137" s="168" t="s">
        <v>11</v>
      </c>
      <c r="D137" s="168" t="s">
        <v>78</v>
      </c>
      <c r="E137" s="169">
        <v>42976</v>
      </c>
      <c r="F137" s="170">
        <v>257.90616</v>
      </c>
      <c r="G137" s="171" t="s">
        <v>16</v>
      </c>
      <c r="H137" s="168" t="s">
        <v>18</v>
      </c>
      <c r="I137" s="171">
        <v>1</v>
      </c>
      <c r="J137" s="171" t="s">
        <v>15</v>
      </c>
      <c r="K137" s="171" t="s">
        <v>80</v>
      </c>
      <c r="L137" s="168" t="s">
        <v>77</v>
      </c>
      <c r="M137" s="168" t="s">
        <v>18</v>
      </c>
    </row>
    <row r="138" spans="1:13" x14ac:dyDescent="0.2">
      <c r="A138" s="168" t="s">
        <v>74</v>
      </c>
      <c r="B138" s="168" t="s">
        <v>75</v>
      </c>
      <c r="C138" s="168" t="s">
        <v>11</v>
      </c>
      <c r="D138" s="168" t="s">
        <v>12</v>
      </c>
      <c r="E138" s="169">
        <v>42969</v>
      </c>
      <c r="F138" s="170">
        <v>23.3</v>
      </c>
      <c r="G138" s="171" t="s">
        <v>13</v>
      </c>
      <c r="H138" s="168" t="s">
        <v>14</v>
      </c>
      <c r="I138" s="171">
        <v>1</v>
      </c>
      <c r="J138" s="171" t="s">
        <v>15</v>
      </c>
      <c r="K138" s="171" t="s">
        <v>80</v>
      </c>
      <c r="L138" s="168" t="s">
        <v>77</v>
      </c>
      <c r="M138" s="168" t="s">
        <v>14</v>
      </c>
    </row>
    <row r="139" spans="1:13" x14ac:dyDescent="0.2">
      <c r="A139" s="168" t="s">
        <v>74</v>
      </c>
      <c r="B139" s="168" t="s">
        <v>75</v>
      </c>
      <c r="C139" s="168" t="s">
        <v>11</v>
      </c>
      <c r="D139" s="168" t="s">
        <v>12</v>
      </c>
      <c r="E139" s="169">
        <v>42969</v>
      </c>
      <c r="F139" s="170">
        <v>329.57011199999999</v>
      </c>
      <c r="G139" s="171" t="s">
        <v>16</v>
      </c>
      <c r="H139" s="168" t="s">
        <v>14</v>
      </c>
      <c r="I139" s="171">
        <v>1</v>
      </c>
      <c r="J139" s="171" t="s">
        <v>15</v>
      </c>
      <c r="K139" s="171" t="s">
        <v>80</v>
      </c>
      <c r="L139" s="168" t="s">
        <v>77</v>
      </c>
      <c r="M139" s="168" t="s">
        <v>14</v>
      </c>
    </row>
    <row r="140" spans="1:13" x14ac:dyDescent="0.2">
      <c r="A140" s="168" t="s">
        <v>74</v>
      </c>
      <c r="B140" s="168" t="s">
        <v>75</v>
      </c>
      <c r="C140" s="168" t="s">
        <v>11</v>
      </c>
      <c r="D140" s="168" t="s">
        <v>78</v>
      </c>
      <c r="E140" s="169">
        <v>42969</v>
      </c>
      <c r="F140" s="170">
        <v>15.8</v>
      </c>
      <c r="G140" s="171" t="s">
        <v>13</v>
      </c>
      <c r="H140" s="168" t="s">
        <v>18</v>
      </c>
      <c r="I140" s="171">
        <v>1</v>
      </c>
      <c r="J140" s="171" t="s">
        <v>15</v>
      </c>
      <c r="K140" s="171" t="s">
        <v>80</v>
      </c>
      <c r="L140" s="168" t="s">
        <v>77</v>
      </c>
      <c r="M140" s="168" t="s">
        <v>18</v>
      </c>
    </row>
    <row r="141" spans="1:13" x14ac:dyDescent="0.2">
      <c r="A141" s="168" t="s">
        <v>74</v>
      </c>
      <c r="B141" s="168" t="s">
        <v>75</v>
      </c>
      <c r="C141" s="168" t="s">
        <v>11</v>
      </c>
      <c r="D141" s="168" t="s">
        <v>78</v>
      </c>
      <c r="E141" s="169">
        <v>42969</v>
      </c>
      <c r="F141" s="170">
        <v>223.48531199999999</v>
      </c>
      <c r="G141" s="171" t="s">
        <v>16</v>
      </c>
      <c r="H141" s="168" t="s">
        <v>18</v>
      </c>
      <c r="I141" s="171">
        <v>1</v>
      </c>
      <c r="J141" s="171" t="s">
        <v>15</v>
      </c>
      <c r="K141" s="171" t="s">
        <v>80</v>
      </c>
      <c r="L141" s="168" t="s">
        <v>77</v>
      </c>
      <c r="M141" s="168" t="s">
        <v>18</v>
      </c>
    </row>
    <row r="142" spans="1:13" x14ac:dyDescent="0.2">
      <c r="A142" s="168" t="s">
        <v>74</v>
      </c>
      <c r="B142" s="168" t="s">
        <v>75</v>
      </c>
      <c r="C142" s="168" t="s">
        <v>11</v>
      </c>
      <c r="D142" s="168" t="s">
        <v>12</v>
      </c>
      <c r="E142" s="169">
        <v>42962</v>
      </c>
      <c r="F142" s="170">
        <v>21.2</v>
      </c>
      <c r="G142" s="171" t="s">
        <v>13</v>
      </c>
      <c r="H142" s="168" t="s">
        <v>14</v>
      </c>
      <c r="I142" s="171">
        <v>1</v>
      </c>
      <c r="J142" s="171" t="s">
        <v>15</v>
      </c>
      <c r="K142" s="171" t="s">
        <v>80</v>
      </c>
      <c r="L142" s="168" t="s">
        <v>77</v>
      </c>
      <c r="M142" s="168" t="s">
        <v>14</v>
      </c>
    </row>
    <row r="143" spans="1:13" x14ac:dyDescent="0.2">
      <c r="A143" s="168" t="s">
        <v>74</v>
      </c>
      <c r="B143" s="168" t="s">
        <v>75</v>
      </c>
      <c r="C143" s="168" t="s">
        <v>11</v>
      </c>
      <c r="D143" s="168" t="s">
        <v>12</v>
      </c>
      <c r="E143" s="169">
        <v>42962</v>
      </c>
      <c r="F143" s="170">
        <v>302.69529599999998</v>
      </c>
      <c r="G143" s="171" t="s">
        <v>16</v>
      </c>
      <c r="H143" s="168" t="s">
        <v>14</v>
      </c>
      <c r="I143" s="171">
        <v>1</v>
      </c>
      <c r="J143" s="171" t="s">
        <v>15</v>
      </c>
      <c r="K143" s="171" t="s">
        <v>80</v>
      </c>
      <c r="L143" s="168" t="s">
        <v>77</v>
      </c>
      <c r="M143" s="168" t="s">
        <v>14</v>
      </c>
    </row>
    <row r="144" spans="1:13" x14ac:dyDescent="0.2">
      <c r="A144" s="168" t="s">
        <v>74</v>
      </c>
      <c r="B144" s="168" t="s">
        <v>75</v>
      </c>
      <c r="C144" s="168" t="s">
        <v>11</v>
      </c>
      <c r="D144" s="168" t="s">
        <v>78</v>
      </c>
      <c r="E144" s="169">
        <v>42962</v>
      </c>
      <c r="F144" s="170">
        <v>16</v>
      </c>
      <c r="G144" s="171" t="s">
        <v>13</v>
      </c>
      <c r="H144" s="168" t="s">
        <v>18</v>
      </c>
      <c r="I144" s="171">
        <v>1</v>
      </c>
      <c r="J144" s="171" t="s">
        <v>15</v>
      </c>
      <c r="K144" s="171" t="s">
        <v>80</v>
      </c>
      <c r="L144" s="168" t="s">
        <v>77</v>
      </c>
      <c r="M144" s="168" t="s">
        <v>18</v>
      </c>
    </row>
    <row r="145" spans="1:13" x14ac:dyDescent="0.2">
      <c r="A145" s="168" t="s">
        <v>74</v>
      </c>
      <c r="B145" s="168" t="s">
        <v>75</v>
      </c>
      <c r="C145" s="168" t="s">
        <v>11</v>
      </c>
      <c r="D145" s="168" t="s">
        <v>78</v>
      </c>
      <c r="E145" s="169">
        <v>42962</v>
      </c>
      <c r="F145" s="170">
        <v>228.44927999999999</v>
      </c>
      <c r="G145" s="171" t="s">
        <v>16</v>
      </c>
      <c r="H145" s="168" t="s">
        <v>18</v>
      </c>
      <c r="I145" s="171">
        <v>1</v>
      </c>
      <c r="J145" s="171" t="s">
        <v>15</v>
      </c>
      <c r="K145" s="171" t="s">
        <v>80</v>
      </c>
      <c r="L145" s="168" t="s">
        <v>77</v>
      </c>
      <c r="M145" s="168" t="s">
        <v>18</v>
      </c>
    </row>
    <row r="146" spans="1:13" x14ac:dyDescent="0.2">
      <c r="A146" s="168" t="s">
        <v>74</v>
      </c>
      <c r="B146" s="168" t="s">
        <v>75</v>
      </c>
      <c r="C146" s="168" t="s">
        <v>11</v>
      </c>
      <c r="D146" s="168" t="s">
        <v>12</v>
      </c>
      <c r="E146" s="169">
        <v>42955</v>
      </c>
      <c r="F146" s="170">
        <v>18.600000000000001</v>
      </c>
      <c r="G146" s="171" t="s">
        <v>13</v>
      </c>
      <c r="H146" s="168" t="s">
        <v>14</v>
      </c>
      <c r="I146" s="171">
        <v>1</v>
      </c>
      <c r="J146" s="171" t="s">
        <v>15</v>
      </c>
      <c r="K146" s="171" t="s">
        <v>80</v>
      </c>
      <c r="L146" s="168" t="s">
        <v>77</v>
      </c>
      <c r="M146" s="168" t="s">
        <v>14</v>
      </c>
    </row>
    <row r="147" spans="1:13" x14ac:dyDescent="0.2">
      <c r="A147" s="168" t="s">
        <v>74</v>
      </c>
      <c r="B147" s="168" t="s">
        <v>75</v>
      </c>
      <c r="C147" s="168" t="s">
        <v>11</v>
      </c>
      <c r="D147" s="168" t="s">
        <v>12</v>
      </c>
      <c r="E147" s="169">
        <v>42955</v>
      </c>
      <c r="F147" s="170">
        <v>287.910144</v>
      </c>
      <c r="G147" s="171" t="s">
        <v>16</v>
      </c>
      <c r="H147" s="168" t="s">
        <v>14</v>
      </c>
      <c r="I147" s="171">
        <v>1</v>
      </c>
      <c r="J147" s="171" t="s">
        <v>15</v>
      </c>
      <c r="K147" s="171" t="s">
        <v>80</v>
      </c>
      <c r="L147" s="168" t="s">
        <v>77</v>
      </c>
      <c r="M147" s="168" t="s">
        <v>14</v>
      </c>
    </row>
    <row r="148" spans="1:13" x14ac:dyDescent="0.2">
      <c r="A148" s="168" t="s">
        <v>74</v>
      </c>
      <c r="B148" s="168" t="s">
        <v>75</v>
      </c>
      <c r="C148" s="168" t="s">
        <v>11</v>
      </c>
      <c r="D148" s="168" t="s">
        <v>78</v>
      </c>
      <c r="E148" s="169">
        <v>42955</v>
      </c>
      <c r="F148" s="170">
        <v>14.5</v>
      </c>
      <c r="G148" s="171" t="s">
        <v>13</v>
      </c>
      <c r="H148" s="168" t="s">
        <v>18</v>
      </c>
      <c r="I148" s="171">
        <v>1</v>
      </c>
      <c r="J148" s="171" t="s">
        <v>15</v>
      </c>
      <c r="K148" s="171" t="s">
        <v>80</v>
      </c>
      <c r="L148" s="168" t="s">
        <v>77</v>
      </c>
      <c r="M148" s="168" t="s">
        <v>18</v>
      </c>
    </row>
    <row r="149" spans="1:13" x14ac:dyDescent="0.2">
      <c r="A149" s="168" t="s">
        <v>74</v>
      </c>
      <c r="B149" s="168" t="s">
        <v>75</v>
      </c>
      <c r="C149" s="168" t="s">
        <v>11</v>
      </c>
      <c r="D149" s="168" t="s">
        <v>78</v>
      </c>
      <c r="E149" s="169">
        <v>42955</v>
      </c>
      <c r="F149" s="170">
        <v>224.44607999999999</v>
      </c>
      <c r="G149" s="171" t="s">
        <v>16</v>
      </c>
      <c r="H149" s="168" t="s">
        <v>18</v>
      </c>
      <c r="I149" s="171">
        <v>1</v>
      </c>
      <c r="J149" s="171" t="s">
        <v>15</v>
      </c>
      <c r="K149" s="171" t="s">
        <v>80</v>
      </c>
      <c r="L149" s="168" t="s">
        <v>77</v>
      </c>
      <c r="M149" s="168" t="s">
        <v>18</v>
      </c>
    </row>
    <row r="150" spans="1:13" x14ac:dyDescent="0.2">
      <c r="A150" s="168" t="s">
        <v>74</v>
      </c>
      <c r="B150" s="168" t="s">
        <v>75</v>
      </c>
      <c r="C150" s="168" t="s">
        <v>11</v>
      </c>
      <c r="D150" s="168" t="s">
        <v>12</v>
      </c>
      <c r="E150" s="169">
        <v>42948</v>
      </c>
      <c r="F150" s="170">
        <v>19.600000000000001</v>
      </c>
      <c r="G150" s="171" t="s">
        <v>13</v>
      </c>
      <c r="H150" s="168" t="s">
        <v>14</v>
      </c>
      <c r="I150" s="171">
        <v>1</v>
      </c>
      <c r="J150" s="171" t="s">
        <v>15</v>
      </c>
      <c r="K150" s="171" t="s">
        <v>80</v>
      </c>
      <c r="L150" s="168" t="s">
        <v>77</v>
      </c>
      <c r="M150" s="168" t="s">
        <v>14</v>
      </c>
    </row>
    <row r="151" spans="1:13" x14ac:dyDescent="0.2">
      <c r="A151" s="168" t="s">
        <v>74</v>
      </c>
      <c r="B151" s="168" t="s">
        <v>75</v>
      </c>
      <c r="C151" s="168" t="s">
        <v>11</v>
      </c>
      <c r="D151" s="168" t="s">
        <v>12</v>
      </c>
      <c r="E151" s="169">
        <v>42948</v>
      </c>
      <c r="F151" s="170">
        <v>329.05303199999997</v>
      </c>
      <c r="G151" s="171" t="s">
        <v>16</v>
      </c>
      <c r="H151" s="168" t="s">
        <v>14</v>
      </c>
      <c r="I151" s="171">
        <v>1</v>
      </c>
      <c r="J151" s="171" t="s">
        <v>15</v>
      </c>
      <c r="K151" s="171" t="s">
        <v>80</v>
      </c>
      <c r="L151" s="168" t="s">
        <v>77</v>
      </c>
      <c r="M151" s="168" t="s">
        <v>14</v>
      </c>
    </row>
    <row r="152" spans="1:13" x14ac:dyDescent="0.2">
      <c r="A152" s="168" t="s">
        <v>74</v>
      </c>
      <c r="B152" s="168" t="s">
        <v>75</v>
      </c>
      <c r="C152" s="168" t="s">
        <v>11</v>
      </c>
      <c r="D152" s="168" t="s">
        <v>78</v>
      </c>
      <c r="E152" s="169">
        <v>42948</v>
      </c>
      <c r="F152" s="170">
        <v>13.7</v>
      </c>
      <c r="G152" s="171" t="s">
        <v>13</v>
      </c>
      <c r="H152" s="168" t="s">
        <v>18</v>
      </c>
      <c r="I152" s="171">
        <v>1</v>
      </c>
      <c r="J152" s="171" t="s">
        <v>15</v>
      </c>
      <c r="K152" s="171" t="s">
        <v>80</v>
      </c>
      <c r="L152" s="168" t="s">
        <v>77</v>
      </c>
      <c r="M152" s="168" t="s">
        <v>18</v>
      </c>
    </row>
    <row r="153" spans="1:13" x14ac:dyDescent="0.2">
      <c r="A153" s="168" t="s">
        <v>74</v>
      </c>
      <c r="B153" s="168" t="s">
        <v>75</v>
      </c>
      <c r="C153" s="168" t="s">
        <v>11</v>
      </c>
      <c r="D153" s="168" t="s">
        <v>78</v>
      </c>
      <c r="E153" s="169">
        <v>42948</v>
      </c>
      <c r="F153" s="170">
        <v>230.00135399999999</v>
      </c>
      <c r="G153" s="171" t="s">
        <v>16</v>
      </c>
      <c r="H153" s="168" t="s">
        <v>18</v>
      </c>
      <c r="I153" s="171">
        <v>1</v>
      </c>
      <c r="J153" s="171" t="s">
        <v>15</v>
      </c>
      <c r="K153" s="171" t="s">
        <v>80</v>
      </c>
      <c r="L153" s="168" t="s">
        <v>77</v>
      </c>
      <c r="M153" s="168" t="s">
        <v>18</v>
      </c>
    </row>
    <row r="154" spans="1:13" x14ac:dyDescent="0.2">
      <c r="A154" s="168" t="s">
        <v>74</v>
      </c>
      <c r="B154" s="168" t="s">
        <v>75</v>
      </c>
      <c r="C154" s="168" t="s">
        <v>11</v>
      </c>
      <c r="D154" s="168" t="s">
        <v>12</v>
      </c>
      <c r="E154" s="169">
        <v>42940</v>
      </c>
      <c r="F154" s="170">
        <v>13.5</v>
      </c>
      <c r="G154" s="171" t="s">
        <v>13</v>
      </c>
      <c r="H154" s="168" t="s">
        <v>14</v>
      </c>
      <c r="I154" s="171">
        <v>1</v>
      </c>
      <c r="J154" s="171" t="s">
        <v>15</v>
      </c>
      <c r="K154" s="171" t="s">
        <v>80</v>
      </c>
      <c r="L154" s="168" t="s">
        <v>77</v>
      </c>
      <c r="M154" s="168" t="s">
        <v>14</v>
      </c>
    </row>
    <row r="155" spans="1:13" x14ac:dyDescent="0.2">
      <c r="A155" s="168" t="s">
        <v>74</v>
      </c>
      <c r="B155" s="168" t="s">
        <v>75</v>
      </c>
      <c r="C155" s="168" t="s">
        <v>11</v>
      </c>
      <c r="D155" s="168" t="s">
        <v>12</v>
      </c>
      <c r="E155" s="169">
        <v>42940</v>
      </c>
      <c r="F155" s="170">
        <v>365.69232</v>
      </c>
      <c r="G155" s="171" t="s">
        <v>16</v>
      </c>
      <c r="H155" s="168" t="s">
        <v>14</v>
      </c>
      <c r="I155" s="171">
        <v>1</v>
      </c>
      <c r="J155" s="171" t="s">
        <v>15</v>
      </c>
      <c r="K155" s="171" t="s">
        <v>80</v>
      </c>
      <c r="L155" s="168" t="s">
        <v>77</v>
      </c>
      <c r="M155" s="168" t="s">
        <v>14</v>
      </c>
    </row>
    <row r="156" spans="1:13" x14ac:dyDescent="0.2">
      <c r="A156" s="168" t="s">
        <v>74</v>
      </c>
      <c r="B156" s="168" t="s">
        <v>75</v>
      </c>
      <c r="C156" s="168" t="s">
        <v>11</v>
      </c>
      <c r="D156" s="168" t="s">
        <v>78</v>
      </c>
      <c r="E156" s="169">
        <v>42940</v>
      </c>
      <c r="F156" s="170">
        <v>10.9</v>
      </c>
      <c r="G156" s="171" t="s">
        <v>13</v>
      </c>
      <c r="H156" s="168" t="s">
        <v>18</v>
      </c>
      <c r="I156" s="171">
        <v>3</v>
      </c>
      <c r="J156" s="171" t="s">
        <v>15</v>
      </c>
      <c r="K156" s="171" t="s">
        <v>80</v>
      </c>
      <c r="L156" s="168" t="s">
        <v>77</v>
      </c>
      <c r="M156" s="168" t="s">
        <v>18</v>
      </c>
    </row>
    <row r="157" spans="1:13" x14ac:dyDescent="0.2">
      <c r="A157" s="168" t="s">
        <v>74</v>
      </c>
      <c r="B157" s="168" t="s">
        <v>75</v>
      </c>
      <c r="C157" s="168" t="s">
        <v>11</v>
      </c>
      <c r="D157" s="168" t="s">
        <v>78</v>
      </c>
      <c r="E157" s="169">
        <v>42940</v>
      </c>
      <c r="F157" s="170">
        <v>295.26268800000003</v>
      </c>
      <c r="G157" s="171" t="s">
        <v>16</v>
      </c>
      <c r="H157" s="168" t="s">
        <v>18</v>
      </c>
      <c r="I157" s="171">
        <v>3</v>
      </c>
      <c r="J157" s="171" t="s">
        <v>15</v>
      </c>
      <c r="K157" s="171" t="s">
        <v>80</v>
      </c>
      <c r="L157" s="168" t="s">
        <v>77</v>
      </c>
      <c r="M157" s="168" t="s">
        <v>18</v>
      </c>
    </row>
    <row r="158" spans="1:13" x14ac:dyDescent="0.2">
      <c r="A158" s="168" t="s">
        <v>74</v>
      </c>
      <c r="B158" s="168" t="s">
        <v>75</v>
      </c>
      <c r="C158" s="168" t="s">
        <v>11</v>
      </c>
      <c r="D158" s="168" t="s">
        <v>12</v>
      </c>
      <c r="E158" s="169">
        <v>42934</v>
      </c>
      <c r="F158" s="170">
        <v>15.5</v>
      </c>
      <c r="G158" s="171" t="s">
        <v>13</v>
      </c>
      <c r="H158" s="168" t="s">
        <v>14</v>
      </c>
      <c r="I158" s="171">
        <v>1</v>
      </c>
      <c r="J158" s="171" t="s">
        <v>15</v>
      </c>
      <c r="K158" s="171" t="s">
        <v>80</v>
      </c>
      <c r="L158" s="168" t="s">
        <v>77</v>
      </c>
      <c r="M158" s="168" t="s">
        <v>14</v>
      </c>
    </row>
    <row r="159" spans="1:13" x14ac:dyDescent="0.2">
      <c r="A159" s="168" t="s">
        <v>74</v>
      </c>
      <c r="B159" s="168" t="s">
        <v>75</v>
      </c>
      <c r="C159" s="168" t="s">
        <v>11</v>
      </c>
      <c r="D159" s="168" t="s">
        <v>12</v>
      </c>
      <c r="E159" s="169">
        <v>42934</v>
      </c>
      <c r="F159" s="170">
        <v>212.39061000000001</v>
      </c>
      <c r="G159" s="171" t="s">
        <v>16</v>
      </c>
      <c r="H159" s="168" t="s">
        <v>14</v>
      </c>
      <c r="I159" s="171">
        <v>1</v>
      </c>
      <c r="J159" s="171" t="s">
        <v>15</v>
      </c>
      <c r="K159" s="171" t="s">
        <v>80</v>
      </c>
      <c r="L159" s="168" t="s">
        <v>77</v>
      </c>
      <c r="M159" s="168" t="s">
        <v>14</v>
      </c>
    </row>
    <row r="160" spans="1:13" x14ac:dyDescent="0.2">
      <c r="A160" s="168" t="s">
        <v>74</v>
      </c>
      <c r="B160" s="168" t="s">
        <v>75</v>
      </c>
      <c r="C160" s="168" t="s">
        <v>11</v>
      </c>
      <c r="D160" s="168" t="s">
        <v>78</v>
      </c>
      <c r="E160" s="169">
        <v>42934</v>
      </c>
      <c r="F160" s="170">
        <v>14.6</v>
      </c>
      <c r="G160" s="171" t="s">
        <v>13</v>
      </c>
      <c r="H160" s="168" t="s">
        <v>18</v>
      </c>
      <c r="I160" s="171">
        <v>1</v>
      </c>
      <c r="J160" s="171" t="s">
        <v>15</v>
      </c>
      <c r="K160" s="171" t="s">
        <v>80</v>
      </c>
      <c r="L160" s="168" t="s">
        <v>77</v>
      </c>
      <c r="M160" s="168" t="s">
        <v>18</v>
      </c>
    </row>
    <row r="161" spans="1:13" x14ac:dyDescent="0.2">
      <c r="A161" s="168" t="s">
        <v>74</v>
      </c>
      <c r="B161" s="168" t="s">
        <v>75</v>
      </c>
      <c r="C161" s="168" t="s">
        <v>11</v>
      </c>
      <c r="D161" s="168" t="s">
        <v>78</v>
      </c>
      <c r="E161" s="169">
        <v>42934</v>
      </c>
      <c r="F161" s="170">
        <v>200.05825200000001</v>
      </c>
      <c r="G161" s="171" t="s">
        <v>16</v>
      </c>
      <c r="H161" s="168" t="s">
        <v>18</v>
      </c>
      <c r="I161" s="171">
        <v>1</v>
      </c>
      <c r="J161" s="171" t="s">
        <v>15</v>
      </c>
      <c r="K161" s="171" t="s">
        <v>80</v>
      </c>
      <c r="L161" s="168" t="s">
        <v>77</v>
      </c>
      <c r="M161" s="168" t="s">
        <v>18</v>
      </c>
    </row>
    <row r="162" spans="1:13" x14ac:dyDescent="0.2">
      <c r="A162" s="168" t="s">
        <v>74</v>
      </c>
      <c r="B162" s="168" t="s">
        <v>75</v>
      </c>
      <c r="C162" s="168" t="s">
        <v>11</v>
      </c>
      <c r="D162" s="168" t="s">
        <v>12</v>
      </c>
      <c r="E162" s="169">
        <v>42927</v>
      </c>
      <c r="F162" s="170">
        <v>16.399999999999999</v>
      </c>
      <c r="G162" s="171" t="s">
        <v>13</v>
      </c>
      <c r="H162" s="168" t="s">
        <v>14</v>
      </c>
      <c r="I162" s="171">
        <v>1</v>
      </c>
      <c r="J162" s="171" t="s">
        <v>15</v>
      </c>
      <c r="K162" s="171" t="s">
        <v>80</v>
      </c>
      <c r="L162" s="168" t="s">
        <v>77</v>
      </c>
      <c r="M162" s="168" t="s">
        <v>14</v>
      </c>
    </row>
    <row r="163" spans="1:13" x14ac:dyDescent="0.2">
      <c r="A163" s="168" t="s">
        <v>74</v>
      </c>
      <c r="B163" s="168" t="s">
        <v>75</v>
      </c>
      <c r="C163" s="168" t="s">
        <v>11</v>
      </c>
      <c r="D163" s="168" t="s">
        <v>12</v>
      </c>
      <c r="E163" s="169">
        <v>42927</v>
      </c>
      <c r="F163" s="170">
        <v>232.10887199999999</v>
      </c>
      <c r="G163" s="171" t="s">
        <v>16</v>
      </c>
      <c r="H163" s="168" t="s">
        <v>14</v>
      </c>
      <c r="I163" s="171">
        <v>1</v>
      </c>
      <c r="J163" s="171" t="s">
        <v>15</v>
      </c>
      <c r="K163" s="171" t="s">
        <v>80</v>
      </c>
      <c r="L163" s="168" t="s">
        <v>77</v>
      </c>
      <c r="M163" s="168" t="s">
        <v>14</v>
      </c>
    </row>
    <row r="164" spans="1:13" x14ac:dyDescent="0.2">
      <c r="A164" s="168" t="s">
        <v>74</v>
      </c>
      <c r="B164" s="168" t="s">
        <v>75</v>
      </c>
      <c r="C164" s="168" t="s">
        <v>11</v>
      </c>
      <c r="D164" s="168" t="s">
        <v>78</v>
      </c>
      <c r="E164" s="169">
        <v>42927</v>
      </c>
      <c r="F164" s="170">
        <v>12.8</v>
      </c>
      <c r="G164" s="171" t="s">
        <v>13</v>
      </c>
      <c r="H164" s="168" t="s">
        <v>18</v>
      </c>
      <c r="I164" s="171">
        <v>1</v>
      </c>
      <c r="J164" s="171" t="s">
        <v>15</v>
      </c>
      <c r="K164" s="171" t="s">
        <v>80</v>
      </c>
      <c r="L164" s="168" t="s">
        <v>77</v>
      </c>
      <c r="M164" s="168" t="s">
        <v>18</v>
      </c>
    </row>
    <row r="165" spans="1:13" x14ac:dyDescent="0.2">
      <c r="A165" s="168" t="s">
        <v>74</v>
      </c>
      <c r="B165" s="168" t="s">
        <v>75</v>
      </c>
      <c r="C165" s="168" t="s">
        <v>11</v>
      </c>
      <c r="D165" s="168" t="s">
        <v>78</v>
      </c>
      <c r="E165" s="169">
        <v>42927</v>
      </c>
      <c r="F165" s="170">
        <v>181.15814399999999</v>
      </c>
      <c r="G165" s="171" t="s">
        <v>16</v>
      </c>
      <c r="H165" s="168" t="s">
        <v>18</v>
      </c>
      <c r="I165" s="171">
        <v>1</v>
      </c>
      <c r="J165" s="171" t="s">
        <v>15</v>
      </c>
      <c r="K165" s="171" t="s">
        <v>80</v>
      </c>
      <c r="L165" s="168" t="s">
        <v>77</v>
      </c>
      <c r="M165" s="168" t="s">
        <v>18</v>
      </c>
    </row>
    <row r="166" spans="1:13" x14ac:dyDescent="0.2">
      <c r="A166" s="168" t="s">
        <v>74</v>
      </c>
      <c r="B166" s="168" t="s">
        <v>75</v>
      </c>
      <c r="C166" s="168" t="s">
        <v>11</v>
      </c>
      <c r="D166" s="168" t="s">
        <v>12</v>
      </c>
      <c r="E166" s="169">
        <v>42920</v>
      </c>
      <c r="F166" s="170">
        <v>13.3</v>
      </c>
      <c r="G166" s="171" t="s">
        <v>13</v>
      </c>
      <c r="H166" s="168" t="s">
        <v>14</v>
      </c>
      <c r="I166" s="171">
        <v>1</v>
      </c>
      <c r="J166" s="171" t="s">
        <v>15</v>
      </c>
      <c r="K166" s="171" t="s">
        <v>80</v>
      </c>
      <c r="L166" s="168" t="s">
        <v>77</v>
      </c>
      <c r="M166" s="168" t="s">
        <v>14</v>
      </c>
    </row>
    <row r="167" spans="1:13" x14ac:dyDescent="0.2">
      <c r="A167" s="168" t="s">
        <v>74</v>
      </c>
      <c r="B167" s="168" t="s">
        <v>75</v>
      </c>
      <c r="C167" s="168" t="s">
        <v>11</v>
      </c>
      <c r="D167" s="168" t="s">
        <v>12</v>
      </c>
      <c r="E167" s="169">
        <v>42920</v>
      </c>
      <c r="F167" s="170">
        <v>180.359172</v>
      </c>
      <c r="G167" s="171" t="s">
        <v>16</v>
      </c>
      <c r="H167" s="168" t="s">
        <v>14</v>
      </c>
      <c r="I167" s="171">
        <v>1</v>
      </c>
      <c r="J167" s="171" t="s">
        <v>15</v>
      </c>
      <c r="K167" s="171" t="s">
        <v>80</v>
      </c>
      <c r="L167" s="168" t="s">
        <v>77</v>
      </c>
      <c r="M167" s="168" t="s">
        <v>14</v>
      </c>
    </row>
    <row r="168" spans="1:13" x14ac:dyDescent="0.2">
      <c r="A168" s="168" t="s">
        <v>74</v>
      </c>
      <c r="B168" s="168" t="s">
        <v>75</v>
      </c>
      <c r="C168" s="168" t="s">
        <v>11</v>
      </c>
      <c r="D168" s="168" t="s">
        <v>78</v>
      </c>
      <c r="E168" s="169">
        <v>42920</v>
      </c>
      <c r="F168" s="170">
        <v>14.4</v>
      </c>
      <c r="G168" s="171" t="s">
        <v>13</v>
      </c>
      <c r="H168" s="168" t="s">
        <v>18</v>
      </c>
      <c r="I168" s="171">
        <v>1</v>
      </c>
      <c r="J168" s="171" t="s">
        <v>15</v>
      </c>
      <c r="K168" s="171" t="s">
        <v>80</v>
      </c>
      <c r="L168" s="168" t="s">
        <v>77</v>
      </c>
      <c r="M168" s="168" t="s">
        <v>18</v>
      </c>
    </row>
    <row r="169" spans="1:13" x14ac:dyDescent="0.2">
      <c r="A169" s="168" t="s">
        <v>74</v>
      </c>
      <c r="B169" s="168" t="s">
        <v>75</v>
      </c>
      <c r="C169" s="168" t="s">
        <v>11</v>
      </c>
      <c r="D169" s="168" t="s">
        <v>78</v>
      </c>
      <c r="E169" s="169">
        <v>42920</v>
      </c>
      <c r="F169" s="170">
        <v>195.276096</v>
      </c>
      <c r="G169" s="171" t="s">
        <v>16</v>
      </c>
      <c r="H169" s="168" t="s">
        <v>18</v>
      </c>
      <c r="I169" s="171">
        <v>1</v>
      </c>
      <c r="J169" s="171" t="s">
        <v>15</v>
      </c>
      <c r="K169" s="171" t="s">
        <v>80</v>
      </c>
      <c r="L169" s="168" t="s">
        <v>77</v>
      </c>
      <c r="M169" s="168" t="s">
        <v>18</v>
      </c>
    </row>
    <row r="170" spans="1:13" x14ac:dyDescent="0.2">
      <c r="A170" s="168" t="s">
        <v>74</v>
      </c>
      <c r="B170" s="168" t="s">
        <v>75</v>
      </c>
      <c r="C170" s="168" t="s">
        <v>11</v>
      </c>
      <c r="D170" s="168" t="s">
        <v>12</v>
      </c>
      <c r="E170" s="169">
        <v>42913</v>
      </c>
      <c r="F170" s="170">
        <v>12.2</v>
      </c>
      <c r="G170" s="171" t="s">
        <v>13</v>
      </c>
      <c r="H170" s="168" t="s">
        <v>14</v>
      </c>
      <c r="I170" s="171">
        <v>1</v>
      </c>
      <c r="J170" s="171" t="s">
        <v>15</v>
      </c>
      <c r="K170" s="171" t="s">
        <v>80</v>
      </c>
      <c r="L170" s="168" t="s">
        <v>77</v>
      </c>
      <c r="M170" s="168" t="s">
        <v>14</v>
      </c>
    </row>
    <row r="171" spans="1:13" x14ac:dyDescent="0.2">
      <c r="A171" s="168" t="s">
        <v>74</v>
      </c>
      <c r="B171" s="168" t="s">
        <v>75</v>
      </c>
      <c r="C171" s="168" t="s">
        <v>11</v>
      </c>
      <c r="D171" s="168" t="s">
        <v>12</v>
      </c>
      <c r="E171" s="169">
        <v>42913</v>
      </c>
      <c r="F171" s="170">
        <v>191.59148400000001</v>
      </c>
      <c r="G171" s="171" t="s">
        <v>16</v>
      </c>
      <c r="H171" s="168" t="s">
        <v>14</v>
      </c>
      <c r="I171" s="171">
        <v>1</v>
      </c>
      <c r="J171" s="171" t="s">
        <v>15</v>
      </c>
      <c r="K171" s="171" t="s">
        <v>80</v>
      </c>
      <c r="L171" s="168" t="s">
        <v>77</v>
      </c>
      <c r="M171" s="168" t="s">
        <v>14</v>
      </c>
    </row>
    <row r="172" spans="1:13" x14ac:dyDescent="0.2">
      <c r="A172" s="168" t="s">
        <v>74</v>
      </c>
      <c r="B172" s="168" t="s">
        <v>75</v>
      </c>
      <c r="C172" s="168" t="s">
        <v>11</v>
      </c>
      <c r="D172" s="168" t="s">
        <v>78</v>
      </c>
      <c r="E172" s="169">
        <v>42913</v>
      </c>
      <c r="F172" s="170">
        <v>13.1</v>
      </c>
      <c r="G172" s="171" t="s">
        <v>13</v>
      </c>
      <c r="H172" s="168" t="s">
        <v>18</v>
      </c>
      <c r="I172" s="171">
        <v>1</v>
      </c>
      <c r="J172" s="171" t="s">
        <v>15</v>
      </c>
      <c r="K172" s="171" t="s">
        <v>80</v>
      </c>
      <c r="L172" s="168" t="s">
        <v>77</v>
      </c>
      <c r="M172" s="168" t="s">
        <v>18</v>
      </c>
    </row>
    <row r="173" spans="1:13" x14ac:dyDescent="0.2">
      <c r="A173" s="168" t="s">
        <v>74</v>
      </c>
      <c r="B173" s="168" t="s">
        <v>75</v>
      </c>
      <c r="C173" s="168" t="s">
        <v>11</v>
      </c>
      <c r="D173" s="168" t="s">
        <v>78</v>
      </c>
      <c r="E173" s="169">
        <v>42913</v>
      </c>
      <c r="F173" s="170">
        <v>205.72528199999999</v>
      </c>
      <c r="G173" s="171" t="s">
        <v>16</v>
      </c>
      <c r="H173" s="168" t="s">
        <v>18</v>
      </c>
      <c r="I173" s="171">
        <v>1</v>
      </c>
      <c r="J173" s="171" t="s">
        <v>15</v>
      </c>
      <c r="K173" s="171" t="s">
        <v>80</v>
      </c>
      <c r="L173" s="168" t="s">
        <v>77</v>
      </c>
      <c r="M173" s="168" t="s">
        <v>18</v>
      </c>
    </row>
    <row r="174" spans="1:13" x14ac:dyDescent="0.2">
      <c r="A174" s="168" t="s">
        <v>74</v>
      </c>
      <c r="B174" s="168" t="s">
        <v>75</v>
      </c>
      <c r="C174" s="168" t="s">
        <v>11</v>
      </c>
      <c r="D174" s="168" t="s">
        <v>12</v>
      </c>
      <c r="E174" s="169">
        <v>42906</v>
      </c>
      <c r="F174" s="170">
        <v>16.100000000000001</v>
      </c>
      <c r="G174" s="171" t="s">
        <v>13</v>
      </c>
      <c r="H174" s="168" t="s">
        <v>14</v>
      </c>
      <c r="I174" s="171">
        <v>1</v>
      </c>
      <c r="J174" s="171" t="s">
        <v>15</v>
      </c>
      <c r="K174" s="171" t="s">
        <v>80</v>
      </c>
      <c r="L174" s="168" t="s">
        <v>77</v>
      </c>
      <c r="M174" s="168" t="s">
        <v>14</v>
      </c>
    </row>
    <row r="175" spans="1:13" x14ac:dyDescent="0.2">
      <c r="A175" s="168" t="s">
        <v>74</v>
      </c>
      <c r="B175" s="168" t="s">
        <v>75</v>
      </c>
      <c r="C175" s="168" t="s">
        <v>11</v>
      </c>
      <c r="D175" s="168" t="s">
        <v>12</v>
      </c>
      <c r="E175" s="169">
        <v>42906</v>
      </c>
      <c r="F175" s="170">
        <v>224.103306</v>
      </c>
      <c r="G175" s="171" t="s">
        <v>16</v>
      </c>
      <c r="H175" s="168" t="s">
        <v>14</v>
      </c>
      <c r="I175" s="171">
        <v>1</v>
      </c>
      <c r="J175" s="171" t="s">
        <v>15</v>
      </c>
      <c r="K175" s="171" t="s">
        <v>80</v>
      </c>
      <c r="L175" s="168" t="s">
        <v>77</v>
      </c>
      <c r="M175" s="168" t="s">
        <v>14</v>
      </c>
    </row>
    <row r="176" spans="1:13" x14ac:dyDescent="0.2">
      <c r="A176" s="168" t="s">
        <v>74</v>
      </c>
      <c r="B176" s="168" t="s">
        <v>75</v>
      </c>
      <c r="C176" s="168" t="s">
        <v>11</v>
      </c>
      <c r="D176" s="168" t="s">
        <v>78</v>
      </c>
      <c r="E176" s="169">
        <v>42906</v>
      </c>
      <c r="F176" s="170">
        <v>15.5</v>
      </c>
      <c r="G176" s="171" t="s">
        <v>13</v>
      </c>
      <c r="H176" s="168" t="s">
        <v>18</v>
      </c>
      <c r="I176" s="171">
        <v>1</v>
      </c>
      <c r="J176" s="171" t="s">
        <v>15</v>
      </c>
      <c r="K176" s="171" t="s">
        <v>80</v>
      </c>
      <c r="L176" s="168" t="s">
        <v>77</v>
      </c>
      <c r="M176" s="168" t="s">
        <v>18</v>
      </c>
    </row>
    <row r="177" spans="1:13" x14ac:dyDescent="0.2">
      <c r="A177" s="168" t="s">
        <v>74</v>
      </c>
      <c r="B177" s="168" t="s">
        <v>75</v>
      </c>
      <c r="C177" s="168" t="s">
        <v>11</v>
      </c>
      <c r="D177" s="168" t="s">
        <v>78</v>
      </c>
      <c r="E177" s="169">
        <v>42906</v>
      </c>
      <c r="F177" s="170">
        <v>215.75163000000001</v>
      </c>
      <c r="G177" s="171" t="s">
        <v>16</v>
      </c>
      <c r="H177" s="168" t="s">
        <v>18</v>
      </c>
      <c r="I177" s="171">
        <v>1</v>
      </c>
      <c r="J177" s="171" t="s">
        <v>15</v>
      </c>
      <c r="K177" s="171" t="s">
        <v>80</v>
      </c>
      <c r="L177" s="168" t="s">
        <v>77</v>
      </c>
      <c r="M177" s="168" t="s">
        <v>18</v>
      </c>
    </row>
    <row r="178" spans="1:13" x14ac:dyDescent="0.2">
      <c r="A178" s="168" t="s">
        <v>74</v>
      </c>
      <c r="B178" s="168" t="s">
        <v>75</v>
      </c>
      <c r="C178" s="168" t="s">
        <v>11</v>
      </c>
      <c r="D178" s="168" t="s">
        <v>12</v>
      </c>
      <c r="E178" s="169">
        <v>42899</v>
      </c>
      <c r="F178" s="170">
        <v>17.5</v>
      </c>
      <c r="G178" s="171" t="s">
        <v>13</v>
      </c>
      <c r="H178" s="168" t="s">
        <v>14</v>
      </c>
      <c r="I178" s="171">
        <v>1</v>
      </c>
      <c r="J178" s="171" t="s">
        <v>15</v>
      </c>
      <c r="K178" s="171" t="s">
        <v>80</v>
      </c>
      <c r="L178" s="168" t="s">
        <v>77</v>
      </c>
      <c r="M178" s="168" t="s">
        <v>14</v>
      </c>
    </row>
    <row r="179" spans="1:13" x14ac:dyDescent="0.2">
      <c r="A179" s="168" t="s">
        <v>74</v>
      </c>
      <c r="B179" s="168" t="s">
        <v>75</v>
      </c>
      <c r="C179" s="168" t="s">
        <v>11</v>
      </c>
      <c r="D179" s="168" t="s">
        <v>12</v>
      </c>
      <c r="E179" s="169">
        <v>42899</v>
      </c>
      <c r="F179" s="170">
        <v>259.35315000000003</v>
      </c>
      <c r="G179" s="171" t="s">
        <v>16</v>
      </c>
      <c r="H179" s="168" t="s">
        <v>14</v>
      </c>
      <c r="I179" s="171">
        <v>1</v>
      </c>
      <c r="J179" s="171" t="s">
        <v>15</v>
      </c>
      <c r="K179" s="171" t="s">
        <v>80</v>
      </c>
      <c r="L179" s="168" t="s">
        <v>77</v>
      </c>
      <c r="M179" s="168" t="s">
        <v>14</v>
      </c>
    </row>
    <row r="180" spans="1:13" x14ac:dyDescent="0.2">
      <c r="A180" s="168" t="s">
        <v>74</v>
      </c>
      <c r="B180" s="168" t="s">
        <v>75</v>
      </c>
      <c r="C180" s="168" t="s">
        <v>11</v>
      </c>
      <c r="D180" s="168" t="s">
        <v>78</v>
      </c>
      <c r="E180" s="169">
        <v>42899</v>
      </c>
      <c r="F180" s="170">
        <v>15.4</v>
      </c>
      <c r="G180" s="171" t="s">
        <v>13</v>
      </c>
      <c r="H180" s="168" t="s">
        <v>18</v>
      </c>
      <c r="I180" s="171">
        <v>1</v>
      </c>
      <c r="J180" s="171" t="s">
        <v>15</v>
      </c>
      <c r="K180" s="171" t="s">
        <v>80</v>
      </c>
      <c r="L180" s="168" t="s">
        <v>77</v>
      </c>
      <c r="M180" s="168" t="s">
        <v>18</v>
      </c>
    </row>
    <row r="181" spans="1:13" x14ac:dyDescent="0.2">
      <c r="A181" s="168" t="s">
        <v>74</v>
      </c>
      <c r="B181" s="168" t="s">
        <v>75</v>
      </c>
      <c r="C181" s="168" t="s">
        <v>11</v>
      </c>
      <c r="D181" s="168" t="s">
        <v>78</v>
      </c>
      <c r="E181" s="169">
        <v>42899</v>
      </c>
      <c r="F181" s="170">
        <v>228.230772</v>
      </c>
      <c r="G181" s="171" t="s">
        <v>16</v>
      </c>
      <c r="H181" s="168" t="s">
        <v>18</v>
      </c>
      <c r="I181" s="171">
        <v>1</v>
      </c>
      <c r="J181" s="171" t="s">
        <v>15</v>
      </c>
      <c r="K181" s="171" t="s">
        <v>80</v>
      </c>
      <c r="L181" s="168" t="s">
        <v>77</v>
      </c>
      <c r="M181" s="168" t="s">
        <v>18</v>
      </c>
    </row>
    <row r="182" spans="1:13" x14ac:dyDescent="0.2">
      <c r="A182" s="168" t="s">
        <v>74</v>
      </c>
      <c r="B182" s="168" t="s">
        <v>75</v>
      </c>
      <c r="C182" s="168" t="s">
        <v>11</v>
      </c>
      <c r="D182" s="168" t="s">
        <v>12</v>
      </c>
      <c r="E182" s="169">
        <v>42892</v>
      </c>
      <c r="F182" s="170">
        <v>18.899999999999999</v>
      </c>
      <c r="G182" s="171" t="s">
        <v>13</v>
      </c>
      <c r="H182" s="168" t="s">
        <v>14</v>
      </c>
      <c r="I182" s="171">
        <v>1</v>
      </c>
      <c r="J182" s="171" t="s">
        <v>15</v>
      </c>
      <c r="K182" s="171" t="s">
        <v>80</v>
      </c>
      <c r="L182" s="168" t="s">
        <v>77</v>
      </c>
      <c r="M182" s="168" t="s">
        <v>14</v>
      </c>
    </row>
    <row r="183" spans="1:13" x14ac:dyDescent="0.2">
      <c r="A183" s="168" t="s">
        <v>74</v>
      </c>
      <c r="B183" s="168" t="s">
        <v>75</v>
      </c>
      <c r="C183" s="168" t="s">
        <v>11</v>
      </c>
      <c r="D183" s="168" t="s">
        <v>12</v>
      </c>
      <c r="E183" s="169">
        <v>42892</v>
      </c>
      <c r="F183" s="170">
        <v>310.68084599999997</v>
      </c>
      <c r="G183" s="171" t="s">
        <v>16</v>
      </c>
      <c r="H183" s="168" t="s">
        <v>14</v>
      </c>
      <c r="I183" s="171">
        <v>1</v>
      </c>
      <c r="J183" s="171" t="s">
        <v>15</v>
      </c>
      <c r="K183" s="171" t="s">
        <v>80</v>
      </c>
      <c r="L183" s="168" t="s">
        <v>77</v>
      </c>
      <c r="M183" s="168" t="s">
        <v>14</v>
      </c>
    </row>
    <row r="184" spans="1:13" x14ac:dyDescent="0.2">
      <c r="A184" s="168" t="s">
        <v>74</v>
      </c>
      <c r="B184" s="168" t="s">
        <v>75</v>
      </c>
      <c r="C184" s="168" t="s">
        <v>11</v>
      </c>
      <c r="D184" s="168" t="s">
        <v>78</v>
      </c>
      <c r="E184" s="169">
        <v>42892</v>
      </c>
      <c r="F184" s="170">
        <v>14</v>
      </c>
      <c r="G184" s="171" t="s">
        <v>13</v>
      </c>
      <c r="H184" s="168" t="s">
        <v>18</v>
      </c>
      <c r="I184" s="171">
        <v>1</v>
      </c>
      <c r="J184" s="171" t="s">
        <v>15</v>
      </c>
      <c r="K184" s="171" t="s">
        <v>80</v>
      </c>
      <c r="L184" s="168" t="s">
        <v>77</v>
      </c>
      <c r="M184" s="168" t="s">
        <v>18</v>
      </c>
    </row>
    <row r="185" spans="1:13" x14ac:dyDescent="0.2">
      <c r="A185" s="168" t="s">
        <v>74</v>
      </c>
      <c r="B185" s="168" t="s">
        <v>75</v>
      </c>
      <c r="C185" s="168" t="s">
        <v>11</v>
      </c>
      <c r="D185" s="168" t="s">
        <v>78</v>
      </c>
      <c r="E185" s="169">
        <v>42892</v>
      </c>
      <c r="F185" s="170">
        <v>230.13396</v>
      </c>
      <c r="G185" s="171" t="s">
        <v>16</v>
      </c>
      <c r="H185" s="168" t="s">
        <v>18</v>
      </c>
      <c r="I185" s="171">
        <v>1</v>
      </c>
      <c r="J185" s="171" t="s">
        <v>15</v>
      </c>
      <c r="K185" s="171" t="s">
        <v>80</v>
      </c>
      <c r="L185" s="168" t="s">
        <v>77</v>
      </c>
      <c r="M185" s="168" t="s">
        <v>18</v>
      </c>
    </row>
    <row r="186" spans="1:13" x14ac:dyDescent="0.2">
      <c r="A186" s="168" t="s">
        <v>74</v>
      </c>
      <c r="B186" s="168" t="s">
        <v>75</v>
      </c>
      <c r="C186" s="168" t="s">
        <v>11</v>
      </c>
      <c r="D186" s="168" t="s">
        <v>12</v>
      </c>
      <c r="E186" s="169">
        <v>42885</v>
      </c>
      <c r="F186" s="170">
        <v>18.100000000000001</v>
      </c>
      <c r="G186" s="171" t="s">
        <v>13</v>
      </c>
      <c r="H186" s="168" t="s">
        <v>14</v>
      </c>
      <c r="I186" s="171">
        <v>1</v>
      </c>
      <c r="J186" s="171" t="s">
        <v>15</v>
      </c>
      <c r="K186" s="171" t="s">
        <v>80</v>
      </c>
      <c r="L186" s="168" t="s">
        <v>77</v>
      </c>
      <c r="M186" s="168" t="s">
        <v>14</v>
      </c>
    </row>
    <row r="187" spans="1:13" x14ac:dyDescent="0.2">
      <c r="A187" s="168" t="s">
        <v>74</v>
      </c>
      <c r="B187" s="168" t="s">
        <v>75</v>
      </c>
      <c r="C187" s="168" t="s">
        <v>11</v>
      </c>
      <c r="D187" s="168" t="s">
        <v>12</v>
      </c>
      <c r="E187" s="169">
        <v>42885</v>
      </c>
      <c r="F187" s="170">
        <v>326.06063999999998</v>
      </c>
      <c r="G187" s="171" t="s">
        <v>16</v>
      </c>
      <c r="H187" s="168" t="s">
        <v>14</v>
      </c>
      <c r="I187" s="171">
        <v>1</v>
      </c>
      <c r="J187" s="171" t="s">
        <v>15</v>
      </c>
      <c r="K187" s="171" t="s">
        <v>80</v>
      </c>
      <c r="L187" s="168" t="s">
        <v>77</v>
      </c>
      <c r="M187" s="168" t="s">
        <v>14</v>
      </c>
    </row>
    <row r="188" spans="1:13" x14ac:dyDescent="0.2">
      <c r="A188" s="168" t="s">
        <v>74</v>
      </c>
      <c r="B188" s="168" t="s">
        <v>75</v>
      </c>
      <c r="C188" s="168" t="s">
        <v>11</v>
      </c>
      <c r="D188" s="168" t="s">
        <v>78</v>
      </c>
      <c r="E188" s="169">
        <v>42885</v>
      </c>
      <c r="F188" s="170">
        <v>17</v>
      </c>
      <c r="G188" s="171" t="s">
        <v>13</v>
      </c>
      <c r="H188" s="168" t="s">
        <v>18</v>
      </c>
      <c r="I188" s="171">
        <v>1</v>
      </c>
      <c r="J188" s="171" t="s">
        <v>15</v>
      </c>
      <c r="K188" s="171" t="s">
        <v>80</v>
      </c>
      <c r="L188" s="168" t="s">
        <v>77</v>
      </c>
      <c r="M188" s="168" t="s">
        <v>18</v>
      </c>
    </row>
    <row r="189" spans="1:13" x14ac:dyDescent="0.2">
      <c r="A189" s="168" t="s">
        <v>74</v>
      </c>
      <c r="B189" s="168" t="s">
        <v>75</v>
      </c>
      <c r="C189" s="168" t="s">
        <v>11</v>
      </c>
      <c r="D189" s="168" t="s">
        <v>78</v>
      </c>
      <c r="E189" s="169">
        <v>42885</v>
      </c>
      <c r="F189" s="170">
        <v>306.2448</v>
      </c>
      <c r="G189" s="171" t="s">
        <v>16</v>
      </c>
      <c r="H189" s="168" t="s">
        <v>18</v>
      </c>
      <c r="I189" s="171">
        <v>1</v>
      </c>
      <c r="J189" s="171" t="s">
        <v>15</v>
      </c>
      <c r="K189" s="171" t="s">
        <v>80</v>
      </c>
      <c r="L189" s="168" t="s">
        <v>77</v>
      </c>
      <c r="M189" s="168" t="s">
        <v>18</v>
      </c>
    </row>
    <row r="190" spans="1:13" x14ac:dyDescent="0.2">
      <c r="A190" s="168" t="s">
        <v>74</v>
      </c>
      <c r="B190" s="168" t="s">
        <v>75</v>
      </c>
      <c r="C190" s="168" t="s">
        <v>11</v>
      </c>
      <c r="D190" s="168" t="s">
        <v>12</v>
      </c>
      <c r="E190" s="169">
        <v>42878</v>
      </c>
      <c r="F190" s="170">
        <v>18.5</v>
      </c>
      <c r="G190" s="171" t="s">
        <v>13</v>
      </c>
      <c r="H190" s="168" t="s">
        <v>14</v>
      </c>
      <c r="I190" s="171">
        <v>1</v>
      </c>
      <c r="J190" s="171" t="s">
        <v>15</v>
      </c>
      <c r="K190" s="171" t="s">
        <v>80</v>
      </c>
      <c r="L190" s="168" t="s">
        <v>77</v>
      </c>
      <c r="M190" s="168" t="s">
        <v>14</v>
      </c>
    </row>
    <row r="191" spans="1:13" x14ac:dyDescent="0.2">
      <c r="A191" s="168" t="s">
        <v>74</v>
      </c>
      <c r="B191" s="168" t="s">
        <v>75</v>
      </c>
      <c r="C191" s="168" t="s">
        <v>11</v>
      </c>
      <c r="D191" s="168" t="s">
        <v>12</v>
      </c>
      <c r="E191" s="169">
        <v>42878</v>
      </c>
      <c r="F191" s="170">
        <v>442.19513999999998</v>
      </c>
      <c r="G191" s="171" t="s">
        <v>16</v>
      </c>
      <c r="H191" s="168" t="s">
        <v>14</v>
      </c>
      <c r="I191" s="171">
        <v>1</v>
      </c>
      <c r="J191" s="171" t="s">
        <v>15</v>
      </c>
      <c r="K191" s="171" t="s">
        <v>80</v>
      </c>
      <c r="L191" s="168" t="s">
        <v>77</v>
      </c>
      <c r="M191" s="168" t="s">
        <v>14</v>
      </c>
    </row>
    <row r="192" spans="1:13" x14ac:dyDescent="0.2">
      <c r="A192" s="168" t="s">
        <v>74</v>
      </c>
      <c r="B192" s="168" t="s">
        <v>75</v>
      </c>
      <c r="C192" s="168" t="s">
        <v>11</v>
      </c>
      <c r="D192" s="168" t="s">
        <v>78</v>
      </c>
      <c r="E192" s="169">
        <v>42878</v>
      </c>
      <c r="F192" s="170">
        <v>15.8</v>
      </c>
      <c r="G192" s="171" t="s">
        <v>13</v>
      </c>
      <c r="H192" s="168" t="s">
        <v>18</v>
      </c>
      <c r="I192" s="171">
        <v>3</v>
      </c>
      <c r="J192" s="171" t="s">
        <v>15</v>
      </c>
      <c r="K192" s="171" t="s">
        <v>80</v>
      </c>
      <c r="L192" s="168" t="s">
        <v>79</v>
      </c>
      <c r="M192" s="168" t="s">
        <v>18</v>
      </c>
    </row>
    <row r="193" spans="1:13" x14ac:dyDescent="0.2">
      <c r="A193" s="168" t="s">
        <v>74</v>
      </c>
      <c r="B193" s="168" t="s">
        <v>75</v>
      </c>
      <c r="C193" s="168" t="s">
        <v>11</v>
      </c>
      <c r="D193" s="168" t="s">
        <v>78</v>
      </c>
      <c r="E193" s="169">
        <v>42878</v>
      </c>
      <c r="F193" s="170">
        <v>377.65855199999999</v>
      </c>
      <c r="G193" s="171" t="s">
        <v>16</v>
      </c>
      <c r="H193" s="168" t="s">
        <v>18</v>
      </c>
      <c r="I193" s="171">
        <v>3</v>
      </c>
      <c r="J193" s="171" t="s">
        <v>15</v>
      </c>
      <c r="K193" s="171" t="s">
        <v>80</v>
      </c>
      <c r="L193" s="168" t="s">
        <v>79</v>
      </c>
      <c r="M193" s="168" t="s">
        <v>18</v>
      </c>
    </row>
    <row r="194" spans="1:13" x14ac:dyDescent="0.2">
      <c r="A194" s="168" t="s">
        <v>74</v>
      </c>
      <c r="B194" s="168" t="s">
        <v>75</v>
      </c>
      <c r="C194" s="168" t="s">
        <v>11</v>
      </c>
      <c r="D194" s="168" t="s">
        <v>12</v>
      </c>
      <c r="E194" s="169">
        <v>42871</v>
      </c>
      <c r="F194" s="170">
        <v>14.7</v>
      </c>
      <c r="G194" s="171" t="s">
        <v>13</v>
      </c>
      <c r="H194" s="168" t="s">
        <v>14</v>
      </c>
      <c r="I194" s="171">
        <v>1</v>
      </c>
      <c r="J194" s="171" t="s">
        <v>15</v>
      </c>
      <c r="K194" s="171" t="s">
        <v>80</v>
      </c>
      <c r="L194" s="168" t="s">
        <v>77</v>
      </c>
      <c r="M194" s="168" t="s">
        <v>14</v>
      </c>
    </row>
    <row r="195" spans="1:13" x14ac:dyDescent="0.2">
      <c r="A195" s="168" t="s">
        <v>74</v>
      </c>
      <c r="B195" s="168" t="s">
        <v>75</v>
      </c>
      <c r="C195" s="168" t="s">
        <v>11</v>
      </c>
      <c r="D195" s="168" t="s">
        <v>12</v>
      </c>
      <c r="E195" s="169">
        <v>42871</v>
      </c>
      <c r="F195" s="170">
        <v>282.46579200000002</v>
      </c>
      <c r="G195" s="171" t="s">
        <v>16</v>
      </c>
      <c r="H195" s="168" t="s">
        <v>14</v>
      </c>
      <c r="I195" s="171">
        <v>1</v>
      </c>
      <c r="J195" s="171" t="s">
        <v>15</v>
      </c>
      <c r="K195" s="171" t="s">
        <v>80</v>
      </c>
      <c r="L195" s="168" t="s">
        <v>77</v>
      </c>
      <c r="M195" s="168" t="s">
        <v>14</v>
      </c>
    </row>
    <row r="196" spans="1:13" x14ac:dyDescent="0.2">
      <c r="A196" s="168" t="s">
        <v>74</v>
      </c>
      <c r="B196" s="168" t="s">
        <v>75</v>
      </c>
      <c r="C196" s="168" t="s">
        <v>11</v>
      </c>
      <c r="D196" s="168" t="s">
        <v>78</v>
      </c>
      <c r="E196" s="169">
        <v>42871</v>
      </c>
      <c r="F196" s="170">
        <v>16.100000000000001</v>
      </c>
      <c r="G196" s="171" t="s">
        <v>13</v>
      </c>
      <c r="H196" s="168" t="s">
        <v>18</v>
      </c>
      <c r="I196" s="171">
        <v>1</v>
      </c>
      <c r="J196" s="171" t="s">
        <v>15</v>
      </c>
      <c r="K196" s="171" t="s">
        <v>80</v>
      </c>
      <c r="L196" s="168" t="s">
        <v>77</v>
      </c>
      <c r="M196" s="168" t="s">
        <v>18</v>
      </c>
    </row>
    <row r="197" spans="1:13" x14ac:dyDescent="0.2">
      <c r="A197" s="168" t="s">
        <v>74</v>
      </c>
      <c r="B197" s="168" t="s">
        <v>75</v>
      </c>
      <c r="C197" s="168" t="s">
        <v>11</v>
      </c>
      <c r="D197" s="168" t="s">
        <v>78</v>
      </c>
      <c r="E197" s="169">
        <v>42871</v>
      </c>
      <c r="F197" s="170">
        <v>309.36729600000001</v>
      </c>
      <c r="G197" s="171" t="s">
        <v>16</v>
      </c>
      <c r="H197" s="168" t="s">
        <v>18</v>
      </c>
      <c r="I197" s="171">
        <v>1</v>
      </c>
      <c r="J197" s="171" t="s">
        <v>15</v>
      </c>
      <c r="K197" s="171" t="s">
        <v>80</v>
      </c>
      <c r="L197" s="168" t="s">
        <v>77</v>
      </c>
      <c r="M197" s="168" t="s">
        <v>18</v>
      </c>
    </row>
    <row r="198" spans="1:13" x14ac:dyDescent="0.2">
      <c r="A198" s="168" t="s">
        <v>74</v>
      </c>
      <c r="B198" s="168" t="s">
        <v>75</v>
      </c>
      <c r="C198" s="168" t="s">
        <v>11</v>
      </c>
      <c r="D198" s="168" t="s">
        <v>12</v>
      </c>
      <c r="E198" s="169">
        <v>42864</v>
      </c>
      <c r="F198" s="170">
        <v>17.2</v>
      </c>
      <c r="G198" s="171" t="s">
        <v>13</v>
      </c>
      <c r="H198" s="168" t="s">
        <v>14</v>
      </c>
      <c r="I198" s="171">
        <v>1</v>
      </c>
      <c r="J198" s="171" t="s">
        <v>15</v>
      </c>
      <c r="K198" s="171" t="s">
        <v>80</v>
      </c>
      <c r="L198" s="168" t="s">
        <v>77</v>
      </c>
      <c r="M198" s="168" t="s">
        <v>14</v>
      </c>
    </row>
    <row r="199" spans="1:13" x14ac:dyDescent="0.2">
      <c r="A199" s="168" t="s">
        <v>74</v>
      </c>
      <c r="B199" s="168" t="s">
        <v>75</v>
      </c>
      <c r="C199" s="168" t="s">
        <v>11</v>
      </c>
      <c r="D199" s="168" t="s">
        <v>12</v>
      </c>
      <c r="E199" s="169">
        <v>42864</v>
      </c>
      <c r="F199" s="170">
        <v>323.47523999999999</v>
      </c>
      <c r="G199" s="171" t="s">
        <v>16</v>
      </c>
      <c r="H199" s="168" t="s">
        <v>14</v>
      </c>
      <c r="I199" s="171">
        <v>1</v>
      </c>
      <c r="J199" s="171" t="s">
        <v>15</v>
      </c>
      <c r="K199" s="171" t="s">
        <v>80</v>
      </c>
      <c r="L199" s="168" t="s">
        <v>77</v>
      </c>
      <c r="M199" s="168" t="s">
        <v>14</v>
      </c>
    </row>
    <row r="200" spans="1:13" x14ac:dyDescent="0.2">
      <c r="A200" s="168" t="s">
        <v>74</v>
      </c>
      <c r="B200" s="168" t="s">
        <v>75</v>
      </c>
      <c r="C200" s="168" t="s">
        <v>11</v>
      </c>
      <c r="D200" s="168" t="s">
        <v>78</v>
      </c>
      <c r="E200" s="169">
        <v>42864</v>
      </c>
      <c r="F200" s="170">
        <v>16.100000000000001</v>
      </c>
      <c r="G200" s="171" t="s">
        <v>13</v>
      </c>
      <c r="H200" s="168" t="s">
        <v>18</v>
      </c>
      <c r="I200" s="171">
        <v>1</v>
      </c>
      <c r="J200" s="171" t="s">
        <v>15</v>
      </c>
      <c r="K200" s="171" t="s">
        <v>80</v>
      </c>
      <c r="L200" s="168" t="s">
        <v>77</v>
      </c>
      <c r="M200" s="168" t="s">
        <v>18</v>
      </c>
    </row>
    <row r="201" spans="1:13" x14ac:dyDescent="0.2">
      <c r="A201" s="168" t="s">
        <v>74</v>
      </c>
      <c r="B201" s="168" t="s">
        <v>75</v>
      </c>
      <c r="C201" s="168" t="s">
        <v>11</v>
      </c>
      <c r="D201" s="168" t="s">
        <v>78</v>
      </c>
      <c r="E201" s="169">
        <v>42864</v>
      </c>
      <c r="F201" s="170">
        <v>302.78787</v>
      </c>
      <c r="G201" s="171" t="s">
        <v>16</v>
      </c>
      <c r="H201" s="168" t="s">
        <v>18</v>
      </c>
      <c r="I201" s="171">
        <v>1</v>
      </c>
      <c r="J201" s="171" t="s">
        <v>15</v>
      </c>
      <c r="K201" s="171" t="s">
        <v>80</v>
      </c>
      <c r="L201" s="168" t="s">
        <v>77</v>
      </c>
      <c r="M201" s="168" t="s">
        <v>18</v>
      </c>
    </row>
    <row r="202" spans="1:13" x14ac:dyDescent="0.2">
      <c r="A202" s="168" t="s">
        <v>74</v>
      </c>
      <c r="B202" s="168" t="s">
        <v>75</v>
      </c>
      <c r="C202" s="168" t="s">
        <v>11</v>
      </c>
      <c r="D202" s="168" t="s">
        <v>12</v>
      </c>
      <c r="E202" s="169">
        <v>42857</v>
      </c>
      <c r="F202" s="170">
        <v>13.7</v>
      </c>
      <c r="G202" s="171" t="s">
        <v>13</v>
      </c>
      <c r="H202" s="168" t="s">
        <v>14</v>
      </c>
      <c r="I202" s="171">
        <v>1</v>
      </c>
      <c r="J202" s="171" t="s">
        <v>15</v>
      </c>
      <c r="K202" s="171" t="s">
        <v>80</v>
      </c>
      <c r="L202" s="168" t="s">
        <v>77</v>
      </c>
      <c r="M202" s="168" t="s">
        <v>14</v>
      </c>
    </row>
    <row r="203" spans="1:13" x14ac:dyDescent="0.2">
      <c r="A203" s="168" t="s">
        <v>74</v>
      </c>
      <c r="B203" s="168" t="s">
        <v>75</v>
      </c>
      <c r="C203" s="168" t="s">
        <v>11</v>
      </c>
      <c r="D203" s="168" t="s">
        <v>12</v>
      </c>
      <c r="E203" s="169">
        <v>42857</v>
      </c>
      <c r="F203" s="170">
        <v>302.89795800000002</v>
      </c>
      <c r="G203" s="171" t="s">
        <v>16</v>
      </c>
      <c r="H203" s="168" t="s">
        <v>14</v>
      </c>
      <c r="I203" s="171">
        <v>1</v>
      </c>
      <c r="J203" s="171" t="s">
        <v>15</v>
      </c>
      <c r="K203" s="171" t="s">
        <v>80</v>
      </c>
      <c r="L203" s="168" t="s">
        <v>77</v>
      </c>
      <c r="M203" s="168" t="s">
        <v>14</v>
      </c>
    </row>
    <row r="204" spans="1:13" x14ac:dyDescent="0.2">
      <c r="A204" s="168" t="s">
        <v>74</v>
      </c>
      <c r="B204" s="168" t="s">
        <v>75</v>
      </c>
      <c r="C204" s="168" t="s">
        <v>11</v>
      </c>
      <c r="D204" s="168" t="s">
        <v>78</v>
      </c>
      <c r="E204" s="169">
        <v>42857</v>
      </c>
      <c r="F204" s="170">
        <v>15.4</v>
      </c>
      <c r="G204" s="171" t="s">
        <v>13</v>
      </c>
      <c r="H204" s="168" t="s">
        <v>18</v>
      </c>
      <c r="I204" s="171">
        <v>3</v>
      </c>
      <c r="J204" s="171" t="s">
        <v>15</v>
      </c>
      <c r="K204" s="171" t="s">
        <v>80</v>
      </c>
      <c r="L204" s="168" t="s">
        <v>79</v>
      </c>
      <c r="M204" s="168" t="s">
        <v>18</v>
      </c>
    </row>
    <row r="205" spans="1:13" x14ac:dyDescent="0.2">
      <c r="A205" s="168" t="s">
        <v>74</v>
      </c>
      <c r="B205" s="168" t="s">
        <v>75</v>
      </c>
      <c r="C205" s="168" t="s">
        <v>11</v>
      </c>
      <c r="D205" s="168" t="s">
        <v>78</v>
      </c>
      <c r="E205" s="169">
        <v>42857</v>
      </c>
      <c r="F205" s="170">
        <v>340.483836</v>
      </c>
      <c r="G205" s="171" t="s">
        <v>16</v>
      </c>
      <c r="H205" s="168" t="s">
        <v>18</v>
      </c>
      <c r="I205" s="171">
        <v>3</v>
      </c>
      <c r="J205" s="171" t="s">
        <v>15</v>
      </c>
      <c r="K205" s="171" t="s">
        <v>80</v>
      </c>
      <c r="L205" s="168" t="s">
        <v>79</v>
      </c>
      <c r="M205" s="168" t="s">
        <v>18</v>
      </c>
    </row>
    <row r="206" spans="1:13" x14ac:dyDescent="0.2">
      <c r="A206" s="168" t="s">
        <v>74</v>
      </c>
      <c r="B206" s="168" t="s">
        <v>75</v>
      </c>
      <c r="C206" s="168" t="s">
        <v>11</v>
      </c>
      <c r="D206" s="168" t="s">
        <v>12</v>
      </c>
      <c r="E206" s="169">
        <v>42850</v>
      </c>
      <c r="F206" s="170">
        <v>15.7</v>
      </c>
      <c r="G206" s="171" t="s">
        <v>13</v>
      </c>
      <c r="H206" s="168" t="s">
        <v>14</v>
      </c>
      <c r="I206" s="171">
        <v>1</v>
      </c>
      <c r="J206" s="171" t="s">
        <v>15</v>
      </c>
      <c r="K206" s="171" t="s">
        <v>76</v>
      </c>
      <c r="L206" s="168" t="s">
        <v>77</v>
      </c>
    </row>
    <row r="207" spans="1:13" x14ac:dyDescent="0.2">
      <c r="A207" s="168" t="s">
        <v>74</v>
      </c>
      <c r="B207" s="168" t="s">
        <v>75</v>
      </c>
      <c r="C207" s="168" t="s">
        <v>11</v>
      </c>
      <c r="D207" s="168" t="s">
        <v>12</v>
      </c>
      <c r="E207" s="169">
        <v>42850</v>
      </c>
      <c r="F207" s="170">
        <v>361.91263199999997</v>
      </c>
      <c r="G207" s="171" t="s">
        <v>16</v>
      </c>
      <c r="H207" s="168" t="s">
        <v>14</v>
      </c>
      <c r="I207" s="171">
        <v>1</v>
      </c>
      <c r="J207" s="171" t="s">
        <v>15</v>
      </c>
      <c r="K207" s="171" t="s">
        <v>76</v>
      </c>
      <c r="L207" s="168" t="s">
        <v>77</v>
      </c>
    </row>
    <row r="208" spans="1:13" x14ac:dyDescent="0.2">
      <c r="A208" s="168" t="s">
        <v>74</v>
      </c>
      <c r="B208" s="168" t="s">
        <v>75</v>
      </c>
      <c r="C208" s="168" t="s">
        <v>11</v>
      </c>
      <c r="D208" s="168" t="s">
        <v>78</v>
      </c>
      <c r="E208" s="169">
        <v>42850</v>
      </c>
      <c r="F208" s="170">
        <v>13.1</v>
      </c>
      <c r="G208" s="171" t="s">
        <v>13</v>
      </c>
      <c r="H208" s="168" t="s">
        <v>18</v>
      </c>
      <c r="I208" s="171">
        <v>3</v>
      </c>
      <c r="J208" s="171" t="s">
        <v>15</v>
      </c>
      <c r="K208" s="171" t="s">
        <v>76</v>
      </c>
      <c r="L208" s="168" t="s">
        <v>79</v>
      </c>
    </row>
    <row r="209" spans="1:12" x14ac:dyDescent="0.2">
      <c r="A209" s="168" t="s">
        <v>74</v>
      </c>
      <c r="B209" s="168" t="s">
        <v>75</v>
      </c>
      <c r="C209" s="168" t="s">
        <v>11</v>
      </c>
      <c r="D209" s="168" t="s">
        <v>78</v>
      </c>
      <c r="E209" s="169">
        <v>42850</v>
      </c>
      <c r="F209" s="170">
        <v>301.97805599999998</v>
      </c>
      <c r="G209" s="171" t="s">
        <v>16</v>
      </c>
      <c r="H209" s="168" t="s">
        <v>18</v>
      </c>
      <c r="I209" s="171">
        <v>3</v>
      </c>
      <c r="J209" s="171" t="s">
        <v>15</v>
      </c>
      <c r="K209" s="171" t="s">
        <v>76</v>
      </c>
      <c r="L209" s="168" t="s">
        <v>79</v>
      </c>
    </row>
    <row r="210" spans="1:12" x14ac:dyDescent="0.2">
      <c r="A210" s="168" t="s">
        <v>74</v>
      </c>
      <c r="B210" s="168" t="s">
        <v>75</v>
      </c>
      <c r="C210" s="168" t="s">
        <v>11</v>
      </c>
      <c r="D210" s="168" t="s">
        <v>12</v>
      </c>
      <c r="E210" s="169">
        <v>42843</v>
      </c>
      <c r="F210" s="170">
        <v>15.5</v>
      </c>
      <c r="G210" s="171" t="s">
        <v>13</v>
      </c>
      <c r="H210" s="168" t="s">
        <v>14</v>
      </c>
      <c r="I210" s="171">
        <v>1</v>
      </c>
      <c r="J210" s="171" t="s">
        <v>15</v>
      </c>
      <c r="K210" s="171" t="s">
        <v>76</v>
      </c>
      <c r="L210" s="168" t="s">
        <v>77</v>
      </c>
    </row>
    <row r="211" spans="1:12" x14ac:dyDescent="0.2">
      <c r="A211" s="168" t="s">
        <v>74</v>
      </c>
      <c r="B211" s="168" t="s">
        <v>75</v>
      </c>
      <c r="C211" s="168" t="s">
        <v>11</v>
      </c>
      <c r="D211" s="168" t="s">
        <v>12</v>
      </c>
      <c r="E211" s="169">
        <v>42843</v>
      </c>
      <c r="F211" s="170">
        <v>343.98746999999997</v>
      </c>
      <c r="G211" s="171" t="s">
        <v>16</v>
      </c>
      <c r="H211" s="168" t="s">
        <v>14</v>
      </c>
      <c r="I211" s="171">
        <v>1</v>
      </c>
      <c r="J211" s="171" t="s">
        <v>15</v>
      </c>
      <c r="K211" s="171" t="s">
        <v>76</v>
      </c>
      <c r="L211" s="168" t="s">
        <v>77</v>
      </c>
    </row>
    <row r="212" spans="1:12" x14ac:dyDescent="0.2">
      <c r="A212" s="168" t="s">
        <v>74</v>
      </c>
      <c r="B212" s="168" t="s">
        <v>75</v>
      </c>
      <c r="C212" s="168" t="s">
        <v>11</v>
      </c>
      <c r="D212" s="168" t="s">
        <v>78</v>
      </c>
      <c r="E212" s="169">
        <v>42843</v>
      </c>
      <c r="F212" s="170">
        <v>12.5</v>
      </c>
      <c r="G212" s="171" t="s">
        <v>13</v>
      </c>
      <c r="H212" s="168" t="s">
        <v>18</v>
      </c>
      <c r="I212" s="171">
        <v>3</v>
      </c>
      <c r="J212" s="171" t="s">
        <v>15</v>
      </c>
      <c r="K212" s="171" t="s">
        <v>76</v>
      </c>
      <c r="L212" s="168" t="s">
        <v>79</v>
      </c>
    </row>
    <row r="213" spans="1:12" x14ac:dyDescent="0.2">
      <c r="A213" s="168" t="s">
        <v>74</v>
      </c>
      <c r="B213" s="168" t="s">
        <v>75</v>
      </c>
      <c r="C213" s="168" t="s">
        <v>11</v>
      </c>
      <c r="D213" s="168" t="s">
        <v>78</v>
      </c>
      <c r="E213" s="169">
        <v>42843</v>
      </c>
      <c r="F213" s="170">
        <v>277.40924999999999</v>
      </c>
      <c r="G213" s="171" t="s">
        <v>16</v>
      </c>
      <c r="H213" s="168" t="s">
        <v>18</v>
      </c>
      <c r="I213" s="171">
        <v>3</v>
      </c>
      <c r="J213" s="171" t="s">
        <v>15</v>
      </c>
      <c r="K213" s="171" t="s">
        <v>76</v>
      </c>
      <c r="L213" s="168" t="s">
        <v>79</v>
      </c>
    </row>
    <row r="214" spans="1:12" x14ac:dyDescent="0.2">
      <c r="A214" s="168" t="s">
        <v>74</v>
      </c>
      <c r="B214" s="168" t="s">
        <v>75</v>
      </c>
      <c r="C214" s="168" t="s">
        <v>11</v>
      </c>
      <c r="D214" s="168" t="s">
        <v>12</v>
      </c>
      <c r="E214" s="169">
        <v>42836</v>
      </c>
      <c r="F214" s="170">
        <v>19.7</v>
      </c>
      <c r="G214" s="171" t="s">
        <v>13</v>
      </c>
      <c r="H214" s="168" t="s">
        <v>14</v>
      </c>
      <c r="I214" s="171">
        <v>1</v>
      </c>
      <c r="J214" s="171" t="s">
        <v>15</v>
      </c>
      <c r="K214" s="171" t="s">
        <v>76</v>
      </c>
      <c r="L214" s="168" t="s">
        <v>77</v>
      </c>
    </row>
    <row r="215" spans="1:12" x14ac:dyDescent="0.2">
      <c r="A215" s="168" t="s">
        <v>74</v>
      </c>
      <c r="B215" s="168" t="s">
        <v>75</v>
      </c>
      <c r="C215" s="168" t="s">
        <v>11</v>
      </c>
      <c r="D215" s="168" t="s">
        <v>12</v>
      </c>
      <c r="E215" s="169">
        <v>42836</v>
      </c>
      <c r="F215" s="170">
        <v>402.69439799999998</v>
      </c>
      <c r="G215" s="171" t="s">
        <v>16</v>
      </c>
      <c r="H215" s="168" t="s">
        <v>14</v>
      </c>
      <c r="I215" s="171">
        <v>1</v>
      </c>
      <c r="J215" s="171" t="s">
        <v>15</v>
      </c>
      <c r="K215" s="171" t="s">
        <v>76</v>
      </c>
      <c r="L215" s="168" t="s">
        <v>77</v>
      </c>
    </row>
    <row r="216" spans="1:12" x14ac:dyDescent="0.2">
      <c r="A216" s="168" t="s">
        <v>74</v>
      </c>
      <c r="B216" s="168" t="s">
        <v>75</v>
      </c>
      <c r="C216" s="168" t="s">
        <v>11</v>
      </c>
      <c r="D216" s="168" t="s">
        <v>78</v>
      </c>
      <c r="E216" s="169">
        <v>42836</v>
      </c>
      <c r="F216" s="170">
        <v>14.2</v>
      </c>
      <c r="G216" s="171" t="s">
        <v>13</v>
      </c>
      <c r="H216" s="168" t="s">
        <v>18</v>
      </c>
      <c r="I216" s="171">
        <v>3</v>
      </c>
      <c r="J216" s="171" t="s">
        <v>15</v>
      </c>
      <c r="K216" s="171" t="s">
        <v>76</v>
      </c>
      <c r="L216" s="168" t="s">
        <v>79</v>
      </c>
    </row>
    <row r="217" spans="1:12" x14ac:dyDescent="0.2">
      <c r="A217" s="168" t="s">
        <v>74</v>
      </c>
      <c r="B217" s="168" t="s">
        <v>75</v>
      </c>
      <c r="C217" s="168" t="s">
        <v>11</v>
      </c>
      <c r="D217" s="168" t="s">
        <v>78</v>
      </c>
      <c r="E217" s="169">
        <v>42836</v>
      </c>
      <c r="F217" s="170">
        <v>290.26702799999998</v>
      </c>
      <c r="G217" s="171" t="s">
        <v>16</v>
      </c>
      <c r="H217" s="168" t="s">
        <v>18</v>
      </c>
      <c r="I217" s="171">
        <v>3</v>
      </c>
      <c r="J217" s="171" t="s">
        <v>15</v>
      </c>
      <c r="K217" s="171" t="s">
        <v>76</v>
      </c>
      <c r="L217" s="168" t="s">
        <v>79</v>
      </c>
    </row>
    <row r="218" spans="1:12" x14ac:dyDescent="0.2">
      <c r="A218" s="168" t="s">
        <v>74</v>
      </c>
      <c r="B218" s="168" t="s">
        <v>75</v>
      </c>
      <c r="C218" s="168" t="s">
        <v>11</v>
      </c>
      <c r="D218" s="168" t="s">
        <v>12</v>
      </c>
      <c r="E218" s="169">
        <v>42829</v>
      </c>
      <c r="F218" s="170">
        <v>15.3</v>
      </c>
      <c r="G218" s="171" t="s">
        <v>13</v>
      </c>
      <c r="H218" s="168" t="s">
        <v>14</v>
      </c>
      <c r="I218" s="171">
        <v>1</v>
      </c>
      <c r="J218" s="171" t="s">
        <v>15</v>
      </c>
      <c r="K218" s="171" t="s">
        <v>76</v>
      </c>
      <c r="L218" s="168" t="s">
        <v>77</v>
      </c>
    </row>
    <row r="219" spans="1:12" x14ac:dyDescent="0.2">
      <c r="A219" s="168" t="s">
        <v>74</v>
      </c>
      <c r="B219" s="168" t="s">
        <v>75</v>
      </c>
      <c r="C219" s="168" t="s">
        <v>11</v>
      </c>
      <c r="D219" s="168" t="s">
        <v>12</v>
      </c>
      <c r="E219" s="169">
        <v>42829</v>
      </c>
      <c r="F219" s="170">
        <v>423.25583399999999</v>
      </c>
      <c r="G219" s="171" t="s">
        <v>16</v>
      </c>
      <c r="H219" s="168" t="s">
        <v>14</v>
      </c>
      <c r="I219" s="171">
        <v>1</v>
      </c>
      <c r="J219" s="171" t="s">
        <v>15</v>
      </c>
      <c r="K219" s="171" t="s">
        <v>76</v>
      </c>
      <c r="L219" s="168" t="s">
        <v>77</v>
      </c>
    </row>
    <row r="220" spans="1:12" x14ac:dyDescent="0.2">
      <c r="A220" s="168" t="s">
        <v>74</v>
      </c>
      <c r="B220" s="168" t="s">
        <v>75</v>
      </c>
      <c r="C220" s="168" t="s">
        <v>11</v>
      </c>
      <c r="D220" s="168" t="s">
        <v>78</v>
      </c>
      <c r="E220" s="169">
        <v>42829</v>
      </c>
      <c r="F220" s="170">
        <v>11.2</v>
      </c>
      <c r="G220" s="171" t="s">
        <v>13</v>
      </c>
      <c r="H220" s="168" t="s">
        <v>18</v>
      </c>
      <c r="I220" s="171">
        <v>3</v>
      </c>
      <c r="J220" s="171" t="s">
        <v>15</v>
      </c>
      <c r="K220" s="171" t="s">
        <v>76</v>
      </c>
      <c r="L220" s="168" t="s">
        <v>79</v>
      </c>
    </row>
    <row r="221" spans="1:12" x14ac:dyDescent="0.2">
      <c r="A221" s="168" t="s">
        <v>74</v>
      </c>
      <c r="B221" s="168" t="s">
        <v>75</v>
      </c>
      <c r="C221" s="168" t="s">
        <v>11</v>
      </c>
      <c r="D221" s="168" t="s">
        <v>78</v>
      </c>
      <c r="E221" s="169">
        <v>42829</v>
      </c>
      <c r="F221" s="170">
        <v>309.83433600000001</v>
      </c>
      <c r="G221" s="171" t="s">
        <v>16</v>
      </c>
      <c r="H221" s="168" t="s">
        <v>18</v>
      </c>
      <c r="I221" s="171">
        <v>3</v>
      </c>
      <c r="J221" s="171" t="s">
        <v>15</v>
      </c>
      <c r="K221" s="171" t="s">
        <v>76</v>
      </c>
      <c r="L221" s="168" t="s">
        <v>79</v>
      </c>
    </row>
    <row r="222" spans="1:12" x14ac:dyDescent="0.2">
      <c r="A222" s="168" t="s">
        <v>74</v>
      </c>
      <c r="B222" s="168" t="s">
        <v>75</v>
      </c>
      <c r="C222" s="168" t="s">
        <v>11</v>
      </c>
      <c r="D222" s="168" t="s">
        <v>12</v>
      </c>
      <c r="E222" s="169">
        <v>42822</v>
      </c>
      <c r="F222" s="170">
        <v>14.4</v>
      </c>
      <c r="G222" s="171" t="s">
        <v>13</v>
      </c>
      <c r="H222" s="168" t="s">
        <v>14</v>
      </c>
      <c r="I222" s="171">
        <v>1</v>
      </c>
      <c r="J222" s="171" t="s">
        <v>15</v>
      </c>
      <c r="K222" s="171" t="s">
        <v>76</v>
      </c>
      <c r="L222" s="168" t="s">
        <v>77</v>
      </c>
    </row>
    <row r="223" spans="1:12" x14ac:dyDescent="0.2">
      <c r="A223" s="168" t="s">
        <v>74</v>
      </c>
      <c r="B223" s="168" t="s">
        <v>75</v>
      </c>
      <c r="C223" s="168" t="s">
        <v>11</v>
      </c>
      <c r="D223" s="168" t="s">
        <v>12</v>
      </c>
      <c r="E223" s="169">
        <v>42822</v>
      </c>
      <c r="F223" s="170">
        <v>267.81407999999999</v>
      </c>
      <c r="G223" s="171" t="s">
        <v>16</v>
      </c>
      <c r="H223" s="168" t="s">
        <v>14</v>
      </c>
      <c r="I223" s="171">
        <v>1</v>
      </c>
      <c r="J223" s="171" t="s">
        <v>15</v>
      </c>
      <c r="K223" s="171" t="s">
        <v>76</v>
      </c>
      <c r="L223" s="168" t="s">
        <v>77</v>
      </c>
    </row>
    <row r="224" spans="1:12" x14ac:dyDescent="0.2">
      <c r="A224" s="168" t="s">
        <v>74</v>
      </c>
      <c r="B224" s="168" t="s">
        <v>75</v>
      </c>
      <c r="C224" s="168" t="s">
        <v>11</v>
      </c>
      <c r="D224" s="168" t="s">
        <v>78</v>
      </c>
      <c r="E224" s="169">
        <v>42822</v>
      </c>
      <c r="F224" s="170">
        <v>12.7</v>
      </c>
      <c r="G224" s="171" t="s">
        <v>13</v>
      </c>
      <c r="H224" s="168" t="s">
        <v>18</v>
      </c>
      <c r="I224" s="171">
        <v>3</v>
      </c>
      <c r="J224" s="171" t="s">
        <v>15</v>
      </c>
      <c r="K224" s="171" t="s">
        <v>76</v>
      </c>
      <c r="L224" s="168" t="s">
        <v>79</v>
      </c>
    </row>
    <row r="225" spans="1:12" x14ac:dyDescent="0.2">
      <c r="A225" s="168" t="s">
        <v>74</v>
      </c>
      <c r="B225" s="168" t="s">
        <v>75</v>
      </c>
      <c r="C225" s="168" t="s">
        <v>11</v>
      </c>
      <c r="D225" s="168" t="s">
        <v>78</v>
      </c>
      <c r="E225" s="169">
        <v>42822</v>
      </c>
      <c r="F225" s="170">
        <v>236.19713999999999</v>
      </c>
      <c r="G225" s="171" t="s">
        <v>16</v>
      </c>
      <c r="H225" s="168" t="s">
        <v>18</v>
      </c>
      <c r="I225" s="171">
        <v>3</v>
      </c>
      <c r="J225" s="171" t="s">
        <v>15</v>
      </c>
      <c r="K225" s="171" t="s">
        <v>76</v>
      </c>
      <c r="L225" s="168" t="s">
        <v>79</v>
      </c>
    </row>
    <row r="226" spans="1:12" x14ac:dyDescent="0.2">
      <c r="A226" s="168" t="s">
        <v>74</v>
      </c>
      <c r="B226" s="168" t="s">
        <v>75</v>
      </c>
      <c r="C226" s="168" t="s">
        <v>11</v>
      </c>
      <c r="D226" s="168" t="s">
        <v>12</v>
      </c>
      <c r="E226" s="169">
        <v>42815</v>
      </c>
      <c r="F226" s="170">
        <v>17.8</v>
      </c>
      <c r="G226" s="171" t="s">
        <v>13</v>
      </c>
      <c r="H226" s="168" t="s">
        <v>14</v>
      </c>
      <c r="I226" s="171">
        <v>1</v>
      </c>
      <c r="J226" s="171" t="s">
        <v>15</v>
      </c>
      <c r="K226" s="171" t="s">
        <v>76</v>
      </c>
      <c r="L226" s="168" t="s">
        <v>77</v>
      </c>
    </row>
    <row r="227" spans="1:12" x14ac:dyDescent="0.2">
      <c r="A227" s="168" t="s">
        <v>74</v>
      </c>
      <c r="B227" s="168" t="s">
        <v>75</v>
      </c>
      <c r="C227" s="168" t="s">
        <v>11</v>
      </c>
      <c r="D227" s="168" t="s">
        <v>12</v>
      </c>
      <c r="E227" s="169">
        <v>42815</v>
      </c>
      <c r="F227" s="170">
        <v>325.703688</v>
      </c>
      <c r="G227" s="171" t="s">
        <v>16</v>
      </c>
      <c r="H227" s="168" t="s">
        <v>14</v>
      </c>
      <c r="I227" s="171">
        <v>1</v>
      </c>
      <c r="J227" s="171" t="s">
        <v>15</v>
      </c>
      <c r="K227" s="171" t="s">
        <v>76</v>
      </c>
      <c r="L227" s="168" t="s">
        <v>77</v>
      </c>
    </row>
    <row r="228" spans="1:12" x14ac:dyDescent="0.2">
      <c r="A228" s="168" t="s">
        <v>74</v>
      </c>
      <c r="B228" s="168" t="s">
        <v>75</v>
      </c>
      <c r="C228" s="168" t="s">
        <v>11</v>
      </c>
      <c r="D228" s="168" t="s">
        <v>78</v>
      </c>
      <c r="E228" s="169">
        <v>42815</v>
      </c>
      <c r="F228" s="170">
        <v>14.3</v>
      </c>
      <c r="G228" s="171" t="s">
        <v>13</v>
      </c>
      <c r="H228" s="168" t="s">
        <v>18</v>
      </c>
      <c r="I228" s="171">
        <v>1</v>
      </c>
      <c r="J228" s="171" t="s">
        <v>15</v>
      </c>
      <c r="K228" s="171" t="s">
        <v>76</v>
      </c>
      <c r="L228" s="168" t="s">
        <v>77</v>
      </c>
    </row>
    <row r="229" spans="1:12" x14ac:dyDescent="0.2">
      <c r="A229" s="168" t="s">
        <v>74</v>
      </c>
      <c r="B229" s="168" t="s">
        <v>75</v>
      </c>
      <c r="C229" s="168" t="s">
        <v>11</v>
      </c>
      <c r="D229" s="168" t="s">
        <v>78</v>
      </c>
      <c r="E229" s="169">
        <v>42815</v>
      </c>
      <c r="F229" s="170">
        <v>261.66082799999998</v>
      </c>
      <c r="G229" s="171" t="s">
        <v>16</v>
      </c>
      <c r="H229" s="168" t="s">
        <v>18</v>
      </c>
      <c r="I229" s="171">
        <v>1</v>
      </c>
      <c r="J229" s="171" t="s">
        <v>15</v>
      </c>
      <c r="K229" s="171" t="s">
        <v>76</v>
      </c>
      <c r="L229" s="168" t="s">
        <v>77</v>
      </c>
    </row>
    <row r="230" spans="1:12" x14ac:dyDescent="0.2">
      <c r="A230" s="168" t="s">
        <v>74</v>
      </c>
      <c r="B230" s="168" t="s">
        <v>75</v>
      </c>
      <c r="C230" s="168" t="s">
        <v>11</v>
      </c>
      <c r="D230" s="168" t="s">
        <v>12</v>
      </c>
      <c r="E230" s="169">
        <v>42808</v>
      </c>
      <c r="F230" s="170">
        <v>20</v>
      </c>
      <c r="G230" s="171" t="s">
        <v>13</v>
      </c>
      <c r="H230" s="168" t="s">
        <v>14</v>
      </c>
      <c r="I230" s="171">
        <v>1</v>
      </c>
      <c r="J230" s="171" t="s">
        <v>15</v>
      </c>
      <c r="K230" s="171" t="s">
        <v>76</v>
      </c>
      <c r="L230" s="168" t="s">
        <v>77</v>
      </c>
    </row>
    <row r="231" spans="1:12" x14ac:dyDescent="0.2">
      <c r="A231" s="168" t="s">
        <v>74</v>
      </c>
      <c r="B231" s="168" t="s">
        <v>75</v>
      </c>
      <c r="C231" s="168" t="s">
        <v>11</v>
      </c>
      <c r="D231" s="168" t="s">
        <v>12</v>
      </c>
      <c r="E231" s="169">
        <v>42808</v>
      </c>
      <c r="F231" s="170">
        <v>397.31760000000003</v>
      </c>
      <c r="G231" s="171" t="s">
        <v>16</v>
      </c>
      <c r="H231" s="168" t="s">
        <v>14</v>
      </c>
      <c r="I231" s="171">
        <v>1</v>
      </c>
      <c r="J231" s="171" t="s">
        <v>15</v>
      </c>
      <c r="K231" s="171" t="s">
        <v>76</v>
      </c>
      <c r="L231" s="168" t="s">
        <v>77</v>
      </c>
    </row>
    <row r="232" spans="1:12" x14ac:dyDescent="0.2">
      <c r="A232" s="168" t="s">
        <v>74</v>
      </c>
      <c r="B232" s="168" t="s">
        <v>75</v>
      </c>
      <c r="C232" s="168" t="s">
        <v>11</v>
      </c>
      <c r="D232" s="168" t="s">
        <v>78</v>
      </c>
      <c r="E232" s="169">
        <v>42808</v>
      </c>
      <c r="F232" s="170">
        <v>13.6</v>
      </c>
      <c r="G232" s="171" t="s">
        <v>13</v>
      </c>
      <c r="H232" s="168" t="s">
        <v>18</v>
      </c>
      <c r="I232" s="171">
        <v>3</v>
      </c>
      <c r="J232" s="171" t="s">
        <v>15</v>
      </c>
      <c r="K232" s="171" t="s">
        <v>76</v>
      </c>
      <c r="L232" s="168" t="s">
        <v>79</v>
      </c>
    </row>
    <row r="233" spans="1:12" x14ac:dyDescent="0.2">
      <c r="A233" s="168" t="s">
        <v>74</v>
      </c>
      <c r="B233" s="168" t="s">
        <v>75</v>
      </c>
      <c r="C233" s="168" t="s">
        <v>11</v>
      </c>
      <c r="D233" s="168" t="s">
        <v>78</v>
      </c>
      <c r="E233" s="169">
        <v>42808</v>
      </c>
      <c r="F233" s="170">
        <v>270.17596800000001</v>
      </c>
      <c r="G233" s="171" t="s">
        <v>16</v>
      </c>
      <c r="H233" s="168" t="s">
        <v>18</v>
      </c>
      <c r="I233" s="171">
        <v>3</v>
      </c>
      <c r="J233" s="171" t="s">
        <v>15</v>
      </c>
      <c r="K233" s="171" t="s">
        <v>76</v>
      </c>
      <c r="L233" s="168" t="s">
        <v>79</v>
      </c>
    </row>
    <row r="234" spans="1:12" x14ac:dyDescent="0.2">
      <c r="A234" s="168" t="s">
        <v>74</v>
      </c>
      <c r="B234" s="168" t="s">
        <v>75</v>
      </c>
      <c r="C234" s="168" t="s">
        <v>11</v>
      </c>
      <c r="D234" s="168" t="s">
        <v>12</v>
      </c>
      <c r="E234" s="169">
        <v>42801</v>
      </c>
      <c r="F234" s="229">
        <v>28</v>
      </c>
      <c r="G234" s="171" t="s">
        <v>13</v>
      </c>
      <c r="H234" s="168" t="s">
        <v>14</v>
      </c>
      <c r="I234" s="171">
        <v>1</v>
      </c>
      <c r="J234" s="171" t="s">
        <v>15</v>
      </c>
      <c r="K234" s="171" t="s">
        <v>76</v>
      </c>
      <c r="L234" s="168" t="s">
        <v>77</v>
      </c>
    </row>
    <row r="235" spans="1:12" x14ac:dyDescent="0.2">
      <c r="A235" s="168" t="s">
        <v>74</v>
      </c>
      <c r="B235" s="168" t="s">
        <v>75</v>
      </c>
      <c r="C235" s="168" t="s">
        <v>11</v>
      </c>
      <c r="D235" s="168" t="s">
        <v>12</v>
      </c>
      <c r="E235" s="169">
        <v>42801</v>
      </c>
      <c r="F235" s="229">
        <v>740.25840000000005</v>
      </c>
      <c r="G235" s="230" t="s">
        <v>16</v>
      </c>
      <c r="H235" s="231" t="s">
        <v>14</v>
      </c>
      <c r="I235" s="171">
        <v>1</v>
      </c>
      <c r="J235" s="171" t="s">
        <v>15</v>
      </c>
      <c r="K235" s="171" t="s">
        <v>76</v>
      </c>
      <c r="L235" s="168" t="s">
        <v>77</v>
      </c>
    </row>
    <row r="236" spans="1:12" x14ac:dyDescent="0.2">
      <c r="A236" s="168" t="s">
        <v>74</v>
      </c>
      <c r="B236" s="168" t="s">
        <v>75</v>
      </c>
      <c r="C236" s="168" t="s">
        <v>11</v>
      </c>
      <c r="D236" s="168" t="s">
        <v>78</v>
      </c>
      <c r="E236" s="169">
        <v>42801</v>
      </c>
      <c r="F236" s="229">
        <v>14.9</v>
      </c>
      <c r="G236" s="171" t="s">
        <v>13</v>
      </c>
      <c r="H236" s="168" t="s">
        <v>18</v>
      </c>
      <c r="I236" s="171">
        <v>3</v>
      </c>
      <c r="J236" s="171" t="s">
        <v>15</v>
      </c>
      <c r="K236" s="171" t="s">
        <v>76</v>
      </c>
      <c r="L236" s="168" t="s">
        <v>79</v>
      </c>
    </row>
    <row r="237" spans="1:12" x14ac:dyDescent="0.2">
      <c r="A237" s="168" t="s">
        <v>74</v>
      </c>
      <c r="B237" s="168" t="s">
        <v>75</v>
      </c>
      <c r="C237" s="168" t="s">
        <v>11</v>
      </c>
      <c r="D237" s="168" t="s">
        <v>78</v>
      </c>
      <c r="E237" s="169">
        <v>42801</v>
      </c>
      <c r="F237" s="229">
        <v>393.92322000000001</v>
      </c>
      <c r="G237" s="171" t="s">
        <v>16</v>
      </c>
      <c r="H237" s="168" t="s">
        <v>18</v>
      </c>
      <c r="I237" s="171">
        <v>3</v>
      </c>
      <c r="J237" s="171" t="s">
        <v>15</v>
      </c>
      <c r="K237" s="171" t="s">
        <v>76</v>
      </c>
      <c r="L237" s="168" t="s">
        <v>79</v>
      </c>
    </row>
    <row r="238" spans="1:12" x14ac:dyDescent="0.2">
      <c r="A238" s="168" t="s">
        <v>74</v>
      </c>
      <c r="B238" s="168" t="s">
        <v>75</v>
      </c>
      <c r="C238" s="168" t="s">
        <v>11</v>
      </c>
      <c r="D238" s="168" t="s">
        <v>12</v>
      </c>
      <c r="E238" s="169">
        <v>42794</v>
      </c>
      <c r="F238" s="170">
        <v>17.600000000000001</v>
      </c>
      <c r="G238" s="171" t="s">
        <v>13</v>
      </c>
      <c r="H238" s="168" t="s">
        <v>14</v>
      </c>
      <c r="I238" s="171">
        <v>1</v>
      </c>
      <c r="J238" s="171" t="s">
        <v>15</v>
      </c>
      <c r="K238" s="171" t="s">
        <v>76</v>
      </c>
      <c r="L238" s="168" t="s">
        <v>77</v>
      </c>
    </row>
    <row r="239" spans="1:12" x14ac:dyDescent="0.2">
      <c r="A239" s="168" t="s">
        <v>74</v>
      </c>
      <c r="B239" s="168" t="s">
        <v>75</v>
      </c>
      <c r="C239" s="168" t="s">
        <v>11</v>
      </c>
      <c r="D239" s="168" t="s">
        <v>12</v>
      </c>
      <c r="E239" s="169">
        <v>42794</v>
      </c>
      <c r="F239" s="170">
        <v>447.10406399999999</v>
      </c>
      <c r="G239" s="171" t="s">
        <v>16</v>
      </c>
      <c r="H239" s="168" t="s">
        <v>14</v>
      </c>
      <c r="I239" s="171">
        <v>1</v>
      </c>
      <c r="J239" s="171" t="s">
        <v>15</v>
      </c>
      <c r="K239" s="171" t="s">
        <v>76</v>
      </c>
      <c r="L239" s="168" t="s">
        <v>77</v>
      </c>
    </row>
    <row r="240" spans="1:12" x14ac:dyDescent="0.2">
      <c r="A240" s="168" t="s">
        <v>74</v>
      </c>
      <c r="B240" s="168" t="s">
        <v>75</v>
      </c>
      <c r="C240" s="168" t="s">
        <v>11</v>
      </c>
      <c r="D240" s="168" t="s">
        <v>78</v>
      </c>
      <c r="E240" s="169">
        <v>42794</v>
      </c>
      <c r="F240" s="170">
        <v>15.2</v>
      </c>
      <c r="G240" s="171" t="s">
        <v>13</v>
      </c>
      <c r="H240" s="168" t="s">
        <v>18</v>
      </c>
      <c r="I240" s="171">
        <v>3</v>
      </c>
      <c r="J240" s="171" t="s">
        <v>15</v>
      </c>
      <c r="K240" s="171" t="s">
        <v>76</v>
      </c>
      <c r="L240" s="168" t="s">
        <v>79</v>
      </c>
    </row>
    <row r="241" spans="1:12" x14ac:dyDescent="0.2">
      <c r="A241" s="168" t="s">
        <v>74</v>
      </c>
      <c r="B241" s="168" t="s">
        <v>75</v>
      </c>
      <c r="C241" s="168" t="s">
        <v>11</v>
      </c>
      <c r="D241" s="168" t="s">
        <v>78</v>
      </c>
      <c r="E241" s="169">
        <v>42794</v>
      </c>
      <c r="F241" s="170">
        <v>386.13532800000002</v>
      </c>
      <c r="G241" s="171" t="s">
        <v>16</v>
      </c>
      <c r="H241" s="168" t="s">
        <v>18</v>
      </c>
      <c r="I241" s="171">
        <v>3</v>
      </c>
      <c r="J241" s="171" t="s">
        <v>15</v>
      </c>
      <c r="K241" s="171" t="s">
        <v>76</v>
      </c>
      <c r="L241" s="168" t="s">
        <v>79</v>
      </c>
    </row>
    <row r="242" spans="1:12" x14ac:dyDescent="0.2">
      <c r="A242" s="168" t="s">
        <v>74</v>
      </c>
      <c r="B242" s="168" t="s">
        <v>75</v>
      </c>
      <c r="C242" s="168" t="s">
        <v>11</v>
      </c>
      <c r="D242" s="168" t="s">
        <v>12</v>
      </c>
      <c r="E242" s="169">
        <v>42787</v>
      </c>
      <c r="F242" s="170">
        <v>15.8</v>
      </c>
      <c r="G242" s="171" t="s">
        <v>13</v>
      </c>
      <c r="H242" s="168" t="s">
        <v>14</v>
      </c>
      <c r="I242" s="171">
        <v>1</v>
      </c>
      <c r="J242" s="171" t="s">
        <v>15</v>
      </c>
      <c r="K242" s="171" t="s">
        <v>76</v>
      </c>
      <c r="L242" s="168" t="s">
        <v>77</v>
      </c>
    </row>
    <row r="243" spans="1:12" x14ac:dyDescent="0.2">
      <c r="A243" s="168" t="s">
        <v>74</v>
      </c>
      <c r="B243" s="168" t="s">
        <v>75</v>
      </c>
      <c r="C243" s="168" t="s">
        <v>11</v>
      </c>
      <c r="D243" s="168" t="s">
        <v>12</v>
      </c>
      <c r="E243" s="169">
        <v>42787</v>
      </c>
      <c r="F243" s="170">
        <v>393.07587599999999</v>
      </c>
      <c r="G243" s="171" t="s">
        <v>16</v>
      </c>
      <c r="H243" s="168" t="s">
        <v>14</v>
      </c>
      <c r="I243" s="171">
        <v>1</v>
      </c>
      <c r="J243" s="171" t="s">
        <v>15</v>
      </c>
      <c r="K243" s="171" t="s">
        <v>76</v>
      </c>
      <c r="L243" s="168" t="s">
        <v>77</v>
      </c>
    </row>
    <row r="244" spans="1:12" x14ac:dyDescent="0.2">
      <c r="A244" s="168" t="s">
        <v>74</v>
      </c>
      <c r="B244" s="168" t="s">
        <v>75</v>
      </c>
      <c r="C244" s="168" t="s">
        <v>11</v>
      </c>
      <c r="D244" s="168" t="s">
        <v>78</v>
      </c>
      <c r="E244" s="169">
        <v>42787</v>
      </c>
      <c r="F244" s="170">
        <v>12.2</v>
      </c>
      <c r="G244" s="171" t="s">
        <v>13</v>
      </c>
      <c r="H244" s="168" t="s">
        <v>18</v>
      </c>
      <c r="I244" s="171">
        <v>3</v>
      </c>
      <c r="J244" s="171" t="s">
        <v>15</v>
      </c>
      <c r="K244" s="171" t="s">
        <v>76</v>
      </c>
      <c r="L244" s="168" t="s">
        <v>79</v>
      </c>
    </row>
    <row r="245" spans="1:12" x14ac:dyDescent="0.2">
      <c r="A245" s="168" t="s">
        <v>74</v>
      </c>
      <c r="B245" s="168" t="s">
        <v>75</v>
      </c>
      <c r="C245" s="168" t="s">
        <v>11</v>
      </c>
      <c r="D245" s="168" t="s">
        <v>78</v>
      </c>
      <c r="E245" s="169">
        <v>42787</v>
      </c>
      <c r="F245" s="170">
        <v>303.51428399999998</v>
      </c>
      <c r="G245" s="171" t="s">
        <v>16</v>
      </c>
      <c r="H245" s="168" t="s">
        <v>18</v>
      </c>
      <c r="I245" s="171">
        <v>3</v>
      </c>
      <c r="J245" s="171" t="s">
        <v>15</v>
      </c>
      <c r="K245" s="171" t="s">
        <v>76</v>
      </c>
      <c r="L245" s="168" t="s">
        <v>79</v>
      </c>
    </row>
    <row r="246" spans="1:12" x14ac:dyDescent="0.2">
      <c r="A246" s="168" t="s">
        <v>74</v>
      </c>
      <c r="B246" s="168" t="s">
        <v>75</v>
      </c>
      <c r="C246" s="168" t="s">
        <v>11</v>
      </c>
      <c r="D246" s="168" t="s">
        <v>12</v>
      </c>
      <c r="E246" s="169">
        <v>42780</v>
      </c>
      <c r="F246" s="170">
        <v>31.6</v>
      </c>
      <c r="G246" s="171" t="s">
        <v>13</v>
      </c>
      <c r="H246" s="168" t="s">
        <v>14</v>
      </c>
      <c r="I246" s="171">
        <v>1</v>
      </c>
      <c r="J246" s="171" t="s">
        <v>15</v>
      </c>
      <c r="K246" s="171" t="s">
        <v>76</v>
      </c>
      <c r="L246" s="168" t="s">
        <v>77</v>
      </c>
    </row>
    <row r="247" spans="1:12" x14ac:dyDescent="0.2">
      <c r="A247" s="168" t="s">
        <v>74</v>
      </c>
      <c r="B247" s="168" t="s">
        <v>75</v>
      </c>
      <c r="C247" s="168" t="s">
        <v>11</v>
      </c>
      <c r="D247" s="168" t="s">
        <v>12</v>
      </c>
      <c r="E247" s="169">
        <v>42780</v>
      </c>
      <c r="F247" s="170">
        <v>490.45538399999998</v>
      </c>
      <c r="G247" s="171" t="s">
        <v>16</v>
      </c>
      <c r="H247" s="168" t="s">
        <v>14</v>
      </c>
      <c r="I247" s="171">
        <v>1</v>
      </c>
      <c r="J247" s="171" t="s">
        <v>15</v>
      </c>
      <c r="K247" s="171" t="s">
        <v>76</v>
      </c>
      <c r="L247" s="168" t="s">
        <v>77</v>
      </c>
    </row>
    <row r="248" spans="1:12" x14ac:dyDescent="0.2">
      <c r="A248" s="168" t="s">
        <v>74</v>
      </c>
      <c r="B248" s="168" t="s">
        <v>75</v>
      </c>
      <c r="C248" s="168" t="s">
        <v>11</v>
      </c>
      <c r="D248" s="168" t="s">
        <v>78</v>
      </c>
      <c r="E248" s="169">
        <v>42780</v>
      </c>
      <c r="F248" s="170">
        <v>19.7</v>
      </c>
      <c r="G248" s="171" t="s">
        <v>13</v>
      </c>
      <c r="H248" s="168" t="s">
        <v>18</v>
      </c>
      <c r="I248" s="171">
        <v>1</v>
      </c>
      <c r="J248" s="171" t="s">
        <v>15</v>
      </c>
      <c r="K248" s="171" t="s">
        <v>76</v>
      </c>
      <c r="L248" s="168" t="s">
        <v>77</v>
      </c>
    </row>
    <row r="249" spans="1:12" x14ac:dyDescent="0.2">
      <c r="A249" s="168" t="s">
        <v>74</v>
      </c>
      <c r="B249" s="168" t="s">
        <v>75</v>
      </c>
      <c r="C249" s="168" t="s">
        <v>11</v>
      </c>
      <c r="D249" s="168" t="s">
        <v>78</v>
      </c>
      <c r="E249" s="169">
        <v>42780</v>
      </c>
      <c r="F249" s="170">
        <v>305.758578</v>
      </c>
      <c r="G249" s="171" t="s">
        <v>16</v>
      </c>
      <c r="H249" s="168" t="s">
        <v>18</v>
      </c>
      <c r="I249" s="171">
        <v>1</v>
      </c>
      <c r="J249" s="171" t="s">
        <v>15</v>
      </c>
      <c r="K249" s="171" t="s">
        <v>76</v>
      </c>
      <c r="L249" s="168" t="s">
        <v>77</v>
      </c>
    </row>
    <row r="250" spans="1:12" x14ac:dyDescent="0.2">
      <c r="A250" s="168" t="s">
        <v>74</v>
      </c>
      <c r="B250" s="168" t="s">
        <v>75</v>
      </c>
      <c r="C250" s="168" t="s">
        <v>11</v>
      </c>
      <c r="D250" s="168" t="s">
        <v>12</v>
      </c>
      <c r="E250" s="169">
        <v>42773</v>
      </c>
      <c r="F250" s="170">
        <v>29.1</v>
      </c>
      <c r="G250" s="171" t="s">
        <v>13</v>
      </c>
      <c r="H250" s="168" t="s">
        <v>14</v>
      </c>
      <c r="I250" s="171">
        <v>1</v>
      </c>
      <c r="J250" s="171" t="s">
        <v>15</v>
      </c>
      <c r="K250" s="171" t="s">
        <v>76</v>
      </c>
      <c r="L250" s="168" t="s">
        <v>77</v>
      </c>
    </row>
    <row r="251" spans="1:12" x14ac:dyDescent="0.2">
      <c r="A251" s="168" t="s">
        <v>74</v>
      </c>
      <c r="B251" s="168" t="s">
        <v>75</v>
      </c>
      <c r="C251" s="168" t="s">
        <v>11</v>
      </c>
      <c r="D251" s="168" t="s">
        <v>12</v>
      </c>
      <c r="E251" s="169">
        <v>42773</v>
      </c>
      <c r="F251" s="170">
        <v>348.26589000000001</v>
      </c>
      <c r="G251" s="171" t="s">
        <v>16</v>
      </c>
      <c r="H251" s="168" t="s">
        <v>14</v>
      </c>
      <c r="I251" s="171">
        <v>1</v>
      </c>
      <c r="J251" s="171" t="s">
        <v>15</v>
      </c>
      <c r="K251" s="171" t="s">
        <v>76</v>
      </c>
      <c r="L251" s="168" t="s">
        <v>77</v>
      </c>
    </row>
    <row r="252" spans="1:12" x14ac:dyDescent="0.2">
      <c r="A252" s="168" t="s">
        <v>74</v>
      </c>
      <c r="B252" s="168" t="s">
        <v>75</v>
      </c>
      <c r="C252" s="168" t="s">
        <v>11</v>
      </c>
      <c r="D252" s="168" t="s">
        <v>78</v>
      </c>
      <c r="E252" s="169">
        <v>42773</v>
      </c>
      <c r="F252" s="170">
        <v>19.8</v>
      </c>
      <c r="G252" s="171" t="s">
        <v>13</v>
      </c>
      <c r="H252" s="168" t="s">
        <v>18</v>
      </c>
      <c r="I252" s="171">
        <v>1</v>
      </c>
      <c r="J252" s="171" t="s">
        <v>15</v>
      </c>
      <c r="K252" s="171" t="s">
        <v>76</v>
      </c>
      <c r="L252" s="168" t="s">
        <v>77</v>
      </c>
    </row>
    <row r="253" spans="1:12" x14ac:dyDescent="0.2">
      <c r="A253" s="168" t="s">
        <v>74</v>
      </c>
      <c r="B253" s="168" t="s">
        <v>75</v>
      </c>
      <c r="C253" s="168" t="s">
        <v>11</v>
      </c>
      <c r="D253" s="168" t="s">
        <v>78</v>
      </c>
      <c r="E253" s="169">
        <v>42773</v>
      </c>
      <c r="F253" s="170">
        <v>236.96441999999999</v>
      </c>
      <c r="G253" s="171" t="s">
        <v>16</v>
      </c>
      <c r="H253" s="168" t="s">
        <v>18</v>
      </c>
      <c r="I253" s="171">
        <v>1</v>
      </c>
      <c r="J253" s="171" t="s">
        <v>15</v>
      </c>
      <c r="K253" s="171" t="s">
        <v>76</v>
      </c>
      <c r="L253" s="168" t="s">
        <v>77</v>
      </c>
    </row>
    <row r="254" spans="1:12" x14ac:dyDescent="0.2">
      <c r="A254" s="168" t="s">
        <v>74</v>
      </c>
      <c r="B254" s="168" t="s">
        <v>75</v>
      </c>
      <c r="C254" s="168" t="s">
        <v>11</v>
      </c>
      <c r="D254" s="168" t="s">
        <v>12</v>
      </c>
      <c r="E254" s="169">
        <v>42766</v>
      </c>
      <c r="F254" s="170">
        <v>25.1</v>
      </c>
      <c r="G254" s="171" t="s">
        <v>13</v>
      </c>
      <c r="H254" s="168" t="s">
        <v>14</v>
      </c>
      <c r="I254" s="171">
        <v>1</v>
      </c>
      <c r="J254" s="171" t="s">
        <v>15</v>
      </c>
      <c r="K254" s="171" t="s">
        <v>76</v>
      </c>
      <c r="L254" s="168" t="s">
        <v>77</v>
      </c>
    </row>
    <row r="255" spans="1:12" x14ac:dyDescent="0.2">
      <c r="A255" s="168" t="s">
        <v>74</v>
      </c>
      <c r="B255" s="168" t="s">
        <v>75</v>
      </c>
      <c r="C255" s="168" t="s">
        <v>11</v>
      </c>
      <c r="D255" s="168" t="s">
        <v>12</v>
      </c>
      <c r="E255" s="169">
        <v>42766</v>
      </c>
      <c r="F255" s="170">
        <v>324.46769999999998</v>
      </c>
      <c r="G255" s="171" t="s">
        <v>16</v>
      </c>
      <c r="H255" s="168" t="s">
        <v>14</v>
      </c>
      <c r="I255" s="171">
        <v>1</v>
      </c>
      <c r="J255" s="171" t="s">
        <v>15</v>
      </c>
      <c r="K255" s="171" t="s">
        <v>76</v>
      </c>
      <c r="L255" s="168" t="s">
        <v>77</v>
      </c>
    </row>
    <row r="256" spans="1:12" x14ac:dyDescent="0.2">
      <c r="A256" s="168" t="s">
        <v>74</v>
      </c>
      <c r="B256" s="168" t="s">
        <v>75</v>
      </c>
      <c r="C256" s="168" t="s">
        <v>11</v>
      </c>
      <c r="D256" s="168" t="s">
        <v>78</v>
      </c>
      <c r="E256" s="169">
        <v>42766</v>
      </c>
      <c r="F256" s="170">
        <v>19.7</v>
      </c>
      <c r="G256" s="171" t="s">
        <v>13</v>
      </c>
      <c r="H256" s="168" t="s">
        <v>18</v>
      </c>
      <c r="I256" s="171">
        <v>1</v>
      </c>
      <c r="J256" s="171" t="s">
        <v>15</v>
      </c>
      <c r="K256" s="171" t="s">
        <v>76</v>
      </c>
      <c r="L256" s="168" t="s">
        <v>77</v>
      </c>
    </row>
    <row r="257" spans="1:12" x14ac:dyDescent="0.2">
      <c r="A257" s="168" t="s">
        <v>74</v>
      </c>
      <c r="B257" s="168" t="s">
        <v>75</v>
      </c>
      <c r="C257" s="168" t="s">
        <v>11</v>
      </c>
      <c r="D257" s="168" t="s">
        <v>78</v>
      </c>
      <c r="E257" s="169">
        <v>42766</v>
      </c>
      <c r="F257" s="170">
        <v>254.6619</v>
      </c>
      <c r="G257" s="171" t="s">
        <v>16</v>
      </c>
      <c r="H257" s="168" t="s">
        <v>18</v>
      </c>
      <c r="I257" s="171">
        <v>1</v>
      </c>
      <c r="J257" s="171" t="s">
        <v>15</v>
      </c>
      <c r="K257" s="171" t="s">
        <v>76</v>
      </c>
      <c r="L257" s="168" t="s">
        <v>77</v>
      </c>
    </row>
    <row r="258" spans="1:12" x14ac:dyDescent="0.2">
      <c r="A258" s="168" t="s">
        <v>74</v>
      </c>
      <c r="B258" s="168" t="s">
        <v>75</v>
      </c>
      <c r="C258" s="168" t="s">
        <v>11</v>
      </c>
      <c r="D258" s="168" t="s">
        <v>12</v>
      </c>
      <c r="E258" s="169">
        <v>42759</v>
      </c>
      <c r="F258" s="170">
        <v>25.7</v>
      </c>
      <c r="G258" s="171" t="s">
        <v>13</v>
      </c>
      <c r="H258" s="168" t="s">
        <v>14</v>
      </c>
      <c r="I258" s="171">
        <v>1</v>
      </c>
      <c r="J258" s="171" t="s">
        <v>15</v>
      </c>
      <c r="K258" s="171" t="s">
        <v>76</v>
      </c>
      <c r="L258" s="168" t="s">
        <v>77</v>
      </c>
    </row>
    <row r="259" spans="1:12" x14ac:dyDescent="0.2">
      <c r="A259" s="168" t="s">
        <v>74</v>
      </c>
      <c r="B259" s="168" t="s">
        <v>75</v>
      </c>
      <c r="C259" s="168" t="s">
        <v>11</v>
      </c>
      <c r="D259" s="168" t="s">
        <v>12</v>
      </c>
      <c r="E259" s="169">
        <v>42759</v>
      </c>
      <c r="F259" s="170">
        <v>342.51212399999997</v>
      </c>
      <c r="G259" s="171" t="s">
        <v>16</v>
      </c>
      <c r="H259" s="168" t="s">
        <v>14</v>
      </c>
      <c r="I259" s="171">
        <v>1</v>
      </c>
      <c r="J259" s="171" t="s">
        <v>15</v>
      </c>
      <c r="K259" s="171" t="s">
        <v>76</v>
      </c>
      <c r="L259" s="168" t="s">
        <v>77</v>
      </c>
    </row>
    <row r="260" spans="1:12" x14ac:dyDescent="0.2">
      <c r="A260" s="168" t="s">
        <v>74</v>
      </c>
      <c r="B260" s="168" t="s">
        <v>75</v>
      </c>
      <c r="C260" s="168" t="s">
        <v>11</v>
      </c>
      <c r="D260" s="168" t="s">
        <v>78</v>
      </c>
      <c r="E260" s="169">
        <v>42759</v>
      </c>
      <c r="F260" s="170">
        <v>18.2</v>
      </c>
      <c r="G260" s="171" t="s">
        <v>13</v>
      </c>
      <c r="H260" s="168" t="s">
        <v>18</v>
      </c>
      <c r="I260" s="171">
        <v>1</v>
      </c>
      <c r="J260" s="171" t="s">
        <v>15</v>
      </c>
      <c r="K260" s="171" t="s">
        <v>76</v>
      </c>
      <c r="L260" s="168" t="s">
        <v>77</v>
      </c>
    </row>
    <row r="261" spans="1:12" x14ac:dyDescent="0.2">
      <c r="A261" s="168" t="s">
        <v>74</v>
      </c>
      <c r="B261" s="168" t="s">
        <v>75</v>
      </c>
      <c r="C261" s="168" t="s">
        <v>11</v>
      </c>
      <c r="D261" s="168" t="s">
        <v>78</v>
      </c>
      <c r="E261" s="169">
        <v>42759</v>
      </c>
      <c r="F261" s="170">
        <v>242.55722399999999</v>
      </c>
      <c r="G261" s="171" t="s">
        <v>16</v>
      </c>
      <c r="H261" s="168" t="s">
        <v>18</v>
      </c>
      <c r="I261" s="171">
        <v>1</v>
      </c>
      <c r="J261" s="171" t="s">
        <v>15</v>
      </c>
      <c r="K261" s="171" t="s">
        <v>76</v>
      </c>
      <c r="L261" s="168" t="s">
        <v>77</v>
      </c>
    </row>
    <row r="262" spans="1:12" x14ac:dyDescent="0.2">
      <c r="A262" s="168" t="s">
        <v>74</v>
      </c>
      <c r="B262" s="168" t="s">
        <v>75</v>
      </c>
      <c r="C262" s="168" t="s">
        <v>11</v>
      </c>
      <c r="D262" s="168" t="s">
        <v>12</v>
      </c>
      <c r="E262" s="169">
        <v>42752</v>
      </c>
      <c r="F262" s="170">
        <v>26.3</v>
      </c>
      <c r="G262" s="171" t="s">
        <v>13</v>
      </c>
      <c r="H262" s="168" t="s">
        <v>14</v>
      </c>
      <c r="I262" s="171">
        <v>1</v>
      </c>
      <c r="J262" s="171" t="s">
        <v>15</v>
      </c>
      <c r="K262" s="171" t="s">
        <v>76</v>
      </c>
      <c r="L262" s="168" t="s">
        <v>77</v>
      </c>
    </row>
    <row r="263" spans="1:12" x14ac:dyDescent="0.2">
      <c r="A263" s="168" t="s">
        <v>74</v>
      </c>
      <c r="B263" s="168" t="s">
        <v>75</v>
      </c>
      <c r="C263" s="168" t="s">
        <v>11</v>
      </c>
      <c r="D263" s="168" t="s">
        <v>12</v>
      </c>
      <c r="E263" s="169">
        <v>42752</v>
      </c>
      <c r="F263" s="170">
        <v>335.59325999999999</v>
      </c>
      <c r="G263" s="171" t="s">
        <v>16</v>
      </c>
      <c r="H263" s="168" t="s">
        <v>14</v>
      </c>
      <c r="I263" s="171">
        <v>1</v>
      </c>
      <c r="J263" s="171" t="s">
        <v>15</v>
      </c>
      <c r="K263" s="171" t="s">
        <v>76</v>
      </c>
      <c r="L263" s="168" t="s">
        <v>77</v>
      </c>
    </row>
    <row r="264" spans="1:12" x14ac:dyDescent="0.2">
      <c r="A264" s="168" t="s">
        <v>74</v>
      </c>
      <c r="B264" s="168" t="s">
        <v>75</v>
      </c>
      <c r="C264" s="168" t="s">
        <v>11</v>
      </c>
      <c r="D264" s="168" t="s">
        <v>78</v>
      </c>
      <c r="E264" s="169">
        <v>42752</v>
      </c>
      <c r="F264" s="170">
        <v>21.4</v>
      </c>
      <c r="G264" s="171" t="s">
        <v>13</v>
      </c>
      <c r="H264" s="168" t="s">
        <v>18</v>
      </c>
      <c r="I264" s="171">
        <v>1</v>
      </c>
      <c r="J264" s="171" t="s">
        <v>15</v>
      </c>
      <c r="K264" s="171" t="s">
        <v>76</v>
      </c>
      <c r="L264" s="168" t="s">
        <v>77</v>
      </c>
    </row>
    <row r="265" spans="1:12" x14ac:dyDescent="0.2">
      <c r="A265" s="168" t="s">
        <v>74</v>
      </c>
      <c r="B265" s="168" t="s">
        <v>75</v>
      </c>
      <c r="C265" s="168" t="s">
        <v>11</v>
      </c>
      <c r="D265" s="168" t="s">
        <v>78</v>
      </c>
      <c r="E265" s="169">
        <v>42752</v>
      </c>
      <c r="F265" s="170">
        <v>273.06828000000002</v>
      </c>
      <c r="G265" s="171" t="s">
        <v>16</v>
      </c>
      <c r="H265" s="168" t="s">
        <v>18</v>
      </c>
      <c r="I265" s="171">
        <v>1</v>
      </c>
      <c r="J265" s="171" t="s">
        <v>15</v>
      </c>
      <c r="K265" s="171" t="s">
        <v>76</v>
      </c>
      <c r="L265" s="168" t="s">
        <v>77</v>
      </c>
    </row>
    <row r="266" spans="1:12" x14ac:dyDescent="0.2">
      <c r="A266" s="168" t="s">
        <v>74</v>
      </c>
      <c r="B266" s="168" t="s">
        <v>75</v>
      </c>
      <c r="C266" s="168" t="s">
        <v>11</v>
      </c>
      <c r="D266" s="168" t="s">
        <v>12</v>
      </c>
      <c r="E266" s="169">
        <v>42745</v>
      </c>
      <c r="F266" s="170">
        <v>27.8</v>
      </c>
      <c r="G266" s="171" t="s">
        <v>13</v>
      </c>
      <c r="H266" s="168" t="s">
        <v>14</v>
      </c>
      <c r="I266" s="171">
        <v>1</v>
      </c>
      <c r="J266" s="171" t="s">
        <v>15</v>
      </c>
      <c r="K266" s="171" t="s">
        <v>76</v>
      </c>
      <c r="L266" s="168" t="s">
        <v>77</v>
      </c>
    </row>
    <row r="267" spans="1:12" x14ac:dyDescent="0.2">
      <c r="A267" s="168" t="s">
        <v>74</v>
      </c>
      <c r="B267" s="168" t="s">
        <v>75</v>
      </c>
      <c r="C267" s="168" t="s">
        <v>11</v>
      </c>
      <c r="D267" s="168" t="s">
        <v>12</v>
      </c>
      <c r="E267" s="169">
        <v>42745</v>
      </c>
      <c r="F267" s="170">
        <v>394.84395599999999</v>
      </c>
      <c r="G267" s="171" t="s">
        <v>16</v>
      </c>
      <c r="H267" s="168" t="s">
        <v>14</v>
      </c>
      <c r="I267" s="171">
        <v>1</v>
      </c>
      <c r="J267" s="171" t="s">
        <v>15</v>
      </c>
      <c r="K267" s="171" t="s">
        <v>76</v>
      </c>
      <c r="L267" s="168" t="s">
        <v>77</v>
      </c>
    </row>
    <row r="268" spans="1:12" x14ac:dyDescent="0.2">
      <c r="A268" s="168" t="s">
        <v>74</v>
      </c>
      <c r="B268" s="168" t="s">
        <v>75</v>
      </c>
      <c r="C268" s="168" t="s">
        <v>11</v>
      </c>
      <c r="D268" s="168" t="s">
        <v>78</v>
      </c>
      <c r="E268" s="169">
        <v>42745</v>
      </c>
      <c r="F268" s="170">
        <v>20.3</v>
      </c>
      <c r="G268" s="171" t="s">
        <v>13</v>
      </c>
      <c r="H268" s="168" t="s">
        <v>18</v>
      </c>
      <c r="I268" s="171">
        <v>1</v>
      </c>
      <c r="J268" s="171" t="s">
        <v>15</v>
      </c>
      <c r="K268" s="171" t="s">
        <v>76</v>
      </c>
      <c r="L268" s="168" t="s">
        <v>77</v>
      </c>
    </row>
    <row r="269" spans="1:12" x14ac:dyDescent="0.2">
      <c r="A269" s="168" t="s">
        <v>74</v>
      </c>
      <c r="B269" s="168" t="s">
        <v>75</v>
      </c>
      <c r="C269" s="168" t="s">
        <v>11</v>
      </c>
      <c r="D269" s="168" t="s">
        <v>78</v>
      </c>
      <c r="E269" s="169">
        <v>42745</v>
      </c>
      <c r="F269" s="170">
        <v>288.32130599999999</v>
      </c>
      <c r="G269" s="171" t="s">
        <v>16</v>
      </c>
      <c r="H269" s="168" t="s">
        <v>18</v>
      </c>
      <c r="I269" s="171">
        <v>1</v>
      </c>
      <c r="J269" s="171" t="s">
        <v>15</v>
      </c>
      <c r="K269" s="171" t="s">
        <v>76</v>
      </c>
      <c r="L269" s="168" t="s">
        <v>77</v>
      </c>
    </row>
    <row r="270" spans="1:12" x14ac:dyDescent="0.2">
      <c r="A270" s="168" t="s">
        <v>74</v>
      </c>
      <c r="B270" s="168" t="s">
        <v>75</v>
      </c>
      <c r="C270" s="168" t="s">
        <v>11</v>
      </c>
      <c r="D270" s="168" t="s">
        <v>12</v>
      </c>
      <c r="E270" s="169">
        <v>42738</v>
      </c>
      <c r="F270" s="170">
        <v>32</v>
      </c>
      <c r="G270" s="171" t="s">
        <v>13</v>
      </c>
      <c r="H270" s="168" t="s">
        <v>14</v>
      </c>
      <c r="I270" s="171">
        <v>1</v>
      </c>
      <c r="J270" s="171" t="s">
        <v>15</v>
      </c>
      <c r="K270" s="171" t="s">
        <v>76</v>
      </c>
      <c r="L270" s="168" t="s">
        <v>77</v>
      </c>
    </row>
    <row r="271" spans="1:12" x14ac:dyDescent="0.2">
      <c r="A271" s="168" t="s">
        <v>74</v>
      </c>
      <c r="B271" s="168" t="s">
        <v>75</v>
      </c>
      <c r="C271" s="168" t="s">
        <v>11</v>
      </c>
      <c r="D271" s="168" t="s">
        <v>12</v>
      </c>
      <c r="E271" s="169">
        <v>42738</v>
      </c>
      <c r="F271" s="170">
        <v>436.34879999999998</v>
      </c>
      <c r="G271" s="171" t="s">
        <v>16</v>
      </c>
      <c r="H271" s="168" t="s">
        <v>14</v>
      </c>
      <c r="I271" s="171">
        <v>1</v>
      </c>
      <c r="J271" s="171" t="s">
        <v>15</v>
      </c>
      <c r="K271" s="171" t="s">
        <v>76</v>
      </c>
      <c r="L271" s="168" t="s">
        <v>77</v>
      </c>
    </row>
    <row r="272" spans="1:12" x14ac:dyDescent="0.2">
      <c r="A272" s="168" t="s">
        <v>74</v>
      </c>
      <c r="B272" s="168" t="s">
        <v>75</v>
      </c>
      <c r="C272" s="168" t="s">
        <v>11</v>
      </c>
      <c r="D272" s="168" t="s">
        <v>78</v>
      </c>
      <c r="E272" s="169">
        <v>42738</v>
      </c>
      <c r="F272" s="170">
        <v>19.3</v>
      </c>
      <c r="G272" s="171" t="s">
        <v>13</v>
      </c>
      <c r="H272" s="168" t="s">
        <v>18</v>
      </c>
      <c r="I272" s="171">
        <v>1</v>
      </c>
      <c r="J272" s="171" t="s">
        <v>15</v>
      </c>
      <c r="K272" s="171" t="s">
        <v>76</v>
      </c>
      <c r="L272" s="168" t="s">
        <v>77</v>
      </c>
    </row>
    <row r="273" spans="1:12" x14ac:dyDescent="0.2">
      <c r="A273" s="168" t="s">
        <v>74</v>
      </c>
      <c r="B273" s="168" t="s">
        <v>75</v>
      </c>
      <c r="C273" s="168" t="s">
        <v>11</v>
      </c>
      <c r="D273" s="168" t="s">
        <v>78</v>
      </c>
      <c r="E273" s="169">
        <v>42738</v>
      </c>
      <c r="F273" s="170">
        <v>263.17286999999999</v>
      </c>
      <c r="G273" s="171" t="s">
        <v>16</v>
      </c>
      <c r="H273" s="168" t="s">
        <v>18</v>
      </c>
      <c r="I273" s="171">
        <v>1</v>
      </c>
      <c r="J273" s="171" t="s">
        <v>15</v>
      </c>
      <c r="K273" s="171" t="s">
        <v>76</v>
      </c>
      <c r="L273" s="168" t="s">
        <v>77</v>
      </c>
    </row>
    <row r="274" spans="1:12" x14ac:dyDescent="0.2">
      <c r="A274" s="168" t="s">
        <v>74</v>
      </c>
      <c r="B274" s="168" t="s">
        <v>75</v>
      </c>
      <c r="C274" s="168" t="s">
        <v>11</v>
      </c>
      <c r="D274" s="168" t="s">
        <v>12</v>
      </c>
      <c r="E274" s="232">
        <v>42731</v>
      </c>
      <c r="F274" s="233">
        <v>22.6</v>
      </c>
      <c r="G274" s="171" t="s">
        <v>13</v>
      </c>
      <c r="H274" s="168" t="s">
        <v>14</v>
      </c>
      <c r="I274" s="171">
        <v>1</v>
      </c>
      <c r="J274" s="171" t="s">
        <v>81</v>
      </c>
      <c r="K274" s="171" t="s">
        <v>76</v>
      </c>
      <c r="L274" s="168" t="s">
        <v>77</v>
      </c>
    </row>
    <row r="275" spans="1:12" x14ac:dyDescent="0.2">
      <c r="A275" s="168" t="s">
        <v>74</v>
      </c>
      <c r="B275" s="168" t="s">
        <v>75</v>
      </c>
      <c r="C275" s="168" t="s">
        <v>11</v>
      </c>
      <c r="D275" s="168" t="s">
        <v>12</v>
      </c>
      <c r="E275" s="232">
        <v>42731</v>
      </c>
      <c r="F275" s="233">
        <v>305.721048</v>
      </c>
      <c r="G275" s="171" t="s">
        <v>16</v>
      </c>
      <c r="H275" s="168" t="s">
        <v>14</v>
      </c>
      <c r="I275" s="171">
        <v>1</v>
      </c>
      <c r="J275" s="171" t="s">
        <v>82</v>
      </c>
      <c r="K275" s="171" t="s">
        <v>76</v>
      </c>
      <c r="L275" s="168" t="s">
        <v>77</v>
      </c>
    </row>
    <row r="276" spans="1:12" x14ac:dyDescent="0.2">
      <c r="A276" s="168" t="s">
        <v>74</v>
      </c>
      <c r="B276" s="168" t="s">
        <v>75</v>
      </c>
      <c r="C276" s="168" t="s">
        <v>11</v>
      </c>
      <c r="D276" s="168" t="s">
        <v>78</v>
      </c>
      <c r="E276" s="232">
        <v>42731</v>
      </c>
      <c r="F276" s="233">
        <v>17.899999999999999</v>
      </c>
      <c r="G276" s="171" t="s">
        <v>13</v>
      </c>
      <c r="H276" s="168" t="s">
        <v>18</v>
      </c>
      <c r="I276" s="171">
        <v>1</v>
      </c>
      <c r="J276" s="171" t="s">
        <v>83</v>
      </c>
      <c r="K276" s="171" t="s">
        <v>76</v>
      </c>
      <c r="L276" s="168" t="s">
        <v>77</v>
      </c>
    </row>
    <row r="277" spans="1:12" x14ac:dyDescent="0.2">
      <c r="A277" s="168" t="s">
        <v>74</v>
      </c>
      <c r="B277" s="168" t="s">
        <v>75</v>
      </c>
      <c r="C277" s="168" t="s">
        <v>11</v>
      </c>
      <c r="D277" s="168" t="s">
        <v>78</v>
      </c>
      <c r="E277" s="232">
        <v>42731</v>
      </c>
      <c r="F277" s="233">
        <v>242.14189200000001</v>
      </c>
      <c r="G277" s="171" t="s">
        <v>16</v>
      </c>
      <c r="H277" s="168" t="s">
        <v>18</v>
      </c>
      <c r="I277" s="171">
        <v>1</v>
      </c>
      <c r="J277" s="171" t="s">
        <v>84</v>
      </c>
      <c r="K277" s="171" t="s">
        <v>76</v>
      </c>
      <c r="L277" s="168" t="s">
        <v>77</v>
      </c>
    </row>
    <row r="278" spans="1:12" x14ac:dyDescent="0.2">
      <c r="A278" s="168" t="s">
        <v>74</v>
      </c>
      <c r="B278" s="168" t="s">
        <v>75</v>
      </c>
      <c r="C278" s="168" t="s">
        <v>11</v>
      </c>
      <c r="D278" s="168" t="s">
        <v>12</v>
      </c>
      <c r="E278" s="232">
        <v>42724</v>
      </c>
      <c r="F278" s="233">
        <v>28.9</v>
      </c>
      <c r="G278" s="171" t="s">
        <v>13</v>
      </c>
      <c r="H278" s="168" t="s">
        <v>14</v>
      </c>
      <c r="I278" s="171">
        <v>1</v>
      </c>
      <c r="J278" s="171" t="s">
        <v>85</v>
      </c>
      <c r="K278" s="171" t="s">
        <v>76</v>
      </c>
      <c r="L278" s="168" t="s">
        <v>77</v>
      </c>
    </row>
    <row r="279" spans="1:12" x14ac:dyDescent="0.2">
      <c r="A279" s="168" t="s">
        <v>74</v>
      </c>
      <c r="B279" s="168" t="s">
        <v>75</v>
      </c>
      <c r="C279" s="168" t="s">
        <v>11</v>
      </c>
      <c r="D279" s="168" t="s">
        <v>12</v>
      </c>
      <c r="E279" s="232">
        <v>42724</v>
      </c>
      <c r="F279" s="233">
        <v>340.08768600000002</v>
      </c>
      <c r="G279" s="171" t="s">
        <v>16</v>
      </c>
      <c r="H279" s="168" t="s">
        <v>14</v>
      </c>
      <c r="I279" s="171">
        <v>1</v>
      </c>
      <c r="J279" s="171" t="s">
        <v>86</v>
      </c>
      <c r="K279" s="171" t="s">
        <v>76</v>
      </c>
      <c r="L279" s="168" t="s">
        <v>77</v>
      </c>
    </row>
    <row r="280" spans="1:12" x14ac:dyDescent="0.2">
      <c r="A280" s="168" t="s">
        <v>74</v>
      </c>
      <c r="B280" s="168" t="s">
        <v>75</v>
      </c>
      <c r="C280" s="168" t="s">
        <v>11</v>
      </c>
      <c r="D280" s="168" t="s">
        <v>78</v>
      </c>
      <c r="E280" s="232">
        <v>42724</v>
      </c>
      <c r="F280" s="233">
        <v>22</v>
      </c>
      <c r="G280" s="171" t="s">
        <v>13</v>
      </c>
      <c r="H280" s="168" t="s">
        <v>18</v>
      </c>
      <c r="I280" s="171">
        <v>1</v>
      </c>
      <c r="J280" s="171" t="s">
        <v>87</v>
      </c>
      <c r="K280" s="171" t="s">
        <v>76</v>
      </c>
      <c r="L280" s="168" t="s">
        <v>77</v>
      </c>
    </row>
    <row r="281" spans="1:12" x14ac:dyDescent="0.2">
      <c r="A281" s="168" t="s">
        <v>74</v>
      </c>
      <c r="B281" s="168" t="s">
        <v>75</v>
      </c>
      <c r="C281" s="168" t="s">
        <v>11</v>
      </c>
      <c r="D281" s="168" t="s">
        <v>78</v>
      </c>
      <c r="E281" s="232">
        <v>42724</v>
      </c>
      <c r="F281" s="233">
        <v>258.89028000000002</v>
      </c>
      <c r="G281" s="171" t="s">
        <v>16</v>
      </c>
      <c r="H281" s="168" t="s">
        <v>18</v>
      </c>
      <c r="I281" s="171">
        <v>1</v>
      </c>
      <c r="J281" s="171" t="s">
        <v>88</v>
      </c>
      <c r="K281" s="171" t="s">
        <v>76</v>
      </c>
      <c r="L281" s="168" t="s">
        <v>77</v>
      </c>
    </row>
    <row r="282" spans="1:12" x14ac:dyDescent="0.2">
      <c r="A282" s="168" t="s">
        <v>74</v>
      </c>
      <c r="B282" s="168" t="s">
        <v>75</v>
      </c>
      <c r="C282" s="168" t="s">
        <v>11</v>
      </c>
      <c r="D282" s="168" t="s">
        <v>12</v>
      </c>
      <c r="E282" s="232">
        <v>42717</v>
      </c>
      <c r="F282" s="233">
        <v>21.4</v>
      </c>
      <c r="G282" s="171" t="s">
        <v>13</v>
      </c>
      <c r="H282" s="168" t="s">
        <v>14</v>
      </c>
      <c r="I282" s="171">
        <v>1</v>
      </c>
      <c r="J282" s="171" t="s">
        <v>89</v>
      </c>
      <c r="K282" s="171" t="s">
        <v>76</v>
      </c>
      <c r="L282" s="168" t="s">
        <v>77</v>
      </c>
    </row>
    <row r="283" spans="1:12" x14ac:dyDescent="0.2">
      <c r="A283" s="168" t="s">
        <v>74</v>
      </c>
      <c r="B283" s="168" t="s">
        <v>75</v>
      </c>
      <c r="C283" s="168" t="s">
        <v>11</v>
      </c>
      <c r="D283" s="168" t="s">
        <v>12</v>
      </c>
      <c r="E283" s="232">
        <v>42717</v>
      </c>
      <c r="F283" s="233">
        <v>256.11306000000002</v>
      </c>
      <c r="G283" s="171" t="s">
        <v>16</v>
      </c>
      <c r="H283" s="168" t="s">
        <v>14</v>
      </c>
      <c r="I283" s="171">
        <v>1</v>
      </c>
      <c r="J283" s="171" t="s">
        <v>90</v>
      </c>
      <c r="K283" s="171" t="s">
        <v>76</v>
      </c>
      <c r="L283" s="168" t="s">
        <v>77</v>
      </c>
    </row>
    <row r="284" spans="1:12" x14ac:dyDescent="0.2">
      <c r="A284" s="168" t="s">
        <v>74</v>
      </c>
      <c r="B284" s="168" t="s">
        <v>75</v>
      </c>
      <c r="C284" s="168" t="s">
        <v>11</v>
      </c>
      <c r="D284" s="168" t="s">
        <v>78</v>
      </c>
      <c r="E284" s="232">
        <v>42717</v>
      </c>
      <c r="F284" s="233">
        <v>17.399999999999999</v>
      </c>
      <c r="G284" s="171" t="s">
        <v>13</v>
      </c>
      <c r="H284" s="168" t="s">
        <v>18</v>
      </c>
      <c r="I284" s="171">
        <v>1</v>
      </c>
      <c r="J284" s="171" t="s">
        <v>91</v>
      </c>
      <c r="K284" s="171" t="s">
        <v>76</v>
      </c>
      <c r="L284" s="168" t="s">
        <v>77</v>
      </c>
    </row>
    <row r="285" spans="1:12" x14ac:dyDescent="0.2">
      <c r="A285" s="168" t="s">
        <v>74</v>
      </c>
      <c r="B285" s="168" t="s">
        <v>75</v>
      </c>
      <c r="C285" s="168" t="s">
        <v>11</v>
      </c>
      <c r="D285" s="168" t="s">
        <v>78</v>
      </c>
      <c r="E285" s="232">
        <v>42717</v>
      </c>
      <c r="F285" s="233">
        <v>208.24145999999999</v>
      </c>
      <c r="G285" s="171" t="s">
        <v>16</v>
      </c>
      <c r="H285" s="168" t="s">
        <v>18</v>
      </c>
      <c r="I285" s="171">
        <v>1</v>
      </c>
      <c r="J285" s="171" t="s">
        <v>92</v>
      </c>
      <c r="K285" s="171" t="s">
        <v>76</v>
      </c>
      <c r="L285" s="168" t="s">
        <v>77</v>
      </c>
    </row>
    <row r="286" spans="1:12" x14ac:dyDescent="0.2">
      <c r="A286" s="168" t="s">
        <v>74</v>
      </c>
      <c r="B286" s="168" t="s">
        <v>75</v>
      </c>
      <c r="C286" s="168" t="s">
        <v>11</v>
      </c>
      <c r="D286" s="168" t="s">
        <v>12</v>
      </c>
      <c r="E286" s="232">
        <v>42710</v>
      </c>
      <c r="F286" s="233">
        <v>20.100000000000001</v>
      </c>
      <c r="G286" s="171" t="s">
        <v>13</v>
      </c>
      <c r="H286" s="168" t="s">
        <v>14</v>
      </c>
      <c r="I286" s="171">
        <v>1</v>
      </c>
      <c r="J286" s="171" t="s">
        <v>93</v>
      </c>
      <c r="K286" s="171" t="s">
        <v>76</v>
      </c>
      <c r="L286" s="168" t="s">
        <v>77</v>
      </c>
    </row>
    <row r="287" spans="1:12" x14ac:dyDescent="0.2">
      <c r="A287" s="168" t="s">
        <v>74</v>
      </c>
      <c r="B287" s="168" t="s">
        <v>75</v>
      </c>
      <c r="C287" s="168" t="s">
        <v>11</v>
      </c>
      <c r="D287" s="168" t="s">
        <v>12</v>
      </c>
      <c r="E287" s="232">
        <v>42710</v>
      </c>
      <c r="F287" s="233">
        <v>251.953902</v>
      </c>
      <c r="G287" s="171" t="s">
        <v>16</v>
      </c>
      <c r="H287" s="168" t="s">
        <v>14</v>
      </c>
      <c r="I287" s="171">
        <v>1</v>
      </c>
      <c r="J287" s="171" t="s">
        <v>94</v>
      </c>
      <c r="K287" s="171" t="s">
        <v>76</v>
      </c>
      <c r="L287" s="168" t="s">
        <v>77</v>
      </c>
    </row>
    <row r="288" spans="1:12" x14ac:dyDescent="0.2">
      <c r="A288" s="168" t="s">
        <v>74</v>
      </c>
      <c r="B288" s="168" t="s">
        <v>75</v>
      </c>
      <c r="C288" s="168" t="s">
        <v>11</v>
      </c>
      <c r="D288" s="168" t="s">
        <v>78</v>
      </c>
      <c r="E288" s="232">
        <v>42710</v>
      </c>
      <c r="F288" s="233">
        <v>15.7</v>
      </c>
      <c r="G288" s="171" t="s">
        <v>13</v>
      </c>
      <c r="H288" s="168" t="s">
        <v>18</v>
      </c>
      <c r="I288" s="171">
        <v>1</v>
      </c>
      <c r="J288" s="171" t="s">
        <v>95</v>
      </c>
      <c r="K288" s="171" t="s">
        <v>76</v>
      </c>
      <c r="L288" s="168" t="s">
        <v>77</v>
      </c>
    </row>
    <row r="289" spans="1:12" x14ac:dyDescent="0.2">
      <c r="A289" s="168" t="s">
        <v>74</v>
      </c>
      <c r="B289" s="168" t="s">
        <v>75</v>
      </c>
      <c r="C289" s="168" t="s">
        <v>11</v>
      </c>
      <c r="D289" s="168" t="s">
        <v>78</v>
      </c>
      <c r="E289" s="232">
        <v>42710</v>
      </c>
      <c r="F289" s="233">
        <v>196.799814</v>
      </c>
      <c r="G289" s="171" t="s">
        <v>16</v>
      </c>
      <c r="H289" s="168" t="s">
        <v>18</v>
      </c>
      <c r="I289" s="171">
        <v>1</v>
      </c>
      <c r="J289" s="171" t="s">
        <v>96</v>
      </c>
      <c r="K289" s="171" t="s">
        <v>76</v>
      </c>
      <c r="L289" s="168" t="s">
        <v>77</v>
      </c>
    </row>
    <row r="290" spans="1:12" x14ac:dyDescent="0.2">
      <c r="A290" s="168" t="s">
        <v>74</v>
      </c>
      <c r="B290" s="168" t="s">
        <v>75</v>
      </c>
      <c r="C290" s="168" t="s">
        <v>11</v>
      </c>
      <c r="D290" s="168" t="s">
        <v>12</v>
      </c>
      <c r="E290" s="169">
        <v>42703</v>
      </c>
      <c r="F290" s="170">
        <v>17.899999999999999</v>
      </c>
      <c r="G290" s="171" t="s">
        <v>13</v>
      </c>
      <c r="H290" s="168" t="s">
        <v>14</v>
      </c>
      <c r="I290" s="171">
        <v>1</v>
      </c>
      <c r="J290" s="171" t="s">
        <v>97</v>
      </c>
      <c r="K290" s="171" t="s">
        <v>76</v>
      </c>
      <c r="L290" s="168" t="s">
        <v>77</v>
      </c>
    </row>
    <row r="291" spans="1:12" x14ac:dyDescent="0.2">
      <c r="A291" s="168" t="s">
        <v>74</v>
      </c>
      <c r="B291" s="168" t="s">
        <v>75</v>
      </c>
      <c r="C291" s="168" t="s">
        <v>11</v>
      </c>
      <c r="D291" s="168" t="s">
        <v>12</v>
      </c>
      <c r="E291" s="169">
        <v>42703</v>
      </c>
      <c r="F291" s="170">
        <v>236.02116599999999</v>
      </c>
      <c r="G291" s="171" t="s">
        <v>16</v>
      </c>
      <c r="H291" s="168" t="s">
        <v>14</v>
      </c>
      <c r="I291" s="171">
        <v>1</v>
      </c>
      <c r="J291" s="171" t="s">
        <v>15</v>
      </c>
      <c r="K291" s="171" t="s">
        <v>76</v>
      </c>
      <c r="L291" s="168" t="s">
        <v>77</v>
      </c>
    </row>
    <row r="292" spans="1:12" x14ac:dyDescent="0.2">
      <c r="A292" s="168" t="s">
        <v>74</v>
      </c>
      <c r="B292" s="168" t="s">
        <v>75</v>
      </c>
      <c r="C292" s="168" t="s">
        <v>11</v>
      </c>
      <c r="D292" s="168" t="s">
        <v>78</v>
      </c>
      <c r="E292" s="169">
        <v>42703</v>
      </c>
      <c r="F292" s="170">
        <v>14.4</v>
      </c>
      <c r="G292" s="171" t="s">
        <v>13</v>
      </c>
      <c r="H292" s="168" t="s">
        <v>18</v>
      </c>
      <c r="I292" s="171">
        <v>1</v>
      </c>
      <c r="J292" s="171" t="s">
        <v>15</v>
      </c>
      <c r="K292" s="171" t="s">
        <v>76</v>
      </c>
      <c r="L292" s="168" t="s">
        <v>77</v>
      </c>
    </row>
    <row r="293" spans="1:12" x14ac:dyDescent="0.2">
      <c r="A293" s="168" t="s">
        <v>74</v>
      </c>
      <c r="B293" s="168" t="s">
        <v>75</v>
      </c>
      <c r="C293" s="168" t="s">
        <v>11</v>
      </c>
      <c r="D293" s="168" t="s">
        <v>78</v>
      </c>
      <c r="E293" s="169">
        <v>42703</v>
      </c>
      <c r="F293" s="170">
        <v>189.87177600000001</v>
      </c>
      <c r="G293" s="171" t="s">
        <v>16</v>
      </c>
      <c r="H293" s="168" t="s">
        <v>18</v>
      </c>
      <c r="I293" s="171">
        <v>1</v>
      </c>
      <c r="J293" s="171" t="s">
        <v>15</v>
      </c>
      <c r="K293" s="171" t="s">
        <v>76</v>
      </c>
      <c r="L293" s="168" t="s">
        <v>77</v>
      </c>
    </row>
    <row r="294" spans="1:12" x14ac:dyDescent="0.2">
      <c r="A294" s="168" t="s">
        <v>74</v>
      </c>
      <c r="B294" s="168" t="s">
        <v>75</v>
      </c>
      <c r="C294" s="168" t="s">
        <v>11</v>
      </c>
      <c r="D294" s="168" t="s">
        <v>12</v>
      </c>
      <c r="E294" s="169">
        <v>42696</v>
      </c>
      <c r="F294" s="170">
        <v>20.6</v>
      </c>
      <c r="G294" s="171" t="s">
        <v>13</v>
      </c>
      <c r="H294" s="168" t="s">
        <v>14</v>
      </c>
      <c r="I294" s="171">
        <v>1</v>
      </c>
      <c r="J294" s="171" t="s">
        <v>15</v>
      </c>
      <c r="K294" s="171" t="s">
        <v>76</v>
      </c>
      <c r="L294" s="168" t="s">
        <v>77</v>
      </c>
    </row>
    <row r="295" spans="1:12" x14ac:dyDescent="0.2">
      <c r="A295" s="168" t="s">
        <v>74</v>
      </c>
      <c r="B295" s="168" t="s">
        <v>75</v>
      </c>
      <c r="C295" s="168" t="s">
        <v>11</v>
      </c>
      <c r="D295" s="168" t="s">
        <v>12</v>
      </c>
      <c r="E295" s="169">
        <v>42696</v>
      </c>
      <c r="F295" s="170">
        <v>279.86871600000001</v>
      </c>
      <c r="G295" s="171" t="s">
        <v>16</v>
      </c>
      <c r="H295" s="168" t="s">
        <v>14</v>
      </c>
      <c r="I295" s="171">
        <v>1</v>
      </c>
      <c r="J295" s="171" t="s">
        <v>15</v>
      </c>
      <c r="K295" s="171" t="s">
        <v>76</v>
      </c>
      <c r="L295" s="168" t="s">
        <v>77</v>
      </c>
    </row>
    <row r="296" spans="1:12" x14ac:dyDescent="0.2">
      <c r="A296" s="168" t="s">
        <v>74</v>
      </c>
      <c r="B296" s="168" t="s">
        <v>75</v>
      </c>
      <c r="C296" s="168" t="s">
        <v>11</v>
      </c>
      <c r="D296" s="168" t="s">
        <v>78</v>
      </c>
      <c r="E296" s="169">
        <v>42696</v>
      </c>
      <c r="F296" s="170">
        <v>16.899999999999999</v>
      </c>
      <c r="G296" s="171" t="s">
        <v>13</v>
      </c>
      <c r="H296" s="168" t="s">
        <v>18</v>
      </c>
      <c r="I296" s="171">
        <v>1</v>
      </c>
      <c r="J296" s="171" t="s">
        <v>15</v>
      </c>
      <c r="K296" s="171" t="s">
        <v>76</v>
      </c>
      <c r="L296" s="168" t="s">
        <v>77</v>
      </c>
    </row>
    <row r="297" spans="1:12" x14ac:dyDescent="0.2">
      <c r="A297" s="168" t="s">
        <v>74</v>
      </c>
      <c r="B297" s="168" t="s">
        <v>75</v>
      </c>
      <c r="C297" s="168" t="s">
        <v>11</v>
      </c>
      <c r="D297" s="168" t="s">
        <v>78</v>
      </c>
      <c r="E297" s="169">
        <v>42696</v>
      </c>
      <c r="F297" s="170">
        <v>229.601034</v>
      </c>
      <c r="G297" s="171" t="s">
        <v>16</v>
      </c>
      <c r="H297" s="168" t="s">
        <v>18</v>
      </c>
      <c r="I297" s="171">
        <v>1</v>
      </c>
      <c r="J297" s="171" t="s">
        <v>15</v>
      </c>
      <c r="K297" s="171" t="s">
        <v>76</v>
      </c>
      <c r="L297" s="168" t="s">
        <v>77</v>
      </c>
    </row>
    <row r="298" spans="1:12" x14ac:dyDescent="0.2">
      <c r="A298" s="168" t="s">
        <v>74</v>
      </c>
      <c r="B298" s="168" t="s">
        <v>75</v>
      </c>
      <c r="C298" s="168" t="s">
        <v>11</v>
      </c>
      <c r="D298" s="168" t="s">
        <v>12</v>
      </c>
      <c r="E298" s="169">
        <v>42689</v>
      </c>
      <c r="F298" s="170">
        <v>19.3</v>
      </c>
      <c r="G298" s="171" t="s">
        <v>13</v>
      </c>
      <c r="H298" s="168" t="s">
        <v>14</v>
      </c>
      <c r="I298" s="171">
        <v>1</v>
      </c>
      <c r="J298" s="171" t="s">
        <v>15</v>
      </c>
      <c r="K298" s="171" t="s">
        <v>76</v>
      </c>
      <c r="L298" s="168" t="s">
        <v>77</v>
      </c>
    </row>
    <row r="299" spans="1:12" x14ac:dyDescent="0.2">
      <c r="A299" s="168" t="s">
        <v>74</v>
      </c>
      <c r="B299" s="168" t="s">
        <v>75</v>
      </c>
      <c r="C299" s="168" t="s">
        <v>11</v>
      </c>
      <c r="D299" s="168" t="s">
        <v>12</v>
      </c>
      <c r="E299" s="169">
        <v>42689</v>
      </c>
      <c r="F299" s="170">
        <v>248.36436599999999</v>
      </c>
      <c r="G299" s="171" t="s">
        <v>16</v>
      </c>
      <c r="H299" s="168" t="s">
        <v>14</v>
      </c>
      <c r="I299" s="171">
        <v>1</v>
      </c>
      <c r="J299" s="171" t="s">
        <v>15</v>
      </c>
      <c r="K299" s="171" t="s">
        <v>76</v>
      </c>
      <c r="L299" s="168" t="s">
        <v>77</v>
      </c>
    </row>
    <row r="300" spans="1:12" x14ac:dyDescent="0.2">
      <c r="A300" s="168" t="s">
        <v>74</v>
      </c>
      <c r="B300" s="168" t="s">
        <v>75</v>
      </c>
      <c r="C300" s="168" t="s">
        <v>11</v>
      </c>
      <c r="D300" s="168" t="s">
        <v>78</v>
      </c>
      <c r="E300" s="169">
        <v>42689</v>
      </c>
      <c r="F300" s="170">
        <v>14.8</v>
      </c>
      <c r="G300" s="171" t="s">
        <v>13</v>
      </c>
      <c r="H300" s="168" t="s">
        <v>18</v>
      </c>
      <c r="I300" s="171">
        <v>1</v>
      </c>
      <c r="J300" s="171" t="s">
        <v>15</v>
      </c>
      <c r="K300" s="171" t="s">
        <v>76</v>
      </c>
      <c r="L300" s="168" t="s">
        <v>77</v>
      </c>
    </row>
    <row r="301" spans="1:12" x14ac:dyDescent="0.2">
      <c r="A301" s="168" t="s">
        <v>74</v>
      </c>
      <c r="B301" s="168" t="s">
        <v>75</v>
      </c>
      <c r="C301" s="168" t="s">
        <v>11</v>
      </c>
      <c r="D301" s="168" t="s">
        <v>78</v>
      </c>
      <c r="E301" s="169">
        <v>42689</v>
      </c>
      <c r="F301" s="170">
        <v>190.45557600000001</v>
      </c>
      <c r="G301" s="171" t="s">
        <v>16</v>
      </c>
      <c r="H301" s="168" t="s">
        <v>18</v>
      </c>
      <c r="I301" s="171">
        <v>1</v>
      </c>
      <c r="J301" s="171" t="s">
        <v>15</v>
      </c>
      <c r="K301" s="171" t="s">
        <v>76</v>
      </c>
      <c r="L301" s="168" t="s">
        <v>77</v>
      </c>
    </row>
    <row r="302" spans="1:12" x14ac:dyDescent="0.2">
      <c r="A302" s="168" t="s">
        <v>74</v>
      </c>
      <c r="B302" s="168" t="s">
        <v>75</v>
      </c>
      <c r="C302" s="168" t="s">
        <v>11</v>
      </c>
      <c r="D302" s="168" t="s">
        <v>12</v>
      </c>
      <c r="E302" s="169">
        <v>42682</v>
      </c>
      <c r="F302" s="170">
        <v>18.7</v>
      </c>
      <c r="G302" s="171" t="s">
        <v>13</v>
      </c>
      <c r="H302" s="168" t="s">
        <v>14</v>
      </c>
      <c r="I302" s="171">
        <v>1</v>
      </c>
      <c r="J302" s="171" t="s">
        <v>15</v>
      </c>
      <c r="K302" s="171" t="s">
        <v>76</v>
      </c>
      <c r="L302" s="168" t="s">
        <v>77</v>
      </c>
    </row>
    <row r="303" spans="1:12" x14ac:dyDescent="0.2">
      <c r="A303" s="168" t="s">
        <v>74</v>
      </c>
      <c r="B303" s="168" t="s">
        <v>75</v>
      </c>
      <c r="C303" s="168" t="s">
        <v>11</v>
      </c>
      <c r="D303" s="168" t="s">
        <v>12</v>
      </c>
      <c r="E303" s="169">
        <v>42682</v>
      </c>
      <c r="F303" s="170">
        <v>262.78922999999998</v>
      </c>
      <c r="G303" s="171" t="s">
        <v>16</v>
      </c>
      <c r="H303" s="168" t="s">
        <v>14</v>
      </c>
      <c r="I303" s="171">
        <v>1</v>
      </c>
      <c r="J303" s="171" t="s">
        <v>15</v>
      </c>
      <c r="K303" s="171" t="s">
        <v>76</v>
      </c>
      <c r="L303" s="168" t="s">
        <v>77</v>
      </c>
    </row>
    <row r="304" spans="1:12" x14ac:dyDescent="0.2">
      <c r="A304" s="168" t="s">
        <v>74</v>
      </c>
      <c r="B304" s="168" t="s">
        <v>75</v>
      </c>
      <c r="C304" s="168" t="s">
        <v>11</v>
      </c>
      <c r="D304" s="168" t="s">
        <v>78</v>
      </c>
      <c r="E304" s="169">
        <v>42682</v>
      </c>
      <c r="F304" s="170">
        <v>13.6</v>
      </c>
      <c r="G304" s="171" t="s">
        <v>13</v>
      </c>
      <c r="H304" s="168" t="s">
        <v>18</v>
      </c>
      <c r="I304" s="171">
        <v>1</v>
      </c>
      <c r="J304" s="171" t="s">
        <v>15</v>
      </c>
      <c r="K304" s="171" t="s">
        <v>76</v>
      </c>
      <c r="L304" s="168" t="s">
        <v>77</v>
      </c>
    </row>
    <row r="305" spans="1:12" x14ac:dyDescent="0.2">
      <c r="A305" s="168" t="s">
        <v>74</v>
      </c>
      <c r="B305" s="168" t="s">
        <v>75</v>
      </c>
      <c r="C305" s="168" t="s">
        <v>11</v>
      </c>
      <c r="D305" s="168" t="s">
        <v>78</v>
      </c>
      <c r="E305" s="169">
        <v>42682</v>
      </c>
      <c r="F305" s="170">
        <v>191.11944</v>
      </c>
      <c r="G305" s="171" t="s">
        <v>16</v>
      </c>
      <c r="H305" s="168" t="s">
        <v>18</v>
      </c>
      <c r="I305" s="171">
        <v>1</v>
      </c>
      <c r="J305" s="171" t="s">
        <v>15</v>
      </c>
      <c r="K305" s="171" t="s">
        <v>76</v>
      </c>
      <c r="L305" s="168" t="s">
        <v>77</v>
      </c>
    </row>
    <row r="306" spans="1:12" x14ac:dyDescent="0.2">
      <c r="A306" s="168" t="s">
        <v>74</v>
      </c>
      <c r="B306" s="168" t="s">
        <v>75</v>
      </c>
      <c r="C306" s="168" t="s">
        <v>11</v>
      </c>
      <c r="D306" s="168" t="s">
        <v>12</v>
      </c>
      <c r="E306" s="169">
        <v>42675</v>
      </c>
      <c r="F306" s="170">
        <v>16.899999999999999</v>
      </c>
      <c r="G306" s="171" t="s">
        <v>13</v>
      </c>
      <c r="H306" s="168" t="s">
        <v>14</v>
      </c>
      <c r="I306" s="171">
        <v>1</v>
      </c>
      <c r="J306" s="171" t="s">
        <v>15</v>
      </c>
      <c r="K306" s="171" t="s">
        <v>76</v>
      </c>
      <c r="L306" s="168" t="s">
        <v>77</v>
      </c>
    </row>
    <row r="307" spans="1:12" x14ac:dyDescent="0.2">
      <c r="A307" s="168" t="s">
        <v>74</v>
      </c>
      <c r="B307" s="168" t="s">
        <v>75</v>
      </c>
      <c r="C307" s="168" t="s">
        <v>11</v>
      </c>
      <c r="D307" s="168" t="s">
        <v>12</v>
      </c>
      <c r="E307" s="169">
        <v>42675</v>
      </c>
      <c r="F307" s="170">
        <v>289.36213800000002</v>
      </c>
      <c r="G307" s="171" t="s">
        <v>16</v>
      </c>
      <c r="H307" s="168" t="s">
        <v>14</v>
      </c>
      <c r="I307" s="171">
        <v>1</v>
      </c>
      <c r="J307" s="171" t="s">
        <v>15</v>
      </c>
      <c r="K307" s="171" t="s">
        <v>76</v>
      </c>
      <c r="L307" s="168" t="s">
        <v>77</v>
      </c>
    </row>
    <row r="308" spans="1:12" x14ac:dyDescent="0.2">
      <c r="A308" s="168" t="s">
        <v>74</v>
      </c>
      <c r="B308" s="168" t="s">
        <v>75</v>
      </c>
      <c r="C308" s="168" t="s">
        <v>11</v>
      </c>
      <c r="D308" s="168" t="s">
        <v>78</v>
      </c>
      <c r="E308" s="169">
        <v>42675</v>
      </c>
      <c r="F308" s="170">
        <v>10.3</v>
      </c>
      <c r="G308" s="171" t="s">
        <v>13</v>
      </c>
      <c r="H308" s="168" t="s">
        <v>18</v>
      </c>
      <c r="I308" s="171">
        <v>3</v>
      </c>
      <c r="J308" s="171" t="s">
        <v>15</v>
      </c>
      <c r="K308" s="171" t="s">
        <v>76</v>
      </c>
      <c r="L308" s="168" t="s">
        <v>79</v>
      </c>
    </row>
    <row r="309" spans="1:12" x14ac:dyDescent="0.2">
      <c r="A309" s="168" t="s">
        <v>74</v>
      </c>
      <c r="B309" s="168" t="s">
        <v>75</v>
      </c>
      <c r="C309" s="168" t="s">
        <v>11</v>
      </c>
      <c r="D309" s="168" t="s">
        <v>78</v>
      </c>
      <c r="E309" s="169">
        <v>42675</v>
      </c>
      <c r="F309" s="170">
        <v>176.35680600000001</v>
      </c>
      <c r="G309" s="171" t="s">
        <v>16</v>
      </c>
      <c r="H309" s="168" t="s">
        <v>18</v>
      </c>
      <c r="I309" s="171">
        <v>3</v>
      </c>
      <c r="J309" s="171" t="s">
        <v>15</v>
      </c>
      <c r="K309" s="171" t="s">
        <v>76</v>
      </c>
      <c r="L309" s="168" t="s">
        <v>79</v>
      </c>
    </row>
    <row r="310" spans="1:12" x14ac:dyDescent="0.2">
      <c r="A310" s="168" t="s">
        <v>74</v>
      </c>
      <c r="B310" s="168" t="s">
        <v>75</v>
      </c>
      <c r="C310" s="168" t="s">
        <v>11</v>
      </c>
      <c r="D310" s="168" t="s">
        <v>12</v>
      </c>
      <c r="E310" s="169">
        <v>42668</v>
      </c>
      <c r="F310" s="170">
        <v>19.600000000000001</v>
      </c>
      <c r="G310" s="171" t="s">
        <v>13</v>
      </c>
      <c r="H310" s="168" t="s">
        <v>14</v>
      </c>
      <c r="I310" s="171">
        <v>1</v>
      </c>
      <c r="J310" s="171" t="s">
        <v>15</v>
      </c>
      <c r="K310" s="171" t="s">
        <v>76</v>
      </c>
      <c r="L310" s="168" t="s">
        <v>77</v>
      </c>
    </row>
    <row r="311" spans="1:12" x14ac:dyDescent="0.2">
      <c r="A311" s="168" t="s">
        <v>74</v>
      </c>
      <c r="B311" s="168" t="s">
        <v>75</v>
      </c>
      <c r="C311" s="168" t="s">
        <v>11</v>
      </c>
      <c r="D311" s="168" t="s">
        <v>12</v>
      </c>
      <c r="E311" s="169">
        <v>42668</v>
      </c>
      <c r="F311" s="170">
        <v>361.90929599999998</v>
      </c>
      <c r="G311" s="171" t="s">
        <v>16</v>
      </c>
      <c r="H311" s="168" t="s">
        <v>14</v>
      </c>
      <c r="I311" s="171">
        <v>1</v>
      </c>
      <c r="J311" s="171" t="s">
        <v>15</v>
      </c>
      <c r="K311" s="171" t="s">
        <v>76</v>
      </c>
      <c r="L311" s="168" t="s">
        <v>77</v>
      </c>
    </row>
    <row r="312" spans="1:12" x14ac:dyDescent="0.2">
      <c r="A312" s="168" t="s">
        <v>74</v>
      </c>
      <c r="B312" s="168" t="s">
        <v>75</v>
      </c>
      <c r="C312" s="168" t="s">
        <v>11</v>
      </c>
      <c r="D312" s="168" t="s">
        <v>78</v>
      </c>
      <c r="E312" s="169">
        <v>42668</v>
      </c>
      <c r="F312" s="170">
        <v>11.4</v>
      </c>
      <c r="G312" s="171" t="s">
        <v>13</v>
      </c>
      <c r="H312" s="168" t="s">
        <v>18</v>
      </c>
      <c r="I312" s="171">
        <v>1</v>
      </c>
      <c r="J312" s="171" t="s">
        <v>15</v>
      </c>
      <c r="K312" s="171" t="s">
        <v>76</v>
      </c>
      <c r="L312" s="168" t="s">
        <v>77</v>
      </c>
    </row>
    <row r="313" spans="1:12" x14ac:dyDescent="0.2">
      <c r="A313" s="168" t="s">
        <v>74</v>
      </c>
      <c r="B313" s="168" t="s">
        <v>75</v>
      </c>
      <c r="C313" s="168" t="s">
        <v>11</v>
      </c>
      <c r="D313" s="168" t="s">
        <v>78</v>
      </c>
      <c r="E313" s="169">
        <v>42668</v>
      </c>
      <c r="F313" s="170">
        <v>210.49826400000001</v>
      </c>
      <c r="G313" s="171" t="s">
        <v>16</v>
      </c>
      <c r="H313" s="168" t="s">
        <v>18</v>
      </c>
      <c r="I313" s="171">
        <v>1</v>
      </c>
      <c r="J313" s="171" t="s">
        <v>15</v>
      </c>
      <c r="K313" s="171" t="s">
        <v>76</v>
      </c>
      <c r="L313" s="168" t="s">
        <v>77</v>
      </c>
    </row>
    <row r="314" spans="1:12" x14ac:dyDescent="0.2">
      <c r="A314" s="168" t="s">
        <v>74</v>
      </c>
      <c r="B314" s="168" t="s">
        <v>75</v>
      </c>
      <c r="C314" s="168" t="s">
        <v>11</v>
      </c>
      <c r="D314" s="168" t="s">
        <v>12</v>
      </c>
      <c r="E314" s="169">
        <v>42661</v>
      </c>
      <c r="F314" s="170">
        <v>13.8</v>
      </c>
      <c r="G314" s="171" t="s">
        <v>13</v>
      </c>
      <c r="H314" s="168" t="s">
        <v>14</v>
      </c>
      <c r="I314" s="171">
        <v>1</v>
      </c>
      <c r="J314" s="171" t="s">
        <v>15</v>
      </c>
      <c r="K314" s="171" t="s">
        <v>76</v>
      </c>
      <c r="L314" s="168" t="s">
        <v>77</v>
      </c>
    </row>
    <row r="315" spans="1:12" x14ac:dyDescent="0.2">
      <c r="A315" s="168" t="s">
        <v>74</v>
      </c>
      <c r="B315" s="168" t="s">
        <v>75</v>
      </c>
      <c r="C315" s="168" t="s">
        <v>11</v>
      </c>
      <c r="D315" s="168" t="s">
        <v>12</v>
      </c>
      <c r="E315" s="169">
        <v>42661</v>
      </c>
      <c r="F315" s="170">
        <v>224.42939999999999</v>
      </c>
      <c r="G315" s="171" t="s">
        <v>16</v>
      </c>
      <c r="H315" s="168" t="s">
        <v>14</v>
      </c>
      <c r="I315" s="171">
        <v>1</v>
      </c>
      <c r="J315" s="171" t="s">
        <v>15</v>
      </c>
      <c r="K315" s="171" t="s">
        <v>76</v>
      </c>
      <c r="L315" s="168" t="s">
        <v>77</v>
      </c>
    </row>
    <row r="316" spans="1:12" x14ac:dyDescent="0.2">
      <c r="A316" s="168" t="s">
        <v>74</v>
      </c>
      <c r="B316" s="168" t="s">
        <v>75</v>
      </c>
      <c r="C316" s="168" t="s">
        <v>11</v>
      </c>
      <c r="D316" s="168" t="s">
        <v>78</v>
      </c>
      <c r="E316" s="169">
        <v>42661</v>
      </c>
      <c r="F316" s="170">
        <v>11.9</v>
      </c>
      <c r="G316" s="171" t="s">
        <v>13</v>
      </c>
      <c r="H316" s="168" t="s">
        <v>18</v>
      </c>
      <c r="I316" s="171">
        <v>1</v>
      </c>
      <c r="J316" s="171" t="s">
        <v>15</v>
      </c>
      <c r="K316" s="171" t="s">
        <v>76</v>
      </c>
      <c r="L316" s="168" t="s">
        <v>77</v>
      </c>
    </row>
    <row r="317" spans="1:12" x14ac:dyDescent="0.2">
      <c r="A317" s="168" t="s">
        <v>74</v>
      </c>
      <c r="B317" s="168" t="s">
        <v>75</v>
      </c>
      <c r="C317" s="168" t="s">
        <v>11</v>
      </c>
      <c r="D317" s="168" t="s">
        <v>78</v>
      </c>
      <c r="E317" s="169">
        <v>42661</v>
      </c>
      <c r="F317" s="170">
        <v>193.52969999999999</v>
      </c>
      <c r="G317" s="171" t="s">
        <v>16</v>
      </c>
      <c r="H317" s="168" t="s">
        <v>18</v>
      </c>
      <c r="I317" s="171">
        <v>1</v>
      </c>
      <c r="J317" s="171" t="s">
        <v>15</v>
      </c>
      <c r="K317" s="171" t="s">
        <v>76</v>
      </c>
      <c r="L317" s="168" t="s">
        <v>77</v>
      </c>
    </row>
    <row r="318" spans="1:12" x14ac:dyDescent="0.2">
      <c r="A318" s="168" t="s">
        <v>74</v>
      </c>
      <c r="B318" s="168" t="s">
        <v>75</v>
      </c>
      <c r="C318" s="168" t="s">
        <v>11</v>
      </c>
      <c r="D318" s="168" t="s">
        <v>12</v>
      </c>
      <c r="E318" s="169">
        <v>42654</v>
      </c>
      <c r="F318" s="170">
        <v>12.8</v>
      </c>
      <c r="G318" s="171" t="s">
        <v>13</v>
      </c>
      <c r="H318" s="168" t="s">
        <v>14</v>
      </c>
      <c r="I318" s="171">
        <v>1</v>
      </c>
      <c r="J318" s="171" t="s">
        <v>15</v>
      </c>
      <c r="K318" s="171" t="s">
        <v>76</v>
      </c>
      <c r="L318" s="168" t="s">
        <v>77</v>
      </c>
    </row>
    <row r="319" spans="1:12" x14ac:dyDescent="0.2">
      <c r="A319" s="168" t="s">
        <v>74</v>
      </c>
      <c r="B319" s="168" t="s">
        <v>75</v>
      </c>
      <c r="C319" s="168" t="s">
        <v>11</v>
      </c>
      <c r="D319" s="168" t="s">
        <v>12</v>
      </c>
      <c r="E319" s="169">
        <v>42654</v>
      </c>
      <c r="F319" s="170">
        <v>262.39641599999999</v>
      </c>
      <c r="G319" s="171" t="s">
        <v>16</v>
      </c>
      <c r="H319" s="168" t="s">
        <v>14</v>
      </c>
      <c r="I319" s="171">
        <v>1</v>
      </c>
      <c r="J319" s="171" t="s">
        <v>15</v>
      </c>
      <c r="K319" s="171" t="s">
        <v>76</v>
      </c>
      <c r="L319" s="168" t="s">
        <v>77</v>
      </c>
    </row>
    <row r="320" spans="1:12" x14ac:dyDescent="0.2">
      <c r="A320" s="168" t="s">
        <v>74</v>
      </c>
      <c r="B320" s="168" t="s">
        <v>75</v>
      </c>
      <c r="C320" s="168" t="s">
        <v>11</v>
      </c>
      <c r="D320" s="168" t="s">
        <v>78</v>
      </c>
      <c r="E320" s="169">
        <v>42654</v>
      </c>
      <c r="F320" s="170">
        <v>10.3</v>
      </c>
      <c r="G320" s="171" t="s">
        <v>13</v>
      </c>
      <c r="H320" s="168" t="s">
        <v>18</v>
      </c>
      <c r="I320" s="171">
        <v>3</v>
      </c>
      <c r="J320" s="171" t="s">
        <v>15</v>
      </c>
      <c r="K320" s="171" t="s">
        <v>76</v>
      </c>
      <c r="L320" s="168" t="s">
        <v>79</v>
      </c>
    </row>
    <row r="321" spans="1:12" x14ac:dyDescent="0.2">
      <c r="A321" s="168" t="s">
        <v>74</v>
      </c>
      <c r="B321" s="168" t="s">
        <v>75</v>
      </c>
      <c r="C321" s="168" t="s">
        <v>11</v>
      </c>
      <c r="D321" s="168" t="s">
        <v>78</v>
      </c>
      <c r="E321" s="169">
        <v>42654</v>
      </c>
      <c r="F321" s="170">
        <v>211.14711600000001</v>
      </c>
      <c r="G321" s="171" t="s">
        <v>16</v>
      </c>
      <c r="H321" s="168" t="s">
        <v>18</v>
      </c>
      <c r="I321" s="171">
        <v>3</v>
      </c>
      <c r="J321" s="171" t="s">
        <v>15</v>
      </c>
      <c r="K321" s="171" t="s">
        <v>76</v>
      </c>
      <c r="L321" s="168" t="s">
        <v>79</v>
      </c>
    </row>
    <row r="322" spans="1:12" x14ac:dyDescent="0.2">
      <c r="A322" s="168" t="s">
        <v>74</v>
      </c>
      <c r="B322" s="168" t="s">
        <v>75</v>
      </c>
      <c r="C322" s="168" t="s">
        <v>11</v>
      </c>
      <c r="D322" s="168" t="s">
        <v>12</v>
      </c>
      <c r="E322" s="169">
        <v>42647</v>
      </c>
      <c r="F322" s="170">
        <v>11</v>
      </c>
      <c r="G322" s="171" t="s">
        <v>13</v>
      </c>
      <c r="H322" s="168" t="s">
        <v>14</v>
      </c>
      <c r="I322" s="171">
        <v>1</v>
      </c>
      <c r="J322" s="171" t="s">
        <v>15</v>
      </c>
      <c r="K322" s="171" t="s">
        <v>76</v>
      </c>
      <c r="L322" s="168" t="s">
        <v>77</v>
      </c>
    </row>
    <row r="323" spans="1:12" x14ac:dyDescent="0.2">
      <c r="A323" s="168" t="s">
        <v>74</v>
      </c>
      <c r="B323" s="168" t="s">
        <v>75</v>
      </c>
      <c r="C323" s="168" t="s">
        <v>11</v>
      </c>
      <c r="D323" s="168" t="s">
        <v>12</v>
      </c>
      <c r="E323" s="169">
        <v>42647</v>
      </c>
      <c r="F323" s="170">
        <v>292.74234000000001</v>
      </c>
      <c r="G323" s="171" t="s">
        <v>16</v>
      </c>
      <c r="H323" s="168" t="s">
        <v>14</v>
      </c>
      <c r="I323" s="171">
        <v>1</v>
      </c>
      <c r="J323" s="171" t="s">
        <v>15</v>
      </c>
      <c r="K323" s="171" t="s">
        <v>76</v>
      </c>
      <c r="L323" s="168" t="s">
        <v>77</v>
      </c>
    </row>
    <row r="324" spans="1:12" x14ac:dyDescent="0.2">
      <c r="A324" s="168" t="s">
        <v>74</v>
      </c>
      <c r="B324" s="168" t="s">
        <v>75</v>
      </c>
      <c r="C324" s="168" t="s">
        <v>11</v>
      </c>
      <c r="D324" s="168" t="s">
        <v>78</v>
      </c>
      <c r="E324" s="169">
        <v>42647</v>
      </c>
      <c r="F324" s="170">
        <v>9.8800000000000008</v>
      </c>
      <c r="G324" s="171" t="s">
        <v>13</v>
      </c>
      <c r="H324" s="168" t="s">
        <v>18</v>
      </c>
      <c r="I324" s="171">
        <v>3</v>
      </c>
      <c r="J324" s="171" t="s">
        <v>15</v>
      </c>
      <c r="K324" s="171" t="s">
        <v>76</v>
      </c>
      <c r="L324" s="168" t="s">
        <v>79</v>
      </c>
    </row>
    <row r="325" spans="1:12" x14ac:dyDescent="0.2">
      <c r="A325" s="168" t="s">
        <v>74</v>
      </c>
      <c r="B325" s="168" t="s">
        <v>75</v>
      </c>
      <c r="C325" s="168" t="s">
        <v>11</v>
      </c>
      <c r="D325" s="168" t="s">
        <v>78</v>
      </c>
      <c r="E325" s="169">
        <v>42647</v>
      </c>
      <c r="F325" s="170">
        <v>262.93584720000001</v>
      </c>
      <c r="G325" s="171" t="s">
        <v>16</v>
      </c>
      <c r="H325" s="168" t="s">
        <v>18</v>
      </c>
      <c r="I325" s="171">
        <v>3</v>
      </c>
      <c r="J325" s="171" t="s">
        <v>15</v>
      </c>
      <c r="K325" s="171" t="s">
        <v>76</v>
      </c>
      <c r="L325" s="168" t="s">
        <v>79</v>
      </c>
    </row>
    <row r="326" spans="1:12" x14ac:dyDescent="0.2">
      <c r="A326" s="168" t="s">
        <v>74</v>
      </c>
      <c r="B326" s="168" t="s">
        <v>75</v>
      </c>
      <c r="C326" s="168" t="s">
        <v>11</v>
      </c>
      <c r="D326" s="168" t="s">
        <v>12</v>
      </c>
      <c r="E326" s="169">
        <v>42640</v>
      </c>
      <c r="F326" s="170">
        <v>11.2</v>
      </c>
      <c r="G326" s="171" t="s">
        <v>13</v>
      </c>
      <c r="H326" s="168" t="s">
        <v>14</v>
      </c>
      <c r="I326" s="171">
        <v>1</v>
      </c>
      <c r="J326" s="171" t="s">
        <v>15</v>
      </c>
      <c r="K326" s="171" t="s">
        <v>76</v>
      </c>
      <c r="L326" s="168" t="s">
        <v>77</v>
      </c>
    </row>
    <row r="327" spans="1:12" x14ac:dyDescent="0.2">
      <c r="A327" s="168" t="s">
        <v>74</v>
      </c>
      <c r="B327" s="168" t="s">
        <v>75</v>
      </c>
      <c r="C327" s="168" t="s">
        <v>11</v>
      </c>
      <c r="D327" s="168" t="s">
        <v>12</v>
      </c>
      <c r="E327" s="169">
        <v>42640</v>
      </c>
      <c r="F327" s="170">
        <v>545.22249599999998</v>
      </c>
      <c r="G327" s="171" t="s">
        <v>16</v>
      </c>
      <c r="H327" s="168" t="s">
        <v>14</v>
      </c>
      <c r="I327" s="171">
        <v>1</v>
      </c>
      <c r="J327" s="171" t="s">
        <v>15</v>
      </c>
      <c r="K327" s="171" t="s">
        <v>76</v>
      </c>
      <c r="L327" s="168" t="s">
        <v>77</v>
      </c>
    </row>
    <row r="328" spans="1:12" x14ac:dyDescent="0.2">
      <c r="A328" s="168" t="s">
        <v>74</v>
      </c>
      <c r="B328" s="168" t="s">
        <v>75</v>
      </c>
      <c r="C328" s="168" t="s">
        <v>11</v>
      </c>
      <c r="D328" s="168" t="s">
        <v>78</v>
      </c>
      <c r="E328" s="169">
        <v>42640</v>
      </c>
      <c r="F328" s="170">
        <v>8.7100000000000009</v>
      </c>
      <c r="G328" s="171" t="s">
        <v>13</v>
      </c>
      <c r="H328" s="168" t="s">
        <v>18</v>
      </c>
      <c r="I328" s="171">
        <v>3</v>
      </c>
      <c r="J328" s="171" t="s">
        <v>15</v>
      </c>
      <c r="K328" s="171" t="s">
        <v>76</v>
      </c>
      <c r="L328" s="168" t="s">
        <v>79</v>
      </c>
    </row>
    <row r="329" spans="1:12" x14ac:dyDescent="0.2">
      <c r="A329" s="168" t="s">
        <v>74</v>
      </c>
      <c r="B329" s="168" t="s">
        <v>75</v>
      </c>
      <c r="C329" s="168" t="s">
        <v>11</v>
      </c>
      <c r="D329" s="168" t="s">
        <v>78</v>
      </c>
      <c r="E329" s="169">
        <v>42640</v>
      </c>
      <c r="F329" s="170">
        <v>424.00785180000003</v>
      </c>
      <c r="G329" s="171" t="s">
        <v>16</v>
      </c>
      <c r="H329" s="168" t="s">
        <v>18</v>
      </c>
      <c r="I329" s="171">
        <v>3</v>
      </c>
      <c r="J329" s="171" t="s">
        <v>15</v>
      </c>
      <c r="K329" s="171" t="s">
        <v>76</v>
      </c>
      <c r="L329" s="168" t="s">
        <v>79</v>
      </c>
    </row>
    <row r="330" spans="1:12" x14ac:dyDescent="0.2">
      <c r="A330" s="168" t="s">
        <v>74</v>
      </c>
      <c r="B330" s="168" t="s">
        <v>75</v>
      </c>
      <c r="C330" s="168" t="s">
        <v>11</v>
      </c>
      <c r="D330" s="168" t="s">
        <v>12</v>
      </c>
      <c r="E330" s="169">
        <v>42633</v>
      </c>
      <c r="F330" s="170">
        <v>19.7</v>
      </c>
      <c r="G330" s="171" t="s">
        <v>13</v>
      </c>
      <c r="H330" s="168" t="s">
        <v>14</v>
      </c>
      <c r="I330" s="171">
        <v>1</v>
      </c>
      <c r="J330" s="171" t="s">
        <v>15</v>
      </c>
      <c r="K330" s="171" t="s">
        <v>76</v>
      </c>
      <c r="L330" s="168" t="s">
        <v>77</v>
      </c>
    </row>
    <row r="331" spans="1:12" x14ac:dyDescent="0.2">
      <c r="A331" s="168" t="s">
        <v>74</v>
      </c>
      <c r="B331" s="168" t="s">
        <v>75</v>
      </c>
      <c r="C331" s="168" t="s">
        <v>11</v>
      </c>
      <c r="D331" s="168" t="s">
        <v>12</v>
      </c>
      <c r="E331" s="169">
        <v>42633</v>
      </c>
      <c r="F331" s="170">
        <v>486.65067599999998</v>
      </c>
      <c r="G331" s="171" t="s">
        <v>16</v>
      </c>
      <c r="H331" s="168" t="s">
        <v>14</v>
      </c>
      <c r="I331" s="171">
        <v>1</v>
      </c>
      <c r="J331" s="171" t="s">
        <v>15</v>
      </c>
      <c r="K331" s="171" t="s">
        <v>76</v>
      </c>
      <c r="L331" s="168" t="s">
        <v>77</v>
      </c>
    </row>
    <row r="332" spans="1:12" x14ac:dyDescent="0.2">
      <c r="A332" s="168" t="s">
        <v>74</v>
      </c>
      <c r="B332" s="168" t="s">
        <v>75</v>
      </c>
      <c r="C332" s="168" t="s">
        <v>11</v>
      </c>
      <c r="D332" s="168" t="s">
        <v>78</v>
      </c>
      <c r="E332" s="169">
        <v>42633</v>
      </c>
      <c r="F332" s="170">
        <v>14.9</v>
      </c>
      <c r="G332" s="171" t="s">
        <v>13</v>
      </c>
      <c r="H332" s="168" t="s">
        <v>18</v>
      </c>
      <c r="I332" s="171">
        <v>3</v>
      </c>
      <c r="J332" s="171" t="s">
        <v>15</v>
      </c>
      <c r="K332" s="171" t="s">
        <v>76</v>
      </c>
      <c r="L332" s="168" t="s">
        <v>79</v>
      </c>
    </row>
    <row r="333" spans="1:12" x14ac:dyDescent="0.2">
      <c r="A333" s="168" t="s">
        <v>74</v>
      </c>
      <c r="B333" s="168" t="s">
        <v>75</v>
      </c>
      <c r="C333" s="168" t="s">
        <v>11</v>
      </c>
      <c r="D333" s="168" t="s">
        <v>78</v>
      </c>
      <c r="E333" s="169">
        <v>42633</v>
      </c>
      <c r="F333" s="170">
        <v>368.07589200000001</v>
      </c>
      <c r="G333" s="171" t="s">
        <v>16</v>
      </c>
      <c r="H333" s="168" t="s">
        <v>18</v>
      </c>
      <c r="I333" s="171">
        <v>3</v>
      </c>
      <c r="J333" s="171" t="s">
        <v>15</v>
      </c>
      <c r="K333" s="171" t="s">
        <v>76</v>
      </c>
      <c r="L333" s="168" t="s">
        <v>79</v>
      </c>
    </row>
    <row r="334" spans="1:12" x14ac:dyDescent="0.2">
      <c r="A334" s="168" t="s">
        <v>74</v>
      </c>
      <c r="B334" s="168" t="s">
        <v>75</v>
      </c>
      <c r="C334" s="168" t="s">
        <v>11</v>
      </c>
      <c r="D334" s="168" t="s">
        <v>12</v>
      </c>
      <c r="E334" s="169">
        <v>42626</v>
      </c>
      <c r="F334" s="170">
        <v>11.2</v>
      </c>
      <c r="G334" s="171" t="s">
        <v>13</v>
      </c>
      <c r="H334" s="168" t="s">
        <v>14</v>
      </c>
      <c r="I334" s="171">
        <v>1</v>
      </c>
      <c r="J334" s="171" t="s">
        <v>15</v>
      </c>
      <c r="K334" s="171" t="s">
        <v>76</v>
      </c>
      <c r="L334" s="168" t="s">
        <v>77</v>
      </c>
    </row>
    <row r="335" spans="1:12" x14ac:dyDescent="0.2">
      <c r="A335" s="168" t="s">
        <v>74</v>
      </c>
      <c r="B335" s="168" t="s">
        <v>75</v>
      </c>
      <c r="C335" s="168" t="s">
        <v>11</v>
      </c>
      <c r="D335" s="168" t="s">
        <v>12</v>
      </c>
      <c r="E335" s="169">
        <v>42626</v>
      </c>
      <c r="F335" s="170">
        <v>300.77375999999998</v>
      </c>
      <c r="G335" s="171" t="s">
        <v>16</v>
      </c>
      <c r="H335" s="168" t="s">
        <v>14</v>
      </c>
      <c r="I335" s="171">
        <v>1</v>
      </c>
      <c r="J335" s="171" t="s">
        <v>15</v>
      </c>
      <c r="K335" s="171" t="s">
        <v>76</v>
      </c>
      <c r="L335" s="168" t="s">
        <v>77</v>
      </c>
    </row>
    <row r="336" spans="1:12" x14ac:dyDescent="0.2">
      <c r="A336" s="168" t="s">
        <v>74</v>
      </c>
      <c r="B336" s="168" t="s">
        <v>75</v>
      </c>
      <c r="C336" s="168" t="s">
        <v>11</v>
      </c>
      <c r="D336" s="168" t="s">
        <v>78</v>
      </c>
      <c r="E336" s="169">
        <v>42626</v>
      </c>
      <c r="F336" s="170">
        <v>10.3</v>
      </c>
      <c r="G336" s="171" t="s">
        <v>13</v>
      </c>
      <c r="H336" s="168" t="s">
        <v>18</v>
      </c>
      <c r="I336" s="171">
        <v>3</v>
      </c>
      <c r="J336" s="171" t="s">
        <v>15</v>
      </c>
      <c r="K336" s="171" t="s">
        <v>76</v>
      </c>
      <c r="L336" s="168" t="s">
        <v>79</v>
      </c>
    </row>
    <row r="337" spans="1:12" x14ac:dyDescent="0.2">
      <c r="A337" s="168" t="s">
        <v>74</v>
      </c>
      <c r="B337" s="168" t="s">
        <v>75</v>
      </c>
      <c r="C337" s="168" t="s">
        <v>11</v>
      </c>
      <c r="D337" s="168" t="s">
        <v>78</v>
      </c>
      <c r="E337" s="169">
        <v>42626</v>
      </c>
      <c r="F337" s="170">
        <v>276.60444000000001</v>
      </c>
      <c r="G337" s="171" t="s">
        <v>16</v>
      </c>
      <c r="H337" s="168" t="s">
        <v>18</v>
      </c>
      <c r="I337" s="171">
        <v>3</v>
      </c>
      <c r="J337" s="171" t="s">
        <v>15</v>
      </c>
      <c r="K337" s="171" t="s">
        <v>76</v>
      </c>
      <c r="L337" s="168" t="s">
        <v>79</v>
      </c>
    </row>
    <row r="338" spans="1:12" x14ac:dyDescent="0.2">
      <c r="A338" s="168" t="s">
        <v>74</v>
      </c>
      <c r="B338" s="168" t="s">
        <v>75</v>
      </c>
      <c r="C338" s="168" t="s">
        <v>11</v>
      </c>
      <c r="D338" s="168" t="s">
        <v>12</v>
      </c>
      <c r="E338" s="169">
        <v>42612</v>
      </c>
      <c r="F338" s="170">
        <v>9.3800000000000008</v>
      </c>
      <c r="G338" s="171" t="s">
        <v>13</v>
      </c>
      <c r="H338" s="168" t="s">
        <v>14</v>
      </c>
      <c r="I338" s="171">
        <v>1</v>
      </c>
      <c r="J338" s="171" t="s">
        <v>15</v>
      </c>
      <c r="K338" s="171" t="s">
        <v>76</v>
      </c>
      <c r="L338" s="168" t="s">
        <v>77</v>
      </c>
    </row>
    <row r="339" spans="1:12" x14ac:dyDescent="0.2">
      <c r="A339" s="168" t="s">
        <v>74</v>
      </c>
      <c r="B339" s="168" t="s">
        <v>75</v>
      </c>
      <c r="C339" s="168" t="s">
        <v>11</v>
      </c>
      <c r="D339" s="168" t="s">
        <v>12</v>
      </c>
      <c r="E339" s="169">
        <v>42612</v>
      </c>
      <c r="F339" s="170">
        <v>198.9368556</v>
      </c>
      <c r="G339" s="171" t="s">
        <v>16</v>
      </c>
      <c r="H339" s="168" t="s">
        <v>14</v>
      </c>
      <c r="I339" s="171">
        <v>1</v>
      </c>
      <c r="J339" s="171" t="s">
        <v>15</v>
      </c>
      <c r="K339" s="171" t="s">
        <v>76</v>
      </c>
      <c r="L339" s="168" t="s">
        <v>77</v>
      </c>
    </row>
    <row r="340" spans="1:12" x14ac:dyDescent="0.2">
      <c r="A340" s="168" t="s">
        <v>74</v>
      </c>
      <c r="B340" s="168" t="s">
        <v>75</v>
      </c>
      <c r="C340" s="168" t="s">
        <v>11</v>
      </c>
      <c r="D340" s="168" t="s">
        <v>78</v>
      </c>
      <c r="E340" s="169">
        <v>42612</v>
      </c>
      <c r="F340" s="170">
        <v>10.5</v>
      </c>
      <c r="G340" s="171" t="s">
        <v>13</v>
      </c>
      <c r="H340" s="168" t="s">
        <v>18</v>
      </c>
      <c r="I340" s="171">
        <v>1</v>
      </c>
      <c r="J340" s="171" t="s">
        <v>15</v>
      </c>
      <c r="K340" s="171" t="s">
        <v>76</v>
      </c>
      <c r="L340" s="168" t="s">
        <v>77</v>
      </c>
    </row>
    <row r="341" spans="1:12" x14ac:dyDescent="0.2">
      <c r="A341" s="168" t="s">
        <v>74</v>
      </c>
      <c r="B341" s="168" t="s">
        <v>75</v>
      </c>
      <c r="C341" s="168" t="s">
        <v>11</v>
      </c>
      <c r="D341" s="168" t="s">
        <v>78</v>
      </c>
      <c r="E341" s="169">
        <v>42612</v>
      </c>
      <c r="F341" s="170">
        <v>222.69050999999999</v>
      </c>
      <c r="G341" s="171" t="s">
        <v>16</v>
      </c>
      <c r="H341" s="168" t="s">
        <v>18</v>
      </c>
      <c r="I341" s="171">
        <v>1</v>
      </c>
      <c r="J341" s="171" t="s">
        <v>15</v>
      </c>
      <c r="K341" s="171" t="s">
        <v>76</v>
      </c>
      <c r="L341" s="168" t="s">
        <v>77</v>
      </c>
    </row>
    <row r="342" spans="1:12" x14ac:dyDescent="0.2">
      <c r="A342" s="168" t="s">
        <v>74</v>
      </c>
      <c r="B342" s="168" t="s">
        <v>75</v>
      </c>
      <c r="C342" s="168" t="s">
        <v>11</v>
      </c>
      <c r="D342" s="168" t="s">
        <v>12</v>
      </c>
      <c r="E342" s="169">
        <v>42606</v>
      </c>
      <c r="F342" s="170">
        <v>11.2</v>
      </c>
      <c r="G342" s="171" t="s">
        <v>13</v>
      </c>
      <c r="H342" s="168" t="s">
        <v>14</v>
      </c>
      <c r="I342" s="171">
        <v>1</v>
      </c>
      <c r="J342" s="171" t="s">
        <v>15</v>
      </c>
      <c r="K342" s="171" t="s">
        <v>76</v>
      </c>
      <c r="L342" s="168" t="s">
        <v>77</v>
      </c>
    </row>
    <row r="343" spans="1:12" x14ac:dyDescent="0.2">
      <c r="A343" s="168" t="s">
        <v>74</v>
      </c>
      <c r="B343" s="168" t="s">
        <v>75</v>
      </c>
      <c r="C343" s="168" t="s">
        <v>11</v>
      </c>
      <c r="D343" s="168" t="s">
        <v>12</v>
      </c>
      <c r="E343" s="169">
        <v>42606</v>
      </c>
      <c r="F343" s="170">
        <v>439.858272</v>
      </c>
      <c r="G343" s="171" t="s">
        <v>16</v>
      </c>
      <c r="H343" s="168" t="s">
        <v>14</v>
      </c>
      <c r="I343" s="171">
        <v>1</v>
      </c>
      <c r="J343" s="171" t="s">
        <v>15</v>
      </c>
      <c r="K343" s="171" t="s">
        <v>76</v>
      </c>
      <c r="L343" s="168" t="s">
        <v>77</v>
      </c>
    </row>
    <row r="344" spans="1:12" x14ac:dyDescent="0.2">
      <c r="A344" s="168" t="s">
        <v>74</v>
      </c>
      <c r="B344" s="168" t="s">
        <v>75</v>
      </c>
      <c r="C344" s="168" t="s">
        <v>11</v>
      </c>
      <c r="D344" s="168" t="s">
        <v>78</v>
      </c>
      <c r="E344" s="169">
        <v>42605</v>
      </c>
      <c r="F344" s="170">
        <v>10.3</v>
      </c>
      <c r="G344" s="171" t="s">
        <v>13</v>
      </c>
      <c r="H344" s="168" t="s">
        <v>18</v>
      </c>
      <c r="I344" s="171">
        <v>3</v>
      </c>
      <c r="J344" s="171" t="s">
        <v>15</v>
      </c>
      <c r="K344" s="171" t="s">
        <v>76</v>
      </c>
      <c r="L344" s="168" t="s">
        <v>79</v>
      </c>
    </row>
    <row r="345" spans="1:12" x14ac:dyDescent="0.2">
      <c r="A345" s="168" t="s">
        <v>74</v>
      </c>
      <c r="B345" s="168" t="s">
        <v>75</v>
      </c>
      <c r="C345" s="168" t="s">
        <v>11</v>
      </c>
      <c r="D345" s="168" t="s">
        <v>78</v>
      </c>
      <c r="E345" s="169">
        <v>42605</v>
      </c>
      <c r="F345" s="170">
        <v>356.23559399999999</v>
      </c>
      <c r="G345" s="171" t="s">
        <v>16</v>
      </c>
      <c r="H345" s="168" t="s">
        <v>18</v>
      </c>
      <c r="I345" s="171">
        <v>3</v>
      </c>
      <c r="J345" s="171" t="s">
        <v>15</v>
      </c>
      <c r="K345" s="171" t="s">
        <v>76</v>
      </c>
      <c r="L345" s="168" t="s">
        <v>79</v>
      </c>
    </row>
    <row r="346" spans="1:12" x14ac:dyDescent="0.2">
      <c r="A346" s="168" t="s">
        <v>74</v>
      </c>
      <c r="B346" s="168" t="s">
        <v>75</v>
      </c>
      <c r="C346" s="168" t="s">
        <v>11</v>
      </c>
      <c r="D346" s="168" t="s">
        <v>12</v>
      </c>
      <c r="E346" s="169">
        <v>42598</v>
      </c>
      <c r="F346" s="170">
        <v>16.7</v>
      </c>
      <c r="G346" s="171" t="s">
        <v>13</v>
      </c>
      <c r="H346" s="168" t="s">
        <v>14</v>
      </c>
      <c r="I346" s="171">
        <v>1</v>
      </c>
      <c r="J346" s="171" t="s">
        <v>15</v>
      </c>
      <c r="K346" s="171" t="s">
        <v>76</v>
      </c>
      <c r="L346" s="168" t="s">
        <v>77</v>
      </c>
    </row>
    <row r="347" spans="1:12" x14ac:dyDescent="0.2">
      <c r="A347" s="168" t="s">
        <v>74</v>
      </c>
      <c r="B347" s="168" t="s">
        <v>75</v>
      </c>
      <c r="C347" s="168" t="s">
        <v>11</v>
      </c>
      <c r="D347" s="168" t="s">
        <v>12</v>
      </c>
      <c r="E347" s="169">
        <v>42598</v>
      </c>
      <c r="F347" s="170">
        <v>254.321628</v>
      </c>
      <c r="G347" s="171" t="s">
        <v>16</v>
      </c>
      <c r="H347" s="168" t="s">
        <v>14</v>
      </c>
      <c r="I347" s="171">
        <v>1</v>
      </c>
      <c r="J347" s="171" t="s">
        <v>15</v>
      </c>
      <c r="K347" s="171" t="s">
        <v>76</v>
      </c>
      <c r="L347" s="168" t="s">
        <v>77</v>
      </c>
    </row>
    <row r="348" spans="1:12" x14ac:dyDescent="0.2">
      <c r="A348" s="168" t="s">
        <v>74</v>
      </c>
      <c r="B348" s="168" t="s">
        <v>75</v>
      </c>
      <c r="C348" s="168" t="s">
        <v>11</v>
      </c>
      <c r="D348" s="168" t="s">
        <v>78</v>
      </c>
      <c r="E348" s="169">
        <v>42598</v>
      </c>
      <c r="F348" s="170">
        <v>15.1</v>
      </c>
      <c r="G348" s="171" t="s">
        <v>13</v>
      </c>
      <c r="H348" s="168" t="s">
        <v>18</v>
      </c>
      <c r="I348" s="171">
        <v>1</v>
      </c>
      <c r="J348" s="171" t="s">
        <v>15</v>
      </c>
      <c r="K348" s="171" t="s">
        <v>76</v>
      </c>
      <c r="L348" s="168" t="s">
        <v>77</v>
      </c>
    </row>
    <row r="349" spans="1:12" x14ac:dyDescent="0.2">
      <c r="A349" s="168" t="s">
        <v>74</v>
      </c>
      <c r="B349" s="168" t="s">
        <v>75</v>
      </c>
      <c r="C349" s="168" t="s">
        <v>11</v>
      </c>
      <c r="D349" s="168" t="s">
        <v>78</v>
      </c>
      <c r="E349" s="169">
        <v>42598</v>
      </c>
      <c r="F349" s="170">
        <v>229.95548400000001</v>
      </c>
      <c r="G349" s="171" t="s">
        <v>16</v>
      </c>
      <c r="H349" s="168" t="s">
        <v>18</v>
      </c>
      <c r="I349" s="171">
        <v>1</v>
      </c>
      <c r="J349" s="171" t="s">
        <v>15</v>
      </c>
      <c r="K349" s="171" t="s">
        <v>76</v>
      </c>
      <c r="L349" s="168" t="s">
        <v>77</v>
      </c>
    </row>
    <row r="350" spans="1:12" x14ac:dyDescent="0.2">
      <c r="A350" s="168" t="s">
        <v>74</v>
      </c>
      <c r="B350" s="168" t="s">
        <v>75</v>
      </c>
      <c r="C350" s="168" t="s">
        <v>11</v>
      </c>
      <c r="D350" s="168" t="s">
        <v>12</v>
      </c>
      <c r="E350" s="169">
        <v>42591</v>
      </c>
      <c r="F350" s="170">
        <v>13.2</v>
      </c>
      <c r="G350" s="171" t="s">
        <v>13</v>
      </c>
      <c r="H350" s="168" t="s">
        <v>14</v>
      </c>
      <c r="I350" s="171">
        <v>1</v>
      </c>
      <c r="J350" s="171" t="s">
        <v>15</v>
      </c>
      <c r="K350" s="171" t="s">
        <v>76</v>
      </c>
      <c r="L350" s="168" t="s">
        <v>77</v>
      </c>
    </row>
    <row r="351" spans="1:12" x14ac:dyDescent="0.2">
      <c r="A351" s="168" t="s">
        <v>74</v>
      </c>
      <c r="B351" s="168" t="s">
        <v>75</v>
      </c>
      <c r="C351" s="168" t="s">
        <v>11</v>
      </c>
      <c r="D351" s="168" t="s">
        <v>12</v>
      </c>
      <c r="E351" s="169">
        <v>42591</v>
      </c>
      <c r="F351" s="170">
        <v>195.186024</v>
      </c>
      <c r="G351" s="171" t="s">
        <v>16</v>
      </c>
      <c r="H351" s="168" t="s">
        <v>14</v>
      </c>
      <c r="I351" s="171">
        <v>1</v>
      </c>
      <c r="J351" s="171" t="s">
        <v>15</v>
      </c>
      <c r="K351" s="171" t="s">
        <v>76</v>
      </c>
      <c r="L351" s="168" t="s">
        <v>77</v>
      </c>
    </row>
    <row r="352" spans="1:12" x14ac:dyDescent="0.2">
      <c r="A352" s="168" t="s">
        <v>74</v>
      </c>
      <c r="B352" s="168" t="s">
        <v>75</v>
      </c>
      <c r="C352" s="168" t="s">
        <v>11</v>
      </c>
      <c r="D352" s="168" t="s">
        <v>78</v>
      </c>
      <c r="E352" s="169">
        <v>42591</v>
      </c>
      <c r="F352" s="170">
        <v>11.4</v>
      </c>
      <c r="G352" s="171" t="s">
        <v>13</v>
      </c>
      <c r="H352" s="168" t="s">
        <v>18</v>
      </c>
      <c r="I352" s="171">
        <v>1</v>
      </c>
      <c r="J352" s="171" t="s">
        <v>15</v>
      </c>
      <c r="K352" s="171" t="s">
        <v>76</v>
      </c>
      <c r="L352" s="168" t="s">
        <v>77</v>
      </c>
    </row>
    <row r="353" spans="1:12" x14ac:dyDescent="0.2">
      <c r="A353" s="168" t="s">
        <v>74</v>
      </c>
      <c r="B353" s="168" t="s">
        <v>75</v>
      </c>
      <c r="C353" s="168" t="s">
        <v>11</v>
      </c>
      <c r="D353" s="168" t="s">
        <v>78</v>
      </c>
      <c r="E353" s="169">
        <v>42591</v>
      </c>
      <c r="F353" s="170">
        <v>168.569748</v>
      </c>
      <c r="G353" s="171" t="s">
        <v>16</v>
      </c>
      <c r="H353" s="168" t="s">
        <v>18</v>
      </c>
      <c r="I353" s="171">
        <v>1</v>
      </c>
      <c r="J353" s="171" t="s">
        <v>15</v>
      </c>
      <c r="K353" s="171" t="s">
        <v>76</v>
      </c>
      <c r="L353" s="168" t="s">
        <v>77</v>
      </c>
    </row>
    <row r="354" spans="1:12" x14ac:dyDescent="0.2">
      <c r="A354" s="168" t="s">
        <v>74</v>
      </c>
      <c r="B354" s="168" t="s">
        <v>75</v>
      </c>
      <c r="C354" s="168" t="s">
        <v>11</v>
      </c>
      <c r="D354" s="168" t="s">
        <v>12</v>
      </c>
      <c r="E354" s="169">
        <v>42584</v>
      </c>
      <c r="F354" s="170">
        <v>11.8</v>
      </c>
      <c r="G354" s="171" t="s">
        <v>13</v>
      </c>
      <c r="H354" s="168" t="s">
        <v>14</v>
      </c>
      <c r="I354" s="171">
        <v>1</v>
      </c>
      <c r="J354" s="171" t="s">
        <v>15</v>
      </c>
      <c r="K354" s="171" t="s">
        <v>76</v>
      </c>
      <c r="L354" s="168" t="s">
        <v>77</v>
      </c>
    </row>
    <row r="355" spans="1:12" x14ac:dyDescent="0.2">
      <c r="A355" s="168" t="s">
        <v>74</v>
      </c>
      <c r="B355" s="168" t="s">
        <v>75</v>
      </c>
      <c r="C355" s="168" t="s">
        <v>11</v>
      </c>
      <c r="D355" s="168" t="s">
        <v>12</v>
      </c>
      <c r="E355" s="169">
        <v>42584</v>
      </c>
      <c r="F355" s="170">
        <v>175.960656</v>
      </c>
      <c r="G355" s="171" t="s">
        <v>16</v>
      </c>
      <c r="H355" s="168" t="s">
        <v>14</v>
      </c>
      <c r="I355" s="171">
        <v>1</v>
      </c>
      <c r="J355" s="171" t="s">
        <v>15</v>
      </c>
      <c r="K355" s="171" t="s">
        <v>76</v>
      </c>
      <c r="L355" s="168" t="s">
        <v>77</v>
      </c>
    </row>
    <row r="356" spans="1:12" x14ac:dyDescent="0.2">
      <c r="A356" s="168" t="s">
        <v>74</v>
      </c>
      <c r="B356" s="168" t="s">
        <v>75</v>
      </c>
      <c r="C356" s="168" t="s">
        <v>11</v>
      </c>
      <c r="D356" s="168" t="s">
        <v>78</v>
      </c>
      <c r="E356" s="169">
        <v>42584</v>
      </c>
      <c r="F356" s="170">
        <v>10.6</v>
      </c>
      <c r="G356" s="171" t="s">
        <v>13</v>
      </c>
      <c r="H356" s="168" t="s">
        <v>18</v>
      </c>
      <c r="I356" s="171">
        <v>1</v>
      </c>
      <c r="J356" s="171" t="s">
        <v>15</v>
      </c>
      <c r="K356" s="171" t="s">
        <v>76</v>
      </c>
      <c r="L356" s="168" t="s">
        <v>77</v>
      </c>
    </row>
    <row r="357" spans="1:12" x14ac:dyDescent="0.2">
      <c r="A357" s="168" t="s">
        <v>74</v>
      </c>
      <c r="B357" s="168" t="s">
        <v>75</v>
      </c>
      <c r="C357" s="168" t="s">
        <v>11</v>
      </c>
      <c r="D357" s="168" t="s">
        <v>78</v>
      </c>
      <c r="E357" s="169">
        <v>42584</v>
      </c>
      <c r="F357" s="170">
        <v>158.06635199999999</v>
      </c>
      <c r="G357" s="171" t="s">
        <v>16</v>
      </c>
      <c r="H357" s="168" t="s">
        <v>18</v>
      </c>
      <c r="I357" s="171">
        <v>1</v>
      </c>
      <c r="J357" s="171" t="s">
        <v>15</v>
      </c>
      <c r="K357" s="171" t="s">
        <v>76</v>
      </c>
      <c r="L357" s="168" t="s">
        <v>77</v>
      </c>
    </row>
    <row r="358" spans="1:12" x14ac:dyDescent="0.2">
      <c r="A358" s="168" t="s">
        <v>74</v>
      </c>
      <c r="B358" s="168" t="s">
        <v>75</v>
      </c>
      <c r="C358" s="168" t="s">
        <v>11</v>
      </c>
      <c r="D358" s="168" t="s">
        <v>12</v>
      </c>
      <c r="E358" s="169">
        <v>42577</v>
      </c>
      <c r="F358" s="170">
        <v>11.3</v>
      </c>
      <c r="G358" s="171" t="s">
        <v>13</v>
      </c>
      <c r="H358" s="168" t="s">
        <v>14</v>
      </c>
      <c r="I358" s="171">
        <v>1</v>
      </c>
      <c r="J358" s="171" t="s">
        <v>15</v>
      </c>
      <c r="K358" s="171" t="s">
        <v>76</v>
      </c>
      <c r="L358" s="168" t="s">
        <v>77</v>
      </c>
    </row>
    <row r="359" spans="1:12" x14ac:dyDescent="0.2">
      <c r="A359" s="168" t="s">
        <v>74</v>
      </c>
      <c r="B359" s="168" t="s">
        <v>75</v>
      </c>
      <c r="C359" s="168" t="s">
        <v>11</v>
      </c>
      <c r="D359" s="168" t="s">
        <v>12</v>
      </c>
      <c r="E359" s="169">
        <v>42577</v>
      </c>
      <c r="F359" s="170">
        <v>210.63086999999999</v>
      </c>
      <c r="G359" s="171" t="s">
        <v>16</v>
      </c>
      <c r="H359" s="168" t="s">
        <v>14</v>
      </c>
      <c r="I359" s="171">
        <v>1</v>
      </c>
      <c r="J359" s="171" t="s">
        <v>15</v>
      </c>
      <c r="K359" s="171" t="s">
        <v>76</v>
      </c>
      <c r="L359" s="168" t="s">
        <v>77</v>
      </c>
    </row>
    <row r="360" spans="1:12" x14ac:dyDescent="0.2">
      <c r="A360" s="168" t="s">
        <v>74</v>
      </c>
      <c r="B360" s="168" t="s">
        <v>75</v>
      </c>
      <c r="C360" s="168" t="s">
        <v>11</v>
      </c>
      <c r="D360" s="168" t="s">
        <v>78</v>
      </c>
      <c r="E360" s="169">
        <v>42577</v>
      </c>
      <c r="F360" s="170">
        <v>10.199999999999999</v>
      </c>
      <c r="G360" s="171" t="s">
        <v>13</v>
      </c>
      <c r="H360" s="168" t="s">
        <v>18</v>
      </c>
      <c r="I360" s="171">
        <v>1</v>
      </c>
      <c r="J360" s="171" t="s">
        <v>15</v>
      </c>
      <c r="K360" s="171" t="s">
        <v>76</v>
      </c>
      <c r="L360" s="168" t="s">
        <v>77</v>
      </c>
    </row>
    <row r="361" spans="1:12" x14ac:dyDescent="0.2">
      <c r="A361" s="168" t="s">
        <v>74</v>
      </c>
      <c r="B361" s="168" t="s">
        <v>75</v>
      </c>
      <c r="C361" s="168" t="s">
        <v>11</v>
      </c>
      <c r="D361" s="168" t="s">
        <v>78</v>
      </c>
      <c r="E361" s="169">
        <v>42577</v>
      </c>
      <c r="F361" s="170">
        <v>190.12698</v>
      </c>
      <c r="G361" s="171" t="s">
        <v>16</v>
      </c>
      <c r="H361" s="168" t="s">
        <v>18</v>
      </c>
      <c r="I361" s="171">
        <v>1</v>
      </c>
      <c r="J361" s="171" t="s">
        <v>15</v>
      </c>
      <c r="K361" s="171" t="s">
        <v>76</v>
      </c>
      <c r="L361" s="168" t="s">
        <v>77</v>
      </c>
    </row>
    <row r="362" spans="1:12" x14ac:dyDescent="0.2">
      <c r="A362" s="168" t="s">
        <v>74</v>
      </c>
      <c r="B362" s="168" t="s">
        <v>75</v>
      </c>
      <c r="C362" s="168" t="s">
        <v>11</v>
      </c>
      <c r="D362" s="168" t="s">
        <v>12</v>
      </c>
      <c r="E362" s="169">
        <v>42570</v>
      </c>
      <c r="F362" s="170">
        <v>12.8</v>
      </c>
      <c r="G362" s="171" t="s">
        <v>13</v>
      </c>
      <c r="H362" s="168" t="s">
        <v>14</v>
      </c>
      <c r="I362" s="171">
        <v>1</v>
      </c>
      <c r="J362" s="171" t="s">
        <v>15</v>
      </c>
      <c r="K362" s="171" t="s">
        <v>76</v>
      </c>
      <c r="L362" s="168" t="s">
        <v>77</v>
      </c>
    </row>
    <row r="363" spans="1:12" x14ac:dyDescent="0.2">
      <c r="A363" s="168" t="s">
        <v>74</v>
      </c>
      <c r="B363" s="168" t="s">
        <v>75</v>
      </c>
      <c r="C363" s="168" t="s">
        <v>11</v>
      </c>
      <c r="D363" s="168" t="s">
        <v>12</v>
      </c>
      <c r="E363" s="169">
        <v>42570</v>
      </c>
      <c r="F363" s="170">
        <v>342.35366399999998</v>
      </c>
      <c r="G363" s="171" t="s">
        <v>16</v>
      </c>
      <c r="H363" s="168" t="s">
        <v>14</v>
      </c>
      <c r="I363" s="171">
        <v>1</v>
      </c>
      <c r="J363" s="171" t="s">
        <v>15</v>
      </c>
      <c r="K363" s="171" t="s">
        <v>76</v>
      </c>
      <c r="L363" s="168" t="s">
        <v>77</v>
      </c>
    </row>
    <row r="364" spans="1:12" x14ac:dyDescent="0.2">
      <c r="A364" s="168" t="s">
        <v>74</v>
      </c>
      <c r="B364" s="168" t="s">
        <v>75</v>
      </c>
      <c r="C364" s="168" t="s">
        <v>11</v>
      </c>
      <c r="D364" s="168" t="s">
        <v>78</v>
      </c>
      <c r="E364" s="169">
        <v>42570</v>
      </c>
      <c r="F364" s="170">
        <v>9.1199999999999992</v>
      </c>
      <c r="G364" s="171" t="s">
        <v>13</v>
      </c>
      <c r="H364" s="168" t="s">
        <v>18</v>
      </c>
      <c r="I364" s="171">
        <v>3</v>
      </c>
      <c r="J364" s="171" t="s">
        <v>15</v>
      </c>
      <c r="K364" s="171" t="s">
        <v>76</v>
      </c>
      <c r="L364" s="168" t="s">
        <v>79</v>
      </c>
    </row>
    <row r="365" spans="1:12" x14ac:dyDescent="0.2">
      <c r="A365" s="168" t="s">
        <v>74</v>
      </c>
      <c r="B365" s="168" t="s">
        <v>75</v>
      </c>
      <c r="C365" s="168" t="s">
        <v>11</v>
      </c>
      <c r="D365" s="168" t="s">
        <v>78</v>
      </c>
      <c r="E365" s="169">
        <v>42570</v>
      </c>
      <c r="F365" s="170">
        <v>243.92698559999999</v>
      </c>
      <c r="G365" s="171" t="s">
        <v>16</v>
      </c>
      <c r="H365" s="168" t="s">
        <v>18</v>
      </c>
      <c r="I365" s="171">
        <v>3</v>
      </c>
      <c r="J365" s="171" t="s">
        <v>15</v>
      </c>
      <c r="K365" s="171" t="s">
        <v>76</v>
      </c>
      <c r="L365" s="168" t="s">
        <v>79</v>
      </c>
    </row>
    <row r="366" spans="1:12" x14ac:dyDescent="0.2">
      <c r="A366" s="168" t="s">
        <v>74</v>
      </c>
      <c r="B366" s="168" t="s">
        <v>75</v>
      </c>
      <c r="C366" s="168" t="s">
        <v>11</v>
      </c>
      <c r="D366" s="168" t="s">
        <v>12</v>
      </c>
      <c r="E366" s="169">
        <v>42563</v>
      </c>
      <c r="F366" s="170">
        <v>15.6</v>
      </c>
      <c r="G366" s="171" t="s">
        <v>13</v>
      </c>
      <c r="H366" s="168" t="s">
        <v>14</v>
      </c>
      <c r="I366" s="171">
        <v>1</v>
      </c>
      <c r="J366" s="171" t="s">
        <v>15</v>
      </c>
      <c r="K366" s="171" t="s">
        <v>76</v>
      </c>
      <c r="L366" s="168" t="s">
        <v>77</v>
      </c>
    </row>
    <row r="367" spans="1:12" x14ac:dyDescent="0.2">
      <c r="A367" s="168" t="s">
        <v>74</v>
      </c>
      <c r="B367" s="168" t="s">
        <v>75</v>
      </c>
      <c r="C367" s="168" t="s">
        <v>11</v>
      </c>
      <c r="D367" s="168" t="s">
        <v>12</v>
      </c>
      <c r="E367" s="169">
        <v>42563</v>
      </c>
      <c r="F367" s="170">
        <v>281.93536799999998</v>
      </c>
      <c r="G367" s="171" t="s">
        <v>16</v>
      </c>
      <c r="H367" s="168" t="s">
        <v>14</v>
      </c>
      <c r="I367" s="171">
        <v>1</v>
      </c>
      <c r="J367" s="171" t="s">
        <v>15</v>
      </c>
      <c r="K367" s="171" t="s">
        <v>76</v>
      </c>
      <c r="L367" s="168" t="s">
        <v>77</v>
      </c>
    </row>
    <row r="368" spans="1:12" x14ac:dyDescent="0.2">
      <c r="A368" s="168" t="s">
        <v>74</v>
      </c>
      <c r="B368" s="168" t="s">
        <v>75</v>
      </c>
      <c r="C368" s="168" t="s">
        <v>11</v>
      </c>
      <c r="D368" s="168" t="s">
        <v>78</v>
      </c>
      <c r="E368" s="169">
        <v>42563</v>
      </c>
      <c r="F368" s="170">
        <v>12.6</v>
      </c>
      <c r="G368" s="171" t="s">
        <v>13</v>
      </c>
      <c r="H368" s="168" t="s">
        <v>18</v>
      </c>
      <c r="I368" s="171">
        <v>1</v>
      </c>
      <c r="J368" s="171" t="s">
        <v>15</v>
      </c>
      <c r="K368" s="171" t="s">
        <v>76</v>
      </c>
      <c r="L368" s="168" t="s">
        <v>77</v>
      </c>
    </row>
    <row r="369" spans="1:12" x14ac:dyDescent="0.2">
      <c r="A369" s="168" t="s">
        <v>74</v>
      </c>
      <c r="B369" s="168" t="s">
        <v>75</v>
      </c>
      <c r="C369" s="168" t="s">
        <v>11</v>
      </c>
      <c r="D369" s="168" t="s">
        <v>78</v>
      </c>
      <c r="E369" s="169">
        <v>42563</v>
      </c>
      <c r="F369" s="170">
        <v>227.717028</v>
      </c>
      <c r="G369" s="171" t="s">
        <v>16</v>
      </c>
      <c r="H369" s="168" t="s">
        <v>18</v>
      </c>
      <c r="I369" s="171">
        <v>1</v>
      </c>
      <c r="J369" s="171" t="s">
        <v>15</v>
      </c>
      <c r="K369" s="171" t="s">
        <v>76</v>
      </c>
      <c r="L369" s="168" t="s">
        <v>77</v>
      </c>
    </row>
    <row r="370" spans="1:12" x14ac:dyDescent="0.2">
      <c r="A370" s="168" t="s">
        <v>74</v>
      </c>
      <c r="B370" s="168" t="s">
        <v>75</v>
      </c>
      <c r="C370" s="168" t="s">
        <v>11</v>
      </c>
      <c r="D370" s="168" t="s">
        <v>12</v>
      </c>
      <c r="E370" s="169">
        <v>42556</v>
      </c>
      <c r="F370" s="170">
        <v>20.9</v>
      </c>
      <c r="G370" s="171" t="s">
        <v>13</v>
      </c>
      <c r="H370" s="168" t="s">
        <v>14</v>
      </c>
      <c r="I370" s="171">
        <v>1</v>
      </c>
      <c r="J370" s="171" t="s">
        <v>15</v>
      </c>
      <c r="K370" s="171" t="s">
        <v>76</v>
      </c>
      <c r="L370" s="168" t="s">
        <v>77</v>
      </c>
    </row>
    <row r="371" spans="1:12" x14ac:dyDescent="0.2">
      <c r="A371" s="168" t="s">
        <v>74</v>
      </c>
      <c r="B371" s="168" t="s">
        <v>75</v>
      </c>
      <c r="C371" s="168" t="s">
        <v>11</v>
      </c>
      <c r="D371" s="168" t="s">
        <v>12</v>
      </c>
      <c r="E371" s="169">
        <v>42556</v>
      </c>
      <c r="F371" s="170">
        <v>341.98837200000003</v>
      </c>
      <c r="G371" s="171" t="s">
        <v>16</v>
      </c>
      <c r="H371" s="168" t="s">
        <v>14</v>
      </c>
      <c r="I371" s="171">
        <v>1</v>
      </c>
      <c r="J371" s="171" t="s">
        <v>15</v>
      </c>
      <c r="K371" s="171" t="s">
        <v>76</v>
      </c>
      <c r="L371" s="168" t="s">
        <v>77</v>
      </c>
    </row>
    <row r="372" spans="1:12" x14ac:dyDescent="0.2">
      <c r="A372" s="168" t="s">
        <v>74</v>
      </c>
      <c r="B372" s="168" t="s">
        <v>75</v>
      </c>
      <c r="C372" s="168" t="s">
        <v>11</v>
      </c>
      <c r="D372" s="168" t="s">
        <v>78</v>
      </c>
      <c r="E372" s="169">
        <v>42556</v>
      </c>
      <c r="F372" s="170">
        <v>14.7</v>
      </c>
      <c r="G372" s="171" t="s">
        <v>13</v>
      </c>
      <c r="H372" s="168" t="s">
        <v>18</v>
      </c>
      <c r="I372" s="171">
        <v>1</v>
      </c>
      <c r="J372" s="171" t="s">
        <v>15</v>
      </c>
      <c r="K372" s="171" t="s">
        <v>76</v>
      </c>
      <c r="L372" s="168" t="s">
        <v>77</v>
      </c>
    </row>
    <row r="373" spans="1:12" x14ac:dyDescent="0.2">
      <c r="A373" s="168" t="s">
        <v>74</v>
      </c>
      <c r="B373" s="168" t="s">
        <v>75</v>
      </c>
      <c r="C373" s="168" t="s">
        <v>11</v>
      </c>
      <c r="D373" s="168" t="s">
        <v>78</v>
      </c>
      <c r="E373" s="169">
        <v>42556</v>
      </c>
      <c r="F373" s="170">
        <v>240.53727599999999</v>
      </c>
      <c r="G373" s="171" t="s">
        <v>16</v>
      </c>
      <c r="H373" s="168" t="s">
        <v>18</v>
      </c>
      <c r="I373" s="171">
        <v>1</v>
      </c>
      <c r="J373" s="171" t="s">
        <v>15</v>
      </c>
      <c r="K373" s="171" t="s">
        <v>76</v>
      </c>
      <c r="L373" s="168" t="s">
        <v>77</v>
      </c>
    </row>
    <row r="374" spans="1:12" x14ac:dyDescent="0.2">
      <c r="A374" s="168" t="s">
        <v>74</v>
      </c>
      <c r="B374" s="168" t="s">
        <v>75</v>
      </c>
      <c r="C374" s="168" t="s">
        <v>11</v>
      </c>
      <c r="D374" s="168" t="s">
        <v>12</v>
      </c>
      <c r="E374" s="169">
        <v>42549</v>
      </c>
      <c r="F374" s="170">
        <v>16.899999999999999</v>
      </c>
      <c r="G374" s="171" t="s">
        <v>13</v>
      </c>
      <c r="H374" s="168" t="s">
        <v>14</v>
      </c>
      <c r="I374" s="171">
        <v>1</v>
      </c>
      <c r="J374" s="171" t="s">
        <v>15</v>
      </c>
      <c r="K374" s="171" t="s">
        <v>76</v>
      </c>
      <c r="L374" s="168" t="s">
        <v>77</v>
      </c>
    </row>
    <row r="375" spans="1:12" x14ac:dyDescent="0.2">
      <c r="A375" s="168" t="s">
        <v>74</v>
      </c>
      <c r="B375" s="168" t="s">
        <v>75</v>
      </c>
      <c r="C375" s="168" t="s">
        <v>11</v>
      </c>
      <c r="D375" s="168" t="s">
        <v>12</v>
      </c>
      <c r="E375" s="169">
        <v>42549</v>
      </c>
      <c r="F375" s="170">
        <v>273.01240200000001</v>
      </c>
      <c r="G375" s="171" t="s">
        <v>16</v>
      </c>
      <c r="H375" s="168" t="s">
        <v>14</v>
      </c>
      <c r="I375" s="171">
        <v>1</v>
      </c>
      <c r="J375" s="171" t="s">
        <v>15</v>
      </c>
      <c r="K375" s="171" t="s">
        <v>76</v>
      </c>
      <c r="L375" s="168" t="s">
        <v>77</v>
      </c>
    </row>
    <row r="376" spans="1:12" x14ac:dyDescent="0.2">
      <c r="A376" s="168" t="s">
        <v>74</v>
      </c>
      <c r="B376" s="168" t="s">
        <v>75</v>
      </c>
      <c r="C376" s="168" t="s">
        <v>11</v>
      </c>
      <c r="D376" s="168" t="s">
        <v>78</v>
      </c>
      <c r="E376" s="169">
        <v>42549</v>
      </c>
      <c r="F376" s="170">
        <v>17</v>
      </c>
      <c r="G376" s="171" t="s">
        <v>13</v>
      </c>
      <c r="H376" s="168" t="s">
        <v>18</v>
      </c>
      <c r="I376" s="171">
        <v>1</v>
      </c>
      <c r="J376" s="171" t="s">
        <v>15</v>
      </c>
      <c r="K376" s="171" t="s">
        <v>76</v>
      </c>
      <c r="L376" s="168" t="s">
        <v>77</v>
      </c>
    </row>
    <row r="377" spans="1:12" x14ac:dyDescent="0.2">
      <c r="A377" s="168" t="s">
        <v>74</v>
      </c>
      <c r="B377" s="168" t="s">
        <v>75</v>
      </c>
      <c r="C377" s="168" t="s">
        <v>11</v>
      </c>
      <c r="D377" s="168" t="s">
        <v>78</v>
      </c>
      <c r="E377" s="169">
        <v>42549</v>
      </c>
      <c r="F377" s="170">
        <v>274.62786</v>
      </c>
      <c r="G377" s="171" t="s">
        <v>16</v>
      </c>
      <c r="H377" s="168" t="s">
        <v>18</v>
      </c>
      <c r="I377" s="171">
        <v>1</v>
      </c>
      <c r="J377" s="171" t="s">
        <v>15</v>
      </c>
      <c r="K377" s="171" t="s">
        <v>76</v>
      </c>
      <c r="L377" s="168" t="s">
        <v>77</v>
      </c>
    </row>
    <row r="378" spans="1:12" x14ac:dyDescent="0.2">
      <c r="A378" s="168" t="s">
        <v>74</v>
      </c>
      <c r="B378" s="168" t="s">
        <v>75</v>
      </c>
      <c r="C378" s="168" t="s">
        <v>11</v>
      </c>
      <c r="D378" s="168" t="s">
        <v>12</v>
      </c>
      <c r="E378" s="169">
        <v>42542</v>
      </c>
      <c r="F378" s="170">
        <v>13.7</v>
      </c>
      <c r="G378" s="171" t="s">
        <v>13</v>
      </c>
      <c r="H378" s="168" t="s">
        <v>14</v>
      </c>
      <c r="I378" s="171">
        <v>1</v>
      </c>
      <c r="J378" s="171" t="s">
        <v>15</v>
      </c>
      <c r="K378" s="171" t="s">
        <v>76</v>
      </c>
      <c r="L378" s="168" t="s">
        <v>77</v>
      </c>
    </row>
    <row r="379" spans="1:12" x14ac:dyDescent="0.2">
      <c r="A379" s="168" t="s">
        <v>74</v>
      </c>
      <c r="B379" s="168" t="s">
        <v>75</v>
      </c>
      <c r="C379" s="168" t="s">
        <v>11</v>
      </c>
      <c r="D379" s="168" t="s">
        <v>12</v>
      </c>
      <c r="E379" s="169">
        <v>42542</v>
      </c>
      <c r="F379" s="170">
        <v>277.64693999999997</v>
      </c>
      <c r="G379" s="171" t="s">
        <v>16</v>
      </c>
      <c r="H379" s="168" t="s">
        <v>14</v>
      </c>
      <c r="I379" s="171">
        <v>1</v>
      </c>
      <c r="J379" s="171" t="s">
        <v>15</v>
      </c>
      <c r="K379" s="171" t="s">
        <v>76</v>
      </c>
      <c r="L379" s="168" t="s">
        <v>77</v>
      </c>
    </row>
    <row r="380" spans="1:12" x14ac:dyDescent="0.2">
      <c r="A380" s="168" t="s">
        <v>74</v>
      </c>
      <c r="B380" s="168" t="s">
        <v>75</v>
      </c>
      <c r="C380" s="168" t="s">
        <v>11</v>
      </c>
      <c r="D380" s="168" t="s">
        <v>78</v>
      </c>
      <c r="E380" s="169">
        <v>42542</v>
      </c>
      <c r="F380" s="170">
        <v>15.2</v>
      </c>
      <c r="G380" s="171" t="s">
        <v>13</v>
      </c>
      <c r="H380" s="168" t="s">
        <v>18</v>
      </c>
      <c r="I380" s="171">
        <v>1</v>
      </c>
      <c r="J380" s="171" t="s">
        <v>15</v>
      </c>
      <c r="K380" s="171" t="s">
        <v>76</v>
      </c>
      <c r="L380" s="168" t="s">
        <v>77</v>
      </c>
    </row>
    <row r="381" spans="1:12" x14ac:dyDescent="0.2">
      <c r="A381" s="168" t="s">
        <v>74</v>
      </c>
      <c r="B381" s="168" t="s">
        <v>75</v>
      </c>
      <c r="C381" s="168" t="s">
        <v>11</v>
      </c>
      <c r="D381" s="168" t="s">
        <v>78</v>
      </c>
      <c r="E381" s="169">
        <v>42542</v>
      </c>
      <c r="F381" s="170">
        <v>308.04624000000001</v>
      </c>
      <c r="G381" s="171" t="s">
        <v>16</v>
      </c>
      <c r="H381" s="168" t="s">
        <v>18</v>
      </c>
      <c r="I381" s="171">
        <v>1</v>
      </c>
      <c r="J381" s="171" t="s">
        <v>15</v>
      </c>
      <c r="K381" s="171" t="s">
        <v>76</v>
      </c>
      <c r="L381" s="168" t="s">
        <v>77</v>
      </c>
    </row>
    <row r="382" spans="1:12" x14ac:dyDescent="0.2">
      <c r="A382" s="168" t="s">
        <v>74</v>
      </c>
      <c r="B382" s="168" t="s">
        <v>75</v>
      </c>
      <c r="C382" s="168" t="s">
        <v>11</v>
      </c>
      <c r="D382" s="168" t="s">
        <v>12</v>
      </c>
      <c r="E382" s="169">
        <v>42535</v>
      </c>
      <c r="F382" s="170">
        <v>18.899999999999999</v>
      </c>
      <c r="G382" s="171" t="s">
        <v>13</v>
      </c>
      <c r="H382" s="168" t="s">
        <v>14</v>
      </c>
      <c r="I382" s="171">
        <v>1</v>
      </c>
      <c r="J382" s="171" t="s">
        <v>15</v>
      </c>
      <c r="K382" s="171" t="s">
        <v>76</v>
      </c>
      <c r="L382" s="168" t="s">
        <v>77</v>
      </c>
    </row>
    <row r="383" spans="1:12" x14ac:dyDescent="0.2">
      <c r="A383" s="168" t="s">
        <v>74</v>
      </c>
      <c r="B383" s="168" t="s">
        <v>75</v>
      </c>
      <c r="C383" s="168" t="s">
        <v>11</v>
      </c>
      <c r="D383" s="168" t="s">
        <v>12</v>
      </c>
      <c r="E383" s="169">
        <v>42535</v>
      </c>
      <c r="F383" s="229">
        <v>642.01069800000005</v>
      </c>
      <c r="G383" s="230" t="s">
        <v>16</v>
      </c>
      <c r="H383" s="231" t="s">
        <v>14</v>
      </c>
      <c r="I383" s="171">
        <v>1</v>
      </c>
      <c r="J383" s="171" t="s">
        <v>15</v>
      </c>
      <c r="K383" s="171" t="s">
        <v>76</v>
      </c>
      <c r="L383" s="168" t="s">
        <v>77</v>
      </c>
    </row>
    <row r="384" spans="1:12" x14ac:dyDescent="0.2">
      <c r="A384" s="168" t="s">
        <v>74</v>
      </c>
      <c r="B384" s="168" t="s">
        <v>75</v>
      </c>
      <c r="C384" s="168" t="s">
        <v>11</v>
      </c>
      <c r="D384" s="168" t="s">
        <v>78</v>
      </c>
      <c r="E384" s="169">
        <v>42535</v>
      </c>
      <c r="F384" s="170">
        <v>13.4</v>
      </c>
      <c r="G384" s="171" t="s">
        <v>13</v>
      </c>
      <c r="H384" s="168" t="s">
        <v>18</v>
      </c>
      <c r="I384" s="171">
        <v>1</v>
      </c>
      <c r="J384" s="171" t="s">
        <v>15</v>
      </c>
      <c r="K384" s="171" t="s">
        <v>76</v>
      </c>
      <c r="L384" s="168" t="s">
        <v>77</v>
      </c>
    </row>
    <row r="385" spans="1:12" x14ac:dyDescent="0.2">
      <c r="A385" s="168" t="s">
        <v>74</v>
      </c>
      <c r="B385" s="168" t="s">
        <v>75</v>
      </c>
      <c r="C385" s="168" t="s">
        <v>11</v>
      </c>
      <c r="D385" s="168" t="s">
        <v>78</v>
      </c>
      <c r="E385" s="169">
        <v>42535</v>
      </c>
      <c r="F385" s="170">
        <v>455.182188</v>
      </c>
      <c r="G385" s="171" t="s">
        <v>16</v>
      </c>
      <c r="H385" s="168" t="s">
        <v>18</v>
      </c>
      <c r="I385" s="171">
        <v>1</v>
      </c>
      <c r="J385" s="171" t="s">
        <v>15</v>
      </c>
      <c r="K385" s="171" t="s">
        <v>76</v>
      </c>
      <c r="L385" s="168" t="s">
        <v>77</v>
      </c>
    </row>
    <row r="386" spans="1:12" x14ac:dyDescent="0.2">
      <c r="A386" s="168" t="s">
        <v>74</v>
      </c>
      <c r="B386" s="168" t="s">
        <v>75</v>
      </c>
      <c r="C386" s="168" t="s">
        <v>11</v>
      </c>
      <c r="D386" s="168" t="s">
        <v>12</v>
      </c>
      <c r="E386" s="169">
        <v>42528</v>
      </c>
      <c r="F386" s="170">
        <v>16</v>
      </c>
      <c r="G386" s="171" t="s">
        <v>13</v>
      </c>
      <c r="H386" s="168" t="s">
        <v>14</v>
      </c>
      <c r="I386" s="171">
        <v>1</v>
      </c>
      <c r="J386" s="171" t="s">
        <v>15</v>
      </c>
      <c r="K386" s="171" t="s">
        <v>76</v>
      </c>
      <c r="L386" s="168" t="s">
        <v>77</v>
      </c>
    </row>
    <row r="387" spans="1:12" x14ac:dyDescent="0.2">
      <c r="A387" s="168" t="s">
        <v>74</v>
      </c>
      <c r="B387" s="168" t="s">
        <v>75</v>
      </c>
      <c r="C387" s="168" t="s">
        <v>11</v>
      </c>
      <c r="D387" s="168" t="s">
        <v>12</v>
      </c>
      <c r="E387" s="169">
        <v>42528</v>
      </c>
      <c r="F387" s="170">
        <v>178.67616000000001</v>
      </c>
      <c r="G387" s="171" t="s">
        <v>16</v>
      </c>
      <c r="H387" s="168" t="s">
        <v>14</v>
      </c>
      <c r="I387" s="171">
        <v>1</v>
      </c>
      <c r="J387" s="171" t="s">
        <v>15</v>
      </c>
      <c r="K387" s="171" t="s">
        <v>76</v>
      </c>
      <c r="L387" s="168" t="s">
        <v>77</v>
      </c>
    </row>
    <row r="388" spans="1:12" x14ac:dyDescent="0.2">
      <c r="A388" s="168" t="s">
        <v>74</v>
      </c>
      <c r="B388" s="168" t="s">
        <v>75</v>
      </c>
      <c r="C388" s="168" t="s">
        <v>11</v>
      </c>
      <c r="D388" s="168" t="s">
        <v>78</v>
      </c>
      <c r="E388" s="169">
        <v>42528</v>
      </c>
      <c r="F388" s="170">
        <v>10.3</v>
      </c>
      <c r="G388" s="171" t="s">
        <v>13</v>
      </c>
      <c r="H388" s="168" t="s">
        <v>18</v>
      </c>
      <c r="I388" s="171">
        <v>1</v>
      </c>
      <c r="J388" s="171" t="s">
        <v>15</v>
      </c>
      <c r="K388" s="171" t="s">
        <v>76</v>
      </c>
      <c r="L388" s="168" t="s">
        <v>77</v>
      </c>
    </row>
    <row r="389" spans="1:12" x14ac:dyDescent="0.2">
      <c r="A389" s="168" t="s">
        <v>74</v>
      </c>
      <c r="B389" s="168" t="s">
        <v>75</v>
      </c>
      <c r="C389" s="168" t="s">
        <v>11</v>
      </c>
      <c r="D389" s="168" t="s">
        <v>78</v>
      </c>
      <c r="E389" s="169">
        <v>42528</v>
      </c>
      <c r="F389" s="170">
        <v>115.022778</v>
      </c>
      <c r="G389" s="171" t="s">
        <v>16</v>
      </c>
      <c r="H389" s="168" t="s">
        <v>18</v>
      </c>
      <c r="I389" s="171">
        <v>1</v>
      </c>
      <c r="J389" s="171" t="s">
        <v>15</v>
      </c>
      <c r="K389" s="171" t="s">
        <v>76</v>
      </c>
      <c r="L389" s="168" t="s">
        <v>77</v>
      </c>
    </row>
    <row r="390" spans="1:12" x14ac:dyDescent="0.2">
      <c r="A390" s="168" t="s">
        <v>74</v>
      </c>
      <c r="B390" s="168" t="s">
        <v>75</v>
      </c>
      <c r="C390" s="168" t="s">
        <v>11</v>
      </c>
      <c r="D390" s="168" t="s">
        <v>12</v>
      </c>
      <c r="E390" s="169">
        <v>42521</v>
      </c>
      <c r="F390" s="170">
        <v>15</v>
      </c>
      <c r="G390" s="171" t="s">
        <v>13</v>
      </c>
      <c r="H390" s="168" t="s">
        <v>14</v>
      </c>
      <c r="I390" s="171">
        <v>1</v>
      </c>
      <c r="J390" s="171" t="s">
        <v>15</v>
      </c>
      <c r="K390" s="171" t="s">
        <v>76</v>
      </c>
      <c r="L390" s="168" t="s">
        <v>77</v>
      </c>
    </row>
    <row r="391" spans="1:12" x14ac:dyDescent="0.2">
      <c r="A391" s="168" t="s">
        <v>74</v>
      </c>
      <c r="B391" s="168" t="s">
        <v>75</v>
      </c>
      <c r="C391" s="168" t="s">
        <v>11</v>
      </c>
      <c r="D391" s="168" t="s">
        <v>12</v>
      </c>
      <c r="E391" s="169">
        <v>42521</v>
      </c>
      <c r="F391" s="170">
        <v>130.22909999999999</v>
      </c>
      <c r="G391" s="171" t="s">
        <v>16</v>
      </c>
      <c r="H391" s="168" t="s">
        <v>14</v>
      </c>
      <c r="I391" s="171">
        <v>1</v>
      </c>
      <c r="J391" s="171" t="s">
        <v>15</v>
      </c>
      <c r="K391" s="171" t="s">
        <v>76</v>
      </c>
      <c r="L391" s="168" t="s">
        <v>77</v>
      </c>
    </row>
    <row r="392" spans="1:12" x14ac:dyDescent="0.2">
      <c r="A392" s="168" t="s">
        <v>74</v>
      </c>
      <c r="B392" s="168" t="s">
        <v>75</v>
      </c>
      <c r="C392" s="168" t="s">
        <v>11</v>
      </c>
      <c r="D392" s="168" t="s">
        <v>78</v>
      </c>
      <c r="E392" s="169">
        <v>42521</v>
      </c>
      <c r="F392" s="170">
        <v>19.3</v>
      </c>
      <c r="G392" s="171" t="s">
        <v>13</v>
      </c>
      <c r="H392" s="168" t="s">
        <v>18</v>
      </c>
      <c r="I392" s="171">
        <v>1</v>
      </c>
      <c r="J392" s="171" t="s">
        <v>15</v>
      </c>
      <c r="K392" s="171" t="s">
        <v>76</v>
      </c>
      <c r="L392" s="168" t="s">
        <v>77</v>
      </c>
    </row>
    <row r="393" spans="1:12" x14ac:dyDescent="0.2">
      <c r="A393" s="168" t="s">
        <v>74</v>
      </c>
      <c r="B393" s="168" t="s">
        <v>75</v>
      </c>
      <c r="C393" s="168" t="s">
        <v>11</v>
      </c>
      <c r="D393" s="168" t="s">
        <v>78</v>
      </c>
      <c r="E393" s="169">
        <v>42521</v>
      </c>
      <c r="F393" s="170">
        <v>167.561442</v>
      </c>
      <c r="G393" s="171" t="s">
        <v>16</v>
      </c>
      <c r="H393" s="168" t="s">
        <v>18</v>
      </c>
      <c r="I393" s="171">
        <v>1</v>
      </c>
      <c r="J393" s="171" t="s">
        <v>15</v>
      </c>
      <c r="K393" s="171" t="s">
        <v>76</v>
      </c>
      <c r="L393" s="168" t="s">
        <v>77</v>
      </c>
    </row>
    <row r="394" spans="1:12" x14ac:dyDescent="0.2">
      <c r="A394" s="168" t="s">
        <v>74</v>
      </c>
      <c r="B394" s="168" t="s">
        <v>75</v>
      </c>
      <c r="C394" s="168" t="s">
        <v>11</v>
      </c>
      <c r="D394" s="168" t="s">
        <v>12</v>
      </c>
      <c r="E394" s="169">
        <v>42514</v>
      </c>
      <c r="F394" s="170">
        <v>17.600000000000001</v>
      </c>
      <c r="G394" s="171" t="s">
        <v>13</v>
      </c>
      <c r="H394" s="168" t="s">
        <v>14</v>
      </c>
      <c r="I394" s="171">
        <v>1</v>
      </c>
      <c r="J394" s="171" t="s">
        <v>15</v>
      </c>
      <c r="K394" s="171" t="s">
        <v>76</v>
      </c>
      <c r="L394" s="168" t="s">
        <v>77</v>
      </c>
    </row>
    <row r="395" spans="1:12" x14ac:dyDescent="0.2">
      <c r="A395" s="168" t="s">
        <v>74</v>
      </c>
      <c r="B395" s="168" t="s">
        <v>75</v>
      </c>
      <c r="C395" s="168" t="s">
        <v>11</v>
      </c>
      <c r="D395" s="168" t="s">
        <v>12</v>
      </c>
      <c r="E395" s="169">
        <v>42514</v>
      </c>
      <c r="F395" s="170">
        <v>154.56355199999999</v>
      </c>
      <c r="G395" s="171" t="s">
        <v>16</v>
      </c>
      <c r="H395" s="168" t="s">
        <v>14</v>
      </c>
      <c r="I395" s="171">
        <v>1</v>
      </c>
      <c r="J395" s="171" t="s">
        <v>15</v>
      </c>
      <c r="K395" s="171" t="s">
        <v>76</v>
      </c>
      <c r="L395" s="168" t="s">
        <v>77</v>
      </c>
    </row>
    <row r="396" spans="1:12" x14ac:dyDescent="0.2">
      <c r="A396" s="168" t="s">
        <v>74</v>
      </c>
      <c r="B396" s="168" t="s">
        <v>75</v>
      </c>
      <c r="C396" s="168" t="s">
        <v>11</v>
      </c>
      <c r="D396" s="168" t="s">
        <v>78</v>
      </c>
      <c r="E396" s="169">
        <v>42514</v>
      </c>
      <c r="F396" s="170">
        <v>13.7</v>
      </c>
      <c r="G396" s="171" t="s">
        <v>13</v>
      </c>
      <c r="H396" s="168" t="s">
        <v>18</v>
      </c>
      <c r="I396" s="171">
        <v>1</v>
      </c>
      <c r="J396" s="171" t="s">
        <v>15</v>
      </c>
      <c r="K396" s="171" t="s">
        <v>76</v>
      </c>
      <c r="L396" s="168" t="s">
        <v>77</v>
      </c>
    </row>
    <row r="397" spans="1:12" x14ac:dyDescent="0.2">
      <c r="A397" s="168" t="s">
        <v>74</v>
      </c>
      <c r="B397" s="168" t="s">
        <v>75</v>
      </c>
      <c r="C397" s="168" t="s">
        <v>11</v>
      </c>
      <c r="D397" s="168" t="s">
        <v>78</v>
      </c>
      <c r="E397" s="169">
        <v>42514</v>
      </c>
      <c r="F397" s="170">
        <v>120.31367400000001</v>
      </c>
      <c r="G397" s="171" t="s">
        <v>16</v>
      </c>
      <c r="H397" s="168" t="s">
        <v>18</v>
      </c>
      <c r="I397" s="171">
        <v>1</v>
      </c>
      <c r="J397" s="171" t="s">
        <v>15</v>
      </c>
      <c r="K397" s="171" t="s">
        <v>76</v>
      </c>
      <c r="L397" s="168" t="s">
        <v>77</v>
      </c>
    </row>
    <row r="398" spans="1:12" x14ac:dyDescent="0.2">
      <c r="A398" s="168" t="s">
        <v>74</v>
      </c>
      <c r="B398" s="168" t="s">
        <v>75</v>
      </c>
      <c r="C398" s="168" t="s">
        <v>11</v>
      </c>
      <c r="D398" s="168" t="s">
        <v>12</v>
      </c>
      <c r="E398" s="169">
        <v>42507</v>
      </c>
      <c r="F398" s="170">
        <v>20</v>
      </c>
      <c r="G398" s="171" t="s">
        <v>13</v>
      </c>
      <c r="H398" s="168" t="s">
        <v>14</v>
      </c>
      <c r="I398" s="171">
        <v>1</v>
      </c>
      <c r="J398" s="171" t="s">
        <v>15</v>
      </c>
      <c r="K398" s="171" t="s">
        <v>76</v>
      </c>
      <c r="L398" s="168" t="s">
        <v>77</v>
      </c>
    </row>
    <row r="399" spans="1:12" x14ac:dyDescent="0.2">
      <c r="A399" s="168" t="s">
        <v>74</v>
      </c>
      <c r="B399" s="168" t="s">
        <v>75</v>
      </c>
      <c r="C399" s="168" t="s">
        <v>11</v>
      </c>
      <c r="D399" s="168" t="s">
        <v>12</v>
      </c>
      <c r="E399" s="169">
        <v>42507</v>
      </c>
      <c r="F399" s="170">
        <v>197.82480000000001</v>
      </c>
      <c r="G399" s="171" t="s">
        <v>16</v>
      </c>
      <c r="H399" s="168" t="s">
        <v>14</v>
      </c>
      <c r="I399" s="171">
        <v>1</v>
      </c>
      <c r="J399" s="171" t="s">
        <v>15</v>
      </c>
      <c r="K399" s="171" t="s">
        <v>76</v>
      </c>
      <c r="L399" s="168" t="s">
        <v>77</v>
      </c>
    </row>
    <row r="400" spans="1:12" x14ac:dyDescent="0.2">
      <c r="A400" s="168" t="s">
        <v>74</v>
      </c>
      <c r="B400" s="168" t="s">
        <v>75</v>
      </c>
      <c r="C400" s="168" t="s">
        <v>11</v>
      </c>
      <c r="D400" s="168" t="s">
        <v>78</v>
      </c>
      <c r="E400" s="169">
        <v>42507</v>
      </c>
      <c r="F400" s="170">
        <v>14.1</v>
      </c>
      <c r="G400" s="171" t="s">
        <v>13</v>
      </c>
      <c r="H400" s="168" t="s">
        <v>18</v>
      </c>
      <c r="I400" s="171">
        <v>1</v>
      </c>
      <c r="J400" s="171" t="s">
        <v>15</v>
      </c>
      <c r="K400" s="171" t="s">
        <v>76</v>
      </c>
      <c r="L400" s="168" t="s">
        <v>77</v>
      </c>
    </row>
    <row r="401" spans="1:12" x14ac:dyDescent="0.2">
      <c r="A401" s="168" t="s">
        <v>74</v>
      </c>
      <c r="B401" s="168" t="s">
        <v>75</v>
      </c>
      <c r="C401" s="168" t="s">
        <v>11</v>
      </c>
      <c r="D401" s="168" t="s">
        <v>78</v>
      </c>
      <c r="E401" s="169">
        <v>42507</v>
      </c>
      <c r="F401" s="170">
        <v>139.46648400000001</v>
      </c>
      <c r="G401" s="171" t="s">
        <v>16</v>
      </c>
      <c r="H401" s="168" t="s">
        <v>18</v>
      </c>
      <c r="I401" s="171">
        <v>1</v>
      </c>
      <c r="J401" s="171" t="s">
        <v>15</v>
      </c>
      <c r="K401" s="171" t="s">
        <v>76</v>
      </c>
      <c r="L401" s="168" t="s">
        <v>77</v>
      </c>
    </row>
    <row r="402" spans="1:12" x14ac:dyDescent="0.2">
      <c r="A402" s="168" t="s">
        <v>74</v>
      </c>
      <c r="B402" s="168" t="s">
        <v>75</v>
      </c>
      <c r="C402" s="168" t="s">
        <v>11</v>
      </c>
      <c r="D402" s="168" t="s">
        <v>12</v>
      </c>
      <c r="E402" s="169">
        <v>42500</v>
      </c>
      <c r="F402" s="170">
        <v>18.8</v>
      </c>
      <c r="G402" s="171" t="s">
        <v>13</v>
      </c>
      <c r="H402" s="168" t="s">
        <v>14</v>
      </c>
      <c r="I402" s="171">
        <v>1</v>
      </c>
      <c r="J402" s="171" t="s">
        <v>15</v>
      </c>
      <c r="K402" s="171" t="s">
        <v>76</v>
      </c>
      <c r="L402" s="168" t="s">
        <v>77</v>
      </c>
    </row>
    <row r="403" spans="1:12" x14ac:dyDescent="0.2">
      <c r="A403" s="168" t="s">
        <v>74</v>
      </c>
      <c r="B403" s="168" t="s">
        <v>75</v>
      </c>
      <c r="C403" s="168" t="s">
        <v>11</v>
      </c>
      <c r="D403" s="168" t="s">
        <v>12</v>
      </c>
      <c r="E403" s="169">
        <v>42500</v>
      </c>
      <c r="F403" s="170">
        <v>203.20243199999999</v>
      </c>
      <c r="G403" s="171" t="s">
        <v>16</v>
      </c>
      <c r="H403" s="168" t="s">
        <v>14</v>
      </c>
      <c r="I403" s="171">
        <v>1</v>
      </c>
      <c r="J403" s="171" t="s">
        <v>15</v>
      </c>
      <c r="K403" s="171" t="s">
        <v>76</v>
      </c>
      <c r="L403" s="168" t="s">
        <v>77</v>
      </c>
    </row>
    <row r="404" spans="1:12" x14ac:dyDescent="0.2">
      <c r="A404" s="168" t="s">
        <v>74</v>
      </c>
      <c r="B404" s="168" t="s">
        <v>75</v>
      </c>
      <c r="C404" s="168" t="s">
        <v>11</v>
      </c>
      <c r="D404" s="168" t="s">
        <v>78</v>
      </c>
      <c r="E404" s="169">
        <v>42500</v>
      </c>
      <c r="F404" s="170">
        <v>13.8</v>
      </c>
      <c r="G404" s="171" t="s">
        <v>13</v>
      </c>
      <c r="H404" s="168" t="s">
        <v>18</v>
      </c>
      <c r="I404" s="171">
        <v>1</v>
      </c>
      <c r="J404" s="171" t="s">
        <v>15</v>
      </c>
      <c r="K404" s="171" t="s">
        <v>76</v>
      </c>
      <c r="L404" s="168" t="s">
        <v>77</v>
      </c>
    </row>
    <row r="405" spans="1:12" x14ac:dyDescent="0.2">
      <c r="A405" s="168" t="s">
        <v>74</v>
      </c>
      <c r="B405" s="168" t="s">
        <v>75</v>
      </c>
      <c r="C405" s="168" t="s">
        <v>11</v>
      </c>
      <c r="D405" s="168" t="s">
        <v>78</v>
      </c>
      <c r="E405" s="169">
        <v>42500</v>
      </c>
      <c r="F405" s="170">
        <v>149.159232</v>
      </c>
      <c r="G405" s="171" t="s">
        <v>16</v>
      </c>
      <c r="H405" s="168" t="s">
        <v>18</v>
      </c>
      <c r="I405" s="171">
        <v>1</v>
      </c>
      <c r="J405" s="171" t="s">
        <v>15</v>
      </c>
      <c r="K405" s="171" t="s">
        <v>76</v>
      </c>
      <c r="L405" s="168" t="s">
        <v>77</v>
      </c>
    </row>
    <row r="406" spans="1:12" x14ac:dyDescent="0.2">
      <c r="A406" s="168" t="s">
        <v>74</v>
      </c>
      <c r="B406" s="168" t="s">
        <v>75</v>
      </c>
      <c r="C406" s="168" t="s">
        <v>11</v>
      </c>
      <c r="D406" s="168" t="s">
        <v>12</v>
      </c>
      <c r="E406" s="169">
        <v>42493</v>
      </c>
      <c r="F406" s="170">
        <v>14.8</v>
      </c>
      <c r="G406" s="171" t="s">
        <v>13</v>
      </c>
      <c r="H406" s="168" t="s">
        <v>14</v>
      </c>
      <c r="I406" s="171">
        <v>1</v>
      </c>
      <c r="J406" s="171" t="s">
        <v>15</v>
      </c>
      <c r="K406" s="171" t="s">
        <v>76</v>
      </c>
      <c r="L406" s="168" t="s">
        <v>77</v>
      </c>
    </row>
    <row r="407" spans="1:12" x14ac:dyDescent="0.2">
      <c r="A407" s="168" t="s">
        <v>74</v>
      </c>
      <c r="B407" s="168" t="s">
        <v>75</v>
      </c>
      <c r="C407" s="168" t="s">
        <v>11</v>
      </c>
      <c r="D407" s="168" t="s">
        <v>12</v>
      </c>
      <c r="E407" s="169">
        <v>42493</v>
      </c>
      <c r="F407" s="170">
        <v>185.641728</v>
      </c>
      <c r="G407" s="171" t="s">
        <v>16</v>
      </c>
      <c r="H407" s="168" t="s">
        <v>14</v>
      </c>
      <c r="I407" s="171">
        <v>1</v>
      </c>
      <c r="J407" s="171" t="s">
        <v>15</v>
      </c>
      <c r="K407" s="171" t="s">
        <v>76</v>
      </c>
      <c r="L407" s="168" t="s">
        <v>77</v>
      </c>
    </row>
    <row r="408" spans="1:12" x14ac:dyDescent="0.2">
      <c r="A408" s="168" t="s">
        <v>74</v>
      </c>
      <c r="B408" s="168" t="s">
        <v>75</v>
      </c>
      <c r="C408" s="168" t="s">
        <v>11</v>
      </c>
      <c r="D408" s="168" t="s">
        <v>78</v>
      </c>
      <c r="E408" s="169">
        <v>42493</v>
      </c>
      <c r="F408" s="170">
        <v>15.9</v>
      </c>
      <c r="G408" s="171" t="s">
        <v>13</v>
      </c>
      <c r="H408" s="168" t="s">
        <v>18</v>
      </c>
      <c r="I408" s="171">
        <v>1</v>
      </c>
      <c r="J408" s="171" t="s">
        <v>15</v>
      </c>
      <c r="K408" s="171" t="s">
        <v>76</v>
      </c>
      <c r="L408" s="168" t="s">
        <v>77</v>
      </c>
    </row>
    <row r="409" spans="1:12" x14ac:dyDescent="0.2">
      <c r="A409" s="168" t="s">
        <v>74</v>
      </c>
      <c r="B409" s="168" t="s">
        <v>75</v>
      </c>
      <c r="C409" s="168" t="s">
        <v>11</v>
      </c>
      <c r="D409" s="168" t="s">
        <v>78</v>
      </c>
      <c r="E409" s="169">
        <v>42493</v>
      </c>
      <c r="F409" s="170">
        <v>199.439424</v>
      </c>
      <c r="G409" s="171" t="s">
        <v>16</v>
      </c>
      <c r="H409" s="168" t="s">
        <v>18</v>
      </c>
      <c r="I409" s="171">
        <v>1</v>
      </c>
      <c r="J409" s="171" t="s">
        <v>15</v>
      </c>
      <c r="K409" s="171" t="s">
        <v>76</v>
      </c>
      <c r="L409" s="168" t="s">
        <v>77</v>
      </c>
    </row>
    <row r="410" spans="1:12" x14ac:dyDescent="0.2">
      <c r="A410" s="168" t="s">
        <v>74</v>
      </c>
      <c r="B410" s="168" t="s">
        <v>75</v>
      </c>
      <c r="C410" s="168" t="s">
        <v>11</v>
      </c>
      <c r="D410" s="168" t="s">
        <v>12</v>
      </c>
      <c r="E410" s="169">
        <v>42486</v>
      </c>
      <c r="F410" s="170">
        <v>15.4</v>
      </c>
      <c r="G410" s="171" t="s">
        <v>13</v>
      </c>
      <c r="H410" s="168" t="s">
        <v>14</v>
      </c>
      <c r="I410" s="171">
        <v>1</v>
      </c>
      <c r="J410" s="171" t="s">
        <v>15</v>
      </c>
      <c r="K410" s="171" t="s">
        <v>76</v>
      </c>
      <c r="L410" s="168" t="s">
        <v>77</v>
      </c>
    </row>
    <row r="411" spans="1:12" x14ac:dyDescent="0.2">
      <c r="A411" s="168" t="s">
        <v>74</v>
      </c>
      <c r="B411" s="168" t="s">
        <v>75</v>
      </c>
      <c r="C411" s="168" t="s">
        <v>11</v>
      </c>
      <c r="D411" s="168" t="s">
        <v>12</v>
      </c>
      <c r="E411" s="169">
        <v>42486</v>
      </c>
      <c r="F411" s="170">
        <v>159.26064</v>
      </c>
      <c r="G411" s="171" t="s">
        <v>16</v>
      </c>
      <c r="H411" s="168" t="s">
        <v>14</v>
      </c>
      <c r="I411" s="171">
        <v>1</v>
      </c>
      <c r="J411" s="171" t="s">
        <v>15</v>
      </c>
      <c r="K411" s="171" t="s">
        <v>76</v>
      </c>
      <c r="L411" s="168" t="s">
        <v>77</v>
      </c>
    </row>
    <row r="412" spans="1:12" x14ac:dyDescent="0.2">
      <c r="A412" s="168" t="s">
        <v>74</v>
      </c>
      <c r="B412" s="168" t="s">
        <v>75</v>
      </c>
      <c r="C412" s="168" t="s">
        <v>11</v>
      </c>
      <c r="D412" s="168" t="s">
        <v>78</v>
      </c>
      <c r="E412" s="169">
        <v>42486</v>
      </c>
      <c r="F412" s="170">
        <v>17.8</v>
      </c>
      <c r="G412" s="171" t="s">
        <v>13</v>
      </c>
      <c r="H412" s="168" t="s">
        <v>18</v>
      </c>
      <c r="I412" s="171">
        <v>1</v>
      </c>
      <c r="J412" s="171" t="s">
        <v>15</v>
      </c>
      <c r="K412" s="171" t="s">
        <v>76</v>
      </c>
      <c r="L412" s="168" t="s">
        <v>77</v>
      </c>
    </row>
    <row r="413" spans="1:12" x14ac:dyDescent="0.2">
      <c r="A413" s="168" t="s">
        <v>74</v>
      </c>
      <c r="B413" s="168" t="s">
        <v>75</v>
      </c>
      <c r="C413" s="168" t="s">
        <v>11</v>
      </c>
      <c r="D413" s="168" t="s">
        <v>78</v>
      </c>
      <c r="E413" s="169">
        <v>42486</v>
      </c>
      <c r="F413" s="170">
        <v>184.08047999999999</v>
      </c>
      <c r="G413" s="171" t="s">
        <v>16</v>
      </c>
      <c r="H413" s="168" t="s">
        <v>18</v>
      </c>
      <c r="I413" s="171">
        <v>1</v>
      </c>
      <c r="J413" s="171" t="s">
        <v>15</v>
      </c>
      <c r="K413" s="171" t="s">
        <v>76</v>
      </c>
      <c r="L413" s="168" t="s">
        <v>77</v>
      </c>
    </row>
    <row r="414" spans="1:12" x14ac:dyDescent="0.2">
      <c r="A414" s="168" t="s">
        <v>74</v>
      </c>
      <c r="B414" s="168" t="s">
        <v>75</v>
      </c>
      <c r="C414" s="168" t="s">
        <v>11</v>
      </c>
      <c r="D414" s="168" t="s">
        <v>12</v>
      </c>
      <c r="E414" s="169">
        <v>42479</v>
      </c>
      <c r="F414" s="170">
        <v>19.399999999999999</v>
      </c>
      <c r="G414" s="171" t="s">
        <v>13</v>
      </c>
      <c r="H414" s="168" t="s">
        <v>14</v>
      </c>
      <c r="I414" s="171">
        <v>1</v>
      </c>
      <c r="J414" s="171" t="s">
        <v>15</v>
      </c>
      <c r="K414" s="171" t="s">
        <v>76</v>
      </c>
      <c r="L414" s="168" t="s">
        <v>77</v>
      </c>
    </row>
    <row r="415" spans="1:12" x14ac:dyDescent="0.2">
      <c r="A415" s="168" t="s">
        <v>74</v>
      </c>
      <c r="B415" s="168" t="s">
        <v>75</v>
      </c>
      <c r="C415" s="168" t="s">
        <v>11</v>
      </c>
      <c r="D415" s="168" t="s">
        <v>12</v>
      </c>
      <c r="E415" s="169">
        <v>42479</v>
      </c>
      <c r="F415" s="170">
        <v>204.67194000000001</v>
      </c>
      <c r="G415" s="171" t="s">
        <v>16</v>
      </c>
      <c r="H415" s="168" t="s">
        <v>14</v>
      </c>
      <c r="I415" s="171">
        <v>1</v>
      </c>
      <c r="J415" s="171" t="s">
        <v>15</v>
      </c>
      <c r="K415" s="171" t="s">
        <v>76</v>
      </c>
      <c r="L415" s="168" t="s">
        <v>77</v>
      </c>
    </row>
    <row r="416" spans="1:12" x14ac:dyDescent="0.2">
      <c r="A416" s="168" t="s">
        <v>74</v>
      </c>
      <c r="B416" s="168" t="s">
        <v>75</v>
      </c>
      <c r="C416" s="168" t="s">
        <v>11</v>
      </c>
      <c r="D416" s="168" t="s">
        <v>78</v>
      </c>
      <c r="E416" s="169">
        <v>42479</v>
      </c>
      <c r="F416" s="170">
        <v>11.6</v>
      </c>
      <c r="G416" s="171" t="s">
        <v>13</v>
      </c>
      <c r="H416" s="168" t="s">
        <v>18</v>
      </c>
      <c r="I416" s="171">
        <v>1</v>
      </c>
      <c r="J416" s="171" t="s">
        <v>15</v>
      </c>
      <c r="K416" s="171" t="s">
        <v>76</v>
      </c>
      <c r="L416" s="168" t="s">
        <v>77</v>
      </c>
    </row>
    <row r="417" spans="1:12" x14ac:dyDescent="0.2">
      <c r="A417" s="168" t="s">
        <v>74</v>
      </c>
      <c r="B417" s="168" t="s">
        <v>75</v>
      </c>
      <c r="C417" s="168" t="s">
        <v>11</v>
      </c>
      <c r="D417" s="168" t="s">
        <v>78</v>
      </c>
      <c r="E417" s="169">
        <v>42479</v>
      </c>
      <c r="F417" s="170">
        <v>122.38115999999999</v>
      </c>
      <c r="G417" s="171" t="s">
        <v>16</v>
      </c>
      <c r="H417" s="168" t="s">
        <v>18</v>
      </c>
      <c r="I417" s="171">
        <v>1</v>
      </c>
      <c r="J417" s="171" t="s">
        <v>15</v>
      </c>
      <c r="K417" s="171" t="s">
        <v>76</v>
      </c>
      <c r="L417" s="168" t="s">
        <v>77</v>
      </c>
    </row>
    <row r="418" spans="1:12" x14ac:dyDescent="0.2">
      <c r="A418" s="168" t="s">
        <v>74</v>
      </c>
      <c r="B418" s="168" t="s">
        <v>75</v>
      </c>
      <c r="C418" s="168" t="s">
        <v>11</v>
      </c>
      <c r="D418" s="168" t="s">
        <v>12</v>
      </c>
      <c r="E418" s="169">
        <v>42472</v>
      </c>
      <c r="F418" s="170">
        <v>20.8</v>
      </c>
      <c r="G418" s="171" t="s">
        <v>13</v>
      </c>
      <c r="H418" s="168" t="s">
        <v>14</v>
      </c>
      <c r="I418" s="171">
        <v>1</v>
      </c>
      <c r="J418" s="171" t="s">
        <v>15</v>
      </c>
      <c r="K418" s="171" t="s">
        <v>76</v>
      </c>
      <c r="L418" s="168" t="s">
        <v>77</v>
      </c>
    </row>
    <row r="419" spans="1:12" x14ac:dyDescent="0.2">
      <c r="A419" s="168" t="s">
        <v>74</v>
      </c>
      <c r="B419" s="168" t="s">
        <v>75</v>
      </c>
      <c r="C419" s="168" t="s">
        <v>11</v>
      </c>
      <c r="D419" s="168" t="s">
        <v>12</v>
      </c>
      <c r="E419" s="169">
        <v>42472</v>
      </c>
      <c r="F419" s="170">
        <v>267.66729600000002</v>
      </c>
      <c r="G419" s="171" t="s">
        <v>16</v>
      </c>
      <c r="H419" s="168" t="s">
        <v>14</v>
      </c>
      <c r="I419" s="171">
        <v>1</v>
      </c>
      <c r="J419" s="171" t="s">
        <v>15</v>
      </c>
      <c r="K419" s="171" t="s">
        <v>76</v>
      </c>
      <c r="L419" s="168" t="s">
        <v>77</v>
      </c>
    </row>
    <row r="420" spans="1:12" x14ac:dyDescent="0.2">
      <c r="A420" s="168" t="s">
        <v>74</v>
      </c>
      <c r="B420" s="168" t="s">
        <v>75</v>
      </c>
      <c r="C420" s="168" t="s">
        <v>11</v>
      </c>
      <c r="D420" s="168" t="s">
        <v>78</v>
      </c>
      <c r="E420" s="169">
        <v>42472</v>
      </c>
      <c r="F420" s="170">
        <v>12.9</v>
      </c>
      <c r="G420" s="171" t="s">
        <v>13</v>
      </c>
      <c r="H420" s="168" t="s">
        <v>18</v>
      </c>
      <c r="I420" s="171">
        <v>1</v>
      </c>
      <c r="J420" s="171" t="s">
        <v>15</v>
      </c>
      <c r="K420" s="171" t="s">
        <v>76</v>
      </c>
      <c r="L420" s="168" t="s">
        <v>77</v>
      </c>
    </row>
    <row r="421" spans="1:12" x14ac:dyDescent="0.2">
      <c r="A421" s="168" t="s">
        <v>74</v>
      </c>
      <c r="B421" s="168" t="s">
        <v>75</v>
      </c>
      <c r="C421" s="168" t="s">
        <v>11</v>
      </c>
      <c r="D421" s="168" t="s">
        <v>78</v>
      </c>
      <c r="E421" s="169">
        <v>42472</v>
      </c>
      <c r="F421" s="170">
        <v>166.00519800000001</v>
      </c>
      <c r="G421" s="171" t="s">
        <v>16</v>
      </c>
      <c r="H421" s="168" t="s">
        <v>18</v>
      </c>
      <c r="I421" s="171">
        <v>1</v>
      </c>
      <c r="J421" s="171" t="s">
        <v>15</v>
      </c>
      <c r="K421" s="171" t="s">
        <v>76</v>
      </c>
      <c r="L421" s="168" t="s">
        <v>77</v>
      </c>
    </row>
    <row r="422" spans="1:12" x14ac:dyDescent="0.2">
      <c r="A422" s="168" t="s">
        <v>74</v>
      </c>
      <c r="B422" s="168" t="s">
        <v>75</v>
      </c>
      <c r="C422" s="168" t="s">
        <v>11</v>
      </c>
      <c r="D422" s="168" t="s">
        <v>12</v>
      </c>
      <c r="E422" s="169">
        <v>42465</v>
      </c>
      <c r="F422" s="170">
        <v>15.9</v>
      </c>
      <c r="G422" s="171" t="s">
        <v>13</v>
      </c>
      <c r="H422" s="168" t="s">
        <v>14</v>
      </c>
      <c r="I422" s="171">
        <v>1</v>
      </c>
      <c r="J422" s="171" t="s">
        <v>15</v>
      </c>
      <c r="K422" s="171" t="s">
        <v>76</v>
      </c>
      <c r="L422" s="168" t="s">
        <v>77</v>
      </c>
    </row>
    <row r="423" spans="1:12" x14ac:dyDescent="0.2">
      <c r="A423" s="168" t="s">
        <v>74</v>
      </c>
      <c r="B423" s="168" t="s">
        <v>75</v>
      </c>
      <c r="C423" s="168" t="s">
        <v>11</v>
      </c>
      <c r="D423" s="168" t="s">
        <v>12</v>
      </c>
      <c r="E423" s="169">
        <v>42465</v>
      </c>
      <c r="F423" s="170">
        <v>254.73612600000001</v>
      </c>
      <c r="G423" s="171" t="s">
        <v>16</v>
      </c>
      <c r="H423" s="168" t="s">
        <v>14</v>
      </c>
      <c r="I423" s="171">
        <v>1</v>
      </c>
      <c r="J423" s="171" t="s">
        <v>15</v>
      </c>
      <c r="K423" s="171" t="s">
        <v>76</v>
      </c>
      <c r="L423" s="168" t="s">
        <v>77</v>
      </c>
    </row>
    <row r="424" spans="1:12" x14ac:dyDescent="0.2">
      <c r="A424" s="168" t="s">
        <v>74</v>
      </c>
      <c r="B424" s="168" t="s">
        <v>75</v>
      </c>
      <c r="C424" s="168" t="s">
        <v>11</v>
      </c>
      <c r="D424" s="168" t="s">
        <v>78</v>
      </c>
      <c r="E424" s="169">
        <v>42465</v>
      </c>
      <c r="F424" s="170">
        <v>9.6300000000000008</v>
      </c>
      <c r="G424" s="171" t="s">
        <v>13</v>
      </c>
      <c r="H424" s="168" t="s">
        <v>18</v>
      </c>
      <c r="I424" s="171">
        <v>1</v>
      </c>
      <c r="J424" s="171" t="s">
        <v>15</v>
      </c>
      <c r="K424" s="171" t="s">
        <v>76</v>
      </c>
      <c r="L424" s="168" t="s">
        <v>77</v>
      </c>
    </row>
    <row r="425" spans="1:12" x14ac:dyDescent="0.2">
      <c r="A425" s="168" t="s">
        <v>74</v>
      </c>
      <c r="B425" s="168" t="s">
        <v>75</v>
      </c>
      <c r="C425" s="168" t="s">
        <v>11</v>
      </c>
      <c r="D425" s="168" t="s">
        <v>78</v>
      </c>
      <c r="E425" s="169">
        <v>42465</v>
      </c>
      <c r="F425" s="170">
        <v>154.28357819999999</v>
      </c>
      <c r="G425" s="171" t="s">
        <v>16</v>
      </c>
      <c r="H425" s="168" t="s">
        <v>18</v>
      </c>
      <c r="I425" s="171">
        <v>1</v>
      </c>
      <c r="J425" s="171" t="s">
        <v>15</v>
      </c>
      <c r="K425" s="171" t="s">
        <v>76</v>
      </c>
      <c r="L425" s="168" t="s">
        <v>77</v>
      </c>
    </row>
    <row r="426" spans="1:12" x14ac:dyDescent="0.2">
      <c r="A426" s="168" t="s">
        <v>74</v>
      </c>
      <c r="B426" s="168" t="s">
        <v>75</v>
      </c>
      <c r="C426" s="168" t="s">
        <v>11</v>
      </c>
      <c r="D426" s="168" t="s">
        <v>12</v>
      </c>
      <c r="E426" s="169">
        <v>42452</v>
      </c>
      <c r="F426" s="170">
        <v>15.3</v>
      </c>
      <c r="G426" s="171" t="s">
        <v>13</v>
      </c>
      <c r="H426" s="168" t="s">
        <v>14</v>
      </c>
      <c r="I426" s="171">
        <v>1</v>
      </c>
      <c r="J426" s="171" t="s">
        <v>15</v>
      </c>
      <c r="K426" s="171" t="s">
        <v>76</v>
      </c>
      <c r="L426" s="168" t="s">
        <v>77</v>
      </c>
    </row>
    <row r="427" spans="1:12" x14ac:dyDescent="0.2">
      <c r="A427" s="168" t="s">
        <v>74</v>
      </c>
      <c r="B427" s="168" t="s">
        <v>75</v>
      </c>
      <c r="C427" s="168" t="s">
        <v>11</v>
      </c>
      <c r="D427" s="168" t="s">
        <v>12</v>
      </c>
      <c r="E427" s="169">
        <v>42452</v>
      </c>
      <c r="F427" s="170">
        <v>222.920694</v>
      </c>
      <c r="G427" s="171" t="s">
        <v>16</v>
      </c>
      <c r="H427" s="168" t="s">
        <v>14</v>
      </c>
      <c r="I427" s="171">
        <v>1</v>
      </c>
      <c r="J427" s="171" t="s">
        <v>15</v>
      </c>
      <c r="K427" s="171" t="s">
        <v>76</v>
      </c>
      <c r="L427" s="168" t="s">
        <v>77</v>
      </c>
    </row>
    <row r="428" spans="1:12" x14ac:dyDescent="0.2">
      <c r="A428" s="168" t="s">
        <v>74</v>
      </c>
      <c r="B428" s="168" t="s">
        <v>75</v>
      </c>
      <c r="C428" s="168" t="s">
        <v>11</v>
      </c>
      <c r="D428" s="168" t="s">
        <v>78</v>
      </c>
      <c r="E428" s="169">
        <v>42452</v>
      </c>
      <c r="F428" s="170">
        <v>10.7</v>
      </c>
      <c r="G428" s="171" t="s">
        <v>13</v>
      </c>
      <c r="H428" s="168" t="s">
        <v>18</v>
      </c>
      <c r="I428" s="171">
        <v>1</v>
      </c>
      <c r="J428" s="171" t="s">
        <v>15</v>
      </c>
      <c r="K428" s="171" t="s">
        <v>76</v>
      </c>
      <c r="L428" s="168" t="s">
        <v>77</v>
      </c>
    </row>
    <row r="429" spans="1:12" x14ac:dyDescent="0.2">
      <c r="A429" s="168" t="s">
        <v>74</v>
      </c>
      <c r="B429" s="168" t="s">
        <v>75</v>
      </c>
      <c r="C429" s="168" t="s">
        <v>11</v>
      </c>
      <c r="D429" s="168" t="s">
        <v>78</v>
      </c>
      <c r="E429" s="169">
        <v>42452</v>
      </c>
      <c r="F429" s="170">
        <v>155.898786</v>
      </c>
      <c r="G429" s="171" t="s">
        <v>16</v>
      </c>
      <c r="H429" s="168" t="s">
        <v>18</v>
      </c>
      <c r="I429" s="171">
        <v>1</v>
      </c>
      <c r="J429" s="171" t="s">
        <v>15</v>
      </c>
      <c r="K429" s="171" t="s">
        <v>76</v>
      </c>
      <c r="L429" s="168" t="s">
        <v>77</v>
      </c>
    </row>
    <row r="430" spans="1:12" x14ac:dyDescent="0.2">
      <c r="A430" s="168" t="s">
        <v>74</v>
      </c>
      <c r="B430" s="168" t="s">
        <v>75</v>
      </c>
      <c r="C430" s="168" t="s">
        <v>11</v>
      </c>
      <c r="D430" s="168" t="s">
        <v>12</v>
      </c>
      <c r="E430" s="169">
        <v>42444</v>
      </c>
      <c r="F430" s="170">
        <v>19.399999999999999</v>
      </c>
      <c r="G430" s="171" t="s">
        <v>13</v>
      </c>
      <c r="H430" s="168" t="s">
        <v>14</v>
      </c>
      <c r="I430" s="171">
        <v>1</v>
      </c>
      <c r="J430" s="171" t="s">
        <v>15</v>
      </c>
      <c r="K430" s="171" t="s">
        <v>76</v>
      </c>
      <c r="L430" s="168" t="s">
        <v>77</v>
      </c>
    </row>
    <row r="431" spans="1:12" x14ac:dyDescent="0.2">
      <c r="A431" s="168" t="s">
        <v>74</v>
      </c>
      <c r="B431" s="168" t="s">
        <v>75</v>
      </c>
      <c r="C431" s="168" t="s">
        <v>11</v>
      </c>
      <c r="D431" s="168" t="s">
        <v>12</v>
      </c>
      <c r="E431" s="169">
        <v>42444</v>
      </c>
      <c r="F431" s="170">
        <v>326.01893999999999</v>
      </c>
      <c r="G431" s="171" t="s">
        <v>16</v>
      </c>
      <c r="H431" s="168" t="s">
        <v>14</v>
      </c>
      <c r="I431" s="171">
        <v>1</v>
      </c>
      <c r="J431" s="171" t="s">
        <v>15</v>
      </c>
      <c r="K431" s="171" t="s">
        <v>76</v>
      </c>
      <c r="L431" s="168" t="s">
        <v>77</v>
      </c>
    </row>
    <row r="432" spans="1:12" x14ac:dyDescent="0.2">
      <c r="A432" s="168" t="s">
        <v>74</v>
      </c>
      <c r="B432" s="168" t="s">
        <v>75</v>
      </c>
      <c r="C432" s="168" t="s">
        <v>11</v>
      </c>
      <c r="D432" s="168" t="s">
        <v>78</v>
      </c>
      <c r="E432" s="169">
        <v>42444</v>
      </c>
      <c r="F432" s="170">
        <v>9.2799999999999994</v>
      </c>
      <c r="G432" s="171" t="s">
        <v>13</v>
      </c>
      <c r="H432" s="168" t="s">
        <v>18</v>
      </c>
      <c r="I432" s="171">
        <v>1</v>
      </c>
      <c r="J432" s="171" t="s">
        <v>15</v>
      </c>
      <c r="K432" s="171" t="s">
        <v>76</v>
      </c>
      <c r="L432" s="168" t="s">
        <v>77</v>
      </c>
    </row>
    <row r="433" spans="1:12" x14ac:dyDescent="0.2">
      <c r="A433" s="168" t="s">
        <v>74</v>
      </c>
      <c r="B433" s="168" t="s">
        <v>75</v>
      </c>
      <c r="C433" s="168" t="s">
        <v>11</v>
      </c>
      <c r="D433" s="168" t="s">
        <v>78</v>
      </c>
      <c r="E433" s="169">
        <v>42444</v>
      </c>
      <c r="F433" s="170">
        <v>155.95132799999999</v>
      </c>
      <c r="G433" s="171" t="s">
        <v>16</v>
      </c>
      <c r="H433" s="168" t="s">
        <v>18</v>
      </c>
      <c r="I433" s="171">
        <v>1</v>
      </c>
      <c r="J433" s="171" t="s">
        <v>15</v>
      </c>
      <c r="K433" s="171" t="s">
        <v>76</v>
      </c>
      <c r="L433" s="168" t="s">
        <v>77</v>
      </c>
    </row>
    <row r="434" spans="1:12" x14ac:dyDescent="0.2">
      <c r="A434" s="168" t="s">
        <v>74</v>
      </c>
      <c r="B434" s="168" t="s">
        <v>75</v>
      </c>
      <c r="C434" s="168" t="s">
        <v>11</v>
      </c>
      <c r="D434" s="168" t="s">
        <v>12</v>
      </c>
      <c r="E434" s="169">
        <v>42437</v>
      </c>
      <c r="F434" s="170">
        <v>12.2</v>
      </c>
      <c r="G434" s="171" t="s">
        <v>13</v>
      </c>
      <c r="H434" s="168" t="s">
        <v>14</v>
      </c>
      <c r="I434" s="171">
        <v>1</v>
      </c>
      <c r="J434" s="171" t="s">
        <v>15</v>
      </c>
      <c r="K434" s="171" t="s">
        <v>76</v>
      </c>
      <c r="L434" s="168" t="s">
        <v>77</v>
      </c>
    </row>
    <row r="435" spans="1:12" x14ac:dyDescent="0.2">
      <c r="A435" s="168" t="s">
        <v>74</v>
      </c>
      <c r="B435" s="168" t="s">
        <v>75</v>
      </c>
      <c r="C435" s="168" t="s">
        <v>11</v>
      </c>
      <c r="D435" s="168" t="s">
        <v>12</v>
      </c>
      <c r="E435" s="169">
        <v>42437</v>
      </c>
      <c r="F435" s="170">
        <v>175.00656000000001</v>
      </c>
      <c r="G435" s="171" t="s">
        <v>16</v>
      </c>
      <c r="H435" s="168" t="s">
        <v>14</v>
      </c>
      <c r="I435" s="171">
        <v>1</v>
      </c>
      <c r="J435" s="171" t="s">
        <v>15</v>
      </c>
      <c r="K435" s="171" t="s">
        <v>76</v>
      </c>
      <c r="L435" s="168" t="s">
        <v>77</v>
      </c>
    </row>
    <row r="436" spans="1:12" x14ac:dyDescent="0.2">
      <c r="A436" s="168" t="s">
        <v>74</v>
      </c>
      <c r="B436" s="168" t="s">
        <v>75</v>
      </c>
      <c r="C436" s="168" t="s">
        <v>11</v>
      </c>
      <c r="D436" s="168" t="s">
        <v>78</v>
      </c>
      <c r="E436" s="169">
        <v>42437</v>
      </c>
      <c r="F436" s="170">
        <v>9.92</v>
      </c>
      <c r="G436" s="171" t="s">
        <v>13</v>
      </c>
      <c r="H436" s="168" t="s">
        <v>18</v>
      </c>
      <c r="I436" s="171">
        <v>1</v>
      </c>
      <c r="J436" s="171" t="s">
        <v>15</v>
      </c>
      <c r="K436" s="171" t="s">
        <v>76</v>
      </c>
      <c r="L436" s="168" t="s">
        <v>77</v>
      </c>
    </row>
    <row r="437" spans="1:12" x14ac:dyDescent="0.2">
      <c r="A437" s="168" t="s">
        <v>74</v>
      </c>
      <c r="B437" s="168" t="s">
        <v>75</v>
      </c>
      <c r="C437" s="168" t="s">
        <v>11</v>
      </c>
      <c r="D437" s="168" t="s">
        <v>78</v>
      </c>
      <c r="E437" s="169">
        <v>42437</v>
      </c>
      <c r="F437" s="170">
        <v>142.30041600000001</v>
      </c>
      <c r="G437" s="171" t="s">
        <v>16</v>
      </c>
      <c r="H437" s="168" t="s">
        <v>18</v>
      </c>
      <c r="I437" s="171">
        <v>1</v>
      </c>
      <c r="J437" s="171" t="s">
        <v>15</v>
      </c>
      <c r="K437" s="171" t="s">
        <v>76</v>
      </c>
      <c r="L437" s="168" t="s">
        <v>77</v>
      </c>
    </row>
    <row r="438" spans="1:12" x14ac:dyDescent="0.2">
      <c r="A438" s="168" t="s">
        <v>74</v>
      </c>
      <c r="B438" s="168" t="s">
        <v>75</v>
      </c>
      <c r="C438" s="168" t="s">
        <v>11</v>
      </c>
      <c r="D438" s="168" t="s">
        <v>12</v>
      </c>
      <c r="E438" s="169">
        <v>42430</v>
      </c>
      <c r="F438" s="170">
        <v>18.399999999999999</v>
      </c>
      <c r="G438" s="171" t="s">
        <v>13</v>
      </c>
      <c r="H438" s="168" t="s">
        <v>14</v>
      </c>
      <c r="I438" s="171">
        <v>1</v>
      </c>
      <c r="J438" s="171" t="s">
        <v>15</v>
      </c>
      <c r="K438" s="171" t="s">
        <v>76</v>
      </c>
      <c r="L438" s="168" t="s">
        <v>77</v>
      </c>
    </row>
    <row r="439" spans="1:12" x14ac:dyDescent="0.2">
      <c r="A439" s="168" t="s">
        <v>74</v>
      </c>
      <c r="B439" s="168" t="s">
        <v>75</v>
      </c>
      <c r="C439" s="168" t="s">
        <v>11</v>
      </c>
      <c r="D439" s="168" t="s">
        <v>12</v>
      </c>
      <c r="E439" s="169">
        <v>42430</v>
      </c>
      <c r="F439" s="170">
        <v>255.350784</v>
      </c>
      <c r="G439" s="171" t="s">
        <v>16</v>
      </c>
      <c r="H439" s="168" t="s">
        <v>14</v>
      </c>
      <c r="I439" s="171">
        <v>1</v>
      </c>
      <c r="J439" s="171" t="s">
        <v>15</v>
      </c>
      <c r="K439" s="171" t="s">
        <v>76</v>
      </c>
      <c r="L439" s="168" t="s">
        <v>77</v>
      </c>
    </row>
    <row r="440" spans="1:12" x14ac:dyDescent="0.2">
      <c r="A440" s="168" t="s">
        <v>74</v>
      </c>
      <c r="B440" s="168" t="s">
        <v>75</v>
      </c>
      <c r="C440" s="168" t="s">
        <v>11</v>
      </c>
      <c r="D440" s="168" t="s">
        <v>78</v>
      </c>
      <c r="E440" s="169">
        <v>42430</v>
      </c>
      <c r="F440" s="170">
        <v>11.3</v>
      </c>
      <c r="G440" s="171" t="s">
        <v>13</v>
      </c>
      <c r="H440" s="168" t="s">
        <v>18</v>
      </c>
      <c r="I440" s="171">
        <v>1</v>
      </c>
      <c r="J440" s="171" t="s">
        <v>15</v>
      </c>
      <c r="K440" s="171" t="s">
        <v>76</v>
      </c>
      <c r="L440" s="168" t="s">
        <v>77</v>
      </c>
    </row>
    <row r="441" spans="1:12" x14ac:dyDescent="0.2">
      <c r="A441" s="168" t="s">
        <v>74</v>
      </c>
      <c r="B441" s="168" t="s">
        <v>75</v>
      </c>
      <c r="C441" s="168" t="s">
        <v>11</v>
      </c>
      <c r="D441" s="168" t="s">
        <v>78</v>
      </c>
      <c r="E441" s="169">
        <v>42430</v>
      </c>
      <c r="F441" s="170">
        <v>156.81868800000001</v>
      </c>
      <c r="G441" s="171" t="s">
        <v>16</v>
      </c>
      <c r="H441" s="168" t="s">
        <v>18</v>
      </c>
      <c r="I441" s="171">
        <v>1</v>
      </c>
      <c r="J441" s="171" t="s">
        <v>15</v>
      </c>
      <c r="K441" s="171" t="s">
        <v>76</v>
      </c>
      <c r="L441" s="168" t="s">
        <v>77</v>
      </c>
    </row>
    <row r="442" spans="1:12" x14ac:dyDescent="0.2">
      <c r="A442" s="168" t="s">
        <v>74</v>
      </c>
      <c r="B442" s="168" t="s">
        <v>75</v>
      </c>
      <c r="C442" s="168" t="s">
        <v>11</v>
      </c>
      <c r="D442" s="168" t="s">
        <v>12</v>
      </c>
      <c r="E442" s="169">
        <v>42423</v>
      </c>
      <c r="F442" s="170">
        <v>14.3</v>
      </c>
      <c r="G442" s="171" t="s">
        <v>13</v>
      </c>
      <c r="H442" s="168" t="s">
        <v>14</v>
      </c>
      <c r="I442" s="171">
        <v>1</v>
      </c>
      <c r="J442" s="171" t="s">
        <v>15</v>
      </c>
      <c r="K442" s="171" t="s">
        <v>76</v>
      </c>
      <c r="L442" s="168" t="s">
        <v>77</v>
      </c>
    </row>
    <row r="443" spans="1:12" x14ac:dyDescent="0.2">
      <c r="A443" s="168" t="s">
        <v>74</v>
      </c>
      <c r="B443" s="168" t="s">
        <v>75</v>
      </c>
      <c r="C443" s="168" t="s">
        <v>11</v>
      </c>
      <c r="D443" s="168" t="s">
        <v>12</v>
      </c>
      <c r="E443" s="169">
        <v>42423</v>
      </c>
      <c r="F443" s="170">
        <v>176.14997399999999</v>
      </c>
      <c r="G443" s="171" t="s">
        <v>16</v>
      </c>
      <c r="H443" s="168" t="s">
        <v>14</v>
      </c>
      <c r="I443" s="171">
        <v>1</v>
      </c>
      <c r="J443" s="171" t="s">
        <v>15</v>
      </c>
      <c r="K443" s="171" t="s">
        <v>76</v>
      </c>
      <c r="L443" s="168" t="s">
        <v>77</v>
      </c>
    </row>
    <row r="444" spans="1:12" x14ac:dyDescent="0.2">
      <c r="A444" s="168" t="s">
        <v>74</v>
      </c>
      <c r="B444" s="168" t="s">
        <v>75</v>
      </c>
      <c r="C444" s="168" t="s">
        <v>11</v>
      </c>
      <c r="D444" s="168" t="s">
        <v>78</v>
      </c>
      <c r="E444" s="169">
        <v>42423</v>
      </c>
      <c r="F444" s="170">
        <v>9.7799999999999994</v>
      </c>
      <c r="G444" s="171" t="s">
        <v>13</v>
      </c>
      <c r="H444" s="168" t="s">
        <v>18</v>
      </c>
      <c r="I444" s="171">
        <v>1</v>
      </c>
      <c r="J444" s="171" t="s">
        <v>15</v>
      </c>
      <c r="K444" s="171" t="s">
        <v>76</v>
      </c>
      <c r="L444" s="168" t="s">
        <v>77</v>
      </c>
    </row>
    <row r="445" spans="1:12" x14ac:dyDescent="0.2">
      <c r="A445" s="168" t="s">
        <v>74</v>
      </c>
      <c r="B445" s="168" t="s">
        <v>75</v>
      </c>
      <c r="C445" s="168" t="s">
        <v>11</v>
      </c>
      <c r="D445" s="168" t="s">
        <v>78</v>
      </c>
      <c r="E445" s="169">
        <v>42423</v>
      </c>
      <c r="F445" s="170">
        <v>120.47180040000001</v>
      </c>
      <c r="G445" s="171" t="s">
        <v>16</v>
      </c>
      <c r="H445" s="168" t="s">
        <v>18</v>
      </c>
      <c r="I445" s="171">
        <v>1</v>
      </c>
      <c r="J445" s="171" t="s">
        <v>15</v>
      </c>
      <c r="K445" s="171" t="s">
        <v>76</v>
      </c>
      <c r="L445" s="168" t="s">
        <v>77</v>
      </c>
    </row>
    <row r="446" spans="1:12" x14ac:dyDescent="0.2">
      <c r="A446" s="168" t="s">
        <v>74</v>
      </c>
      <c r="B446" s="168" t="s">
        <v>75</v>
      </c>
      <c r="C446" s="168" t="s">
        <v>11</v>
      </c>
      <c r="D446" s="168" t="s">
        <v>12</v>
      </c>
      <c r="E446" s="169">
        <v>42416</v>
      </c>
      <c r="F446" s="170">
        <v>21.7</v>
      </c>
      <c r="G446" s="171" t="s">
        <v>13</v>
      </c>
      <c r="H446" s="168" t="s">
        <v>14</v>
      </c>
      <c r="I446" s="171">
        <v>1</v>
      </c>
      <c r="J446" s="171" t="s">
        <v>15</v>
      </c>
      <c r="K446" s="171" t="s">
        <v>76</v>
      </c>
      <c r="L446" s="168" t="s">
        <v>77</v>
      </c>
    </row>
    <row r="447" spans="1:12" x14ac:dyDescent="0.2">
      <c r="A447" s="168" t="s">
        <v>74</v>
      </c>
      <c r="B447" s="168" t="s">
        <v>75</v>
      </c>
      <c r="C447" s="168" t="s">
        <v>11</v>
      </c>
      <c r="D447" s="168" t="s">
        <v>12</v>
      </c>
      <c r="E447" s="169">
        <v>42416</v>
      </c>
      <c r="F447" s="170">
        <v>189.302988</v>
      </c>
      <c r="G447" s="171" t="s">
        <v>16</v>
      </c>
      <c r="H447" s="168" t="s">
        <v>14</v>
      </c>
      <c r="I447" s="171">
        <v>1</v>
      </c>
      <c r="J447" s="171" t="s">
        <v>15</v>
      </c>
      <c r="K447" s="171" t="s">
        <v>76</v>
      </c>
      <c r="L447" s="168" t="s">
        <v>77</v>
      </c>
    </row>
    <row r="448" spans="1:12" x14ac:dyDescent="0.2">
      <c r="A448" s="168" t="s">
        <v>74</v>
      </c>
      <c r="B448" s="168" t="s">
        <v>75</v>
      </c>
      <c r="C448" s="168" t="s">
        <v>11</v>
      </c>
      <c r="D448" s="168" t="s">
        <v>78</v>
      </c>
      <c r="E448" s="169">
        <v>42416</v>
      </c>
      <c r="F448" s="170">
        <v>13.8</v>
      </c>
      <c r="G448" s="171" t="s">
        <v>13</v>
      </c>
      <c r="H448" s="168" t="s">
        <v>18</v>
      </c>
      <c r="I448" s="171">
        <v>1</v>
      </c>
      <c r="J448" s="171" t="s">
        <v>15</v>
      </c>
      <c r="K448" s="171" t="s">
        <v>76</v>
      </c>
      <c r="L448" s="168" t="s">
        <v>77</v>
      </c>
    </row>
    <row r="449" spans="1:12" x14ac:dyDescent="0.2">
      <c r="A449" s="168" t="s">
        <v>74</v>
      </c>
      <c r="B449" s="168" t="s">
        <v>75</v>
      </c>
      <c r="C449" s="168" t="s">
        <v>11</v>
      </c>
      <c r="D449" s="168" t="s">
        <v>78</v>
      </c>
      <c r="E449" s="169">
        <v>42416</v>
      </c>
      <c r="F449" s="170">
        <v>120.38623200000001</v>
      </c>
      <c r="G449" s="171" t="s">
        <v>16</v>
      </c>
      <c r="H449" s="168" t="s">
        <v>18</v>
      </c>
      <c r="I449" s="171">
        <v>1</v>
      </c>
      <c r="J449" s="171" t="s">
        <v>15</v>
      </c>
      <c r="K449" s="171" t="s">
        <v>76</v>
      </c>
      <c r="L449" s="168" t="s">
        <v>77</v>
      </c>
    </row>
    <row r="450" spans="1:12" x14ac:dyDescent="0.2">
      <c r="A450" s="168" t="s">
        <v>74</v>
      </c>
      <c r="B450" s="168" t="s">
        <v>75</v>
      </c>
      <c r="C450" s="168" t="s">
        <v>11</v>
      </c>
      <c r="D450" s="168" t="s">
        <v>12</v>
      </c>
      <c r="E450" s="169">
        <v>42409</v>
      </c>
      <c r="F450" s="170">
        <v>23.1</v>
      </c>
      <c r="G450" s="171" t="s">
        <v>13</v>
      </c>
      <c r="H450" s="168" t="s">
        <v>14</v>
      </c>
      <c r="I450" s="171">
        <v>1</v>
      </c>
      <c r="J450" s="171" t="s">
        <v>15</v>
      </c>
      <c r="K450" s="171" t="s">
        <v>76</v>
      </c>
      <c r="L450" s="168" t="s">
        <v>77</v>
      </c>
    </row>
    <row r="451" spans="1:12" x14ac:dyDescent="0.2">
      <c r="A451" s="168" t="s">
        <v>74</v>
      </c>
      <c r="B451" s="168" t="s">
        <v>75</v>
      </c>
      <c r="C451" s="168" t="s">
        <v>11</v>
      </c>
      <c r="D451" s="168" t="s">
        <v>12</v>
      </c>
      <c r="E451" s="169">
        <v>42409</v>
      </c>
      <c r="F451" s="170">
        <v>209.02959000000001</v>
      </c>
      <c r="G451" s="171" t="s">
        <v>16</v>
      </c>
      <c r="H451" s="168" t="s">
        <v>14</v>
      </c>
      <c r="I451" s="171">
        <v>1</v>
      </c>
      <c r="J451" s="171" t="s">
        <v>15</v>
      </c>
      <c r="K451" s="171" t="s">
        <v>76</v>
      </c>
      <c r="L451" s="168" t="s">
        <v>77</v>
      </c>
    </row>
    <row r="452" spans="1:12" x14ac:dyDescent="0.2">
      <c r="A452" s="168" t="s">
        <v>74</v>
      </c>
      <c r="B452" s="168" t="s">
        <v>75</v>
      </c>
      <c r="C452" s="168" t="s">
        <v>11</v>
      </c>
      <c r="D452" s="168" t="s">
        <v>78</v>
      </c>
      <c r="E452" s="169">
        <v>42409</v>
      </c>
      <c r="F452" s="170">
        <v>12.3</v>
      </c>
      <c r="G452" s="171" t="s">
        <v>13</v>
      </c>
      <c r="H452" s="168" t="s">
        <v>18</v>
      </c>
      <c r="I452" s="171">
        <v>1</v>
      </c>
      <c r="J452" s="171" t="s">
        <v>15</v>
      </c>
      <c r="K452" s="171" t="s">
        <v>76</v>
      </c>
      <c r="L452" s="168" t="s">
        <v>77</v>
      </c>
    </row>
    <row r="453" spans="1:12" x14ac:dyDescent="0.2">
      <c r="A453" s="168" t="s">
        <v>74</v>
      </c>
      <c r="B453" s="168" t="s">
        <v>75</v>
      </c>
      <c r="C453" s="168" t="s">
        <v>11</v>
      </c>
      <c r="D453" s="168" t="s">
        <v>78</v>
      </c>
      <c r="E453" s="169">
        <v>42409</v>
      </c>
      <c r="F453" s="170">
        <v>111.30146999999999</v>
      </c>
      <c r="G453" s="171" t="s">
        <v>16</v>
      </c>
      <c r="H453" s="168" t="s">
        <v>18</v>
      </c>
      <c r="I453" s="171">
        <v>1</v>
      </c>
      <c r="J453" s="171" t="s">
        <v>15</v>
      </c>
      <c r="K453" s="171" t="s">
        <v>76</v>
      </c>
      <c r="L453" s="168" t="s">
        <v>77</v>
      </c>
    </row>
    <row r="454" spans="1:12" x14ac:dyDescent="0.2">
      <c r="A454" s="168" t="s">
        <v>74</v>
      </c>
      <c r="B454" s="168" t="s">
        <v>75</v>
      </c>
      <c r="C454" s="168" t="s">
        <v>11</v>
      </c>
      <c r="D454" s="168" t="s">
        <v>12</v>
      </c>
      <c r="E454" s="169">
        <v>42402</v>
      </c>
      <c r="F454" s="170">
        <v>19.100000000000001</v>
      </c>
      <c r="G454" s="171" t="s">
        <v>13</v>
      </c>
      <c r="H454" s="168" t="s">
        <v>14</v>
      </c>
      <c r="I454" s="171">
        <v>1</v>
      </c>
      <c r="J454" s="171" t="s">
        <v>15</v>
      </c>
      <c r="K454" s="171" t="s">
        <v>76</v>
      </c>
      <c r="L454" s="168" t="s">
        <v>77</v>
      </c>
    </row>
    <row r="455" spans="1:12" x14ac:dyDescent="0.2">
      <c r="A455" s="168" t="s">
        <v>74</v>
      </c>
      <c r="B455" s="168" t="s">
        <v>75</v>
      </c>
      <c r="C455" s="168" t="s">
        <v>11</v>
      </c>
      <c r="D455" s="168" t="s">
        <v>12</v>
      </c>
      <c r="E455" s="169">
        <v>42402</v>
      </c>
      <c r="F455" s="170">
        <v>170.60387399999999</v>
      </c>
      <c r="G455" s="171" t="s">
        <v>16</v>
      </c>
      <c r="H455" s="168" t="s">
        <v>14</v>
      </c>
      <c r="I455" s="171">
        <v>1</v>
      </c>
      <c r="J455" s="171" t="s">
        <v>15</v>
      </c>
      <c r="K455" s="171" t="s">
        <v>76</v>
      </c>
      <c r="L455" s="168" t="s">
        <v>77</v>
      </c>
    </row>
    <row r="456" spans="1:12" x14ac:dyDescent="0.2">
      <c r="A456" s="168" t="s">
        <v>74</v>
      </c>
      <c r="B456" s="168" t="s">
        <v>75</v>
      </c>
      <c r="C456" s="168" t="s">
        <v>11</v>
      </c>
      <c r="D456" s="168" t="s">
        <v>78</v>
      </c>
      <c r="E456" s="169">
        <v>42402</v>
      </c>
      <c r="F456" s="170">
        <v>12.9</v>
      </c>
      <c r="G456" s="171" t="s">
        <v>13</v>
      </c>
      <c r="H456" s="168" t="s">
        <v>18</v>
      </c>
      <c r="I456" s="171">
        <v>1</v>
      </c>
      <c r="J456" s="171" t="s">
        <v>15</v>
      </c>
      <c r="K456" s="171" t="s">
        <v>76</v>
      </c>
      <c r="L456" s="168" t="s">
        <v>77</v>
      </c>
    </row>
    <row r="457" spans="1:12" x14ac:dyDescent="0.2">
      <c r="A457" s="168" t="s">
        <v>74</v>
      </c>
      <c r="B457" s="168" t="s">
        <v>75</v>
      </c>
      <c r="C457" s="168" t="s">
        <v>11</v>
      </c>
      <c r="D457" s="168" t="s">
        <v>78</v>
      </c>
      <c r="E457" s="169">
        <v>42402</v>
      </c>
      <c r="F457" s="170">
        <v>115.22460599999999</v>
      </c>
      <c r="G457" s="171" t="s">
        <v>16</v>
      </c>
      <c r="H457" s="168" t="s">
        <v>18</v>
      </c>
      <c r="I457" s="171">
        <v>1</v>
      </c>
      <c r="J457" s="171" t="s">
        <v>15</v>
      </c>
      <c r="K457" s="171" t="s">
        <v>76</v>
      </c>
      <c r="L457" s="168" t="s">
        <v>77</v>
      </c>
    </row>
    <row r="458" spans="1:12" x14ac:dyDescent="0.2">
      <c r="A458" s="168" t="s">
        <v>74</v>
      </c>
      <c r="B458" s="168" t="s">
        <v>75</v>
      </c>
      <c r="C458" s="168" t="s">
        <v>11</v>
      </c>
      <c r="D458" s="168" t="s">
        <v>12</v>
      </c>
      <c r="E458" s="169">
        <v>42395</v>
      </c>
      <c r="F458" s="170">
        <v>35.200000000000003</v>
      </c>
      <c r="G458" s="171" t="s">
        <v>13</v>
      </c>
      <c r="H458" s="168" t="s">
        <v>14</v>
      </c>
      <c r="I458" s="171">
        <v>1</v>
      </c>
      <c r="J458" s="171" t="s">
        <v>15</v>
      </c>
      <c r="K458" s="171" t="s">
        <v>76</v>
      </c>
      <c r="L458" s="168" t="s">
        <v>77</v>
      </c>
    </row>
    <row r="459" spans="1:12" x14ac:dyDescent="0.2">
      <c r="A459" s="168" t="s">
        <v>74</v>
      </c>
      <c r="B459" s="168" t="s">
        <v>75</v>
      </c>
      <c r="C459" s="168" t="s">
        <v>11</v>
      </c>
      <c r="D459" s="168" t="s">
        <v>12</v>
      </c>
      <c r="E459" s="169">
        <v>42395</v>
      </c>
      <c r="F459" s="170">
        <v>337.01606399999997</v>
      </c>
      <c r="G459" s="171" t="s">
        <v>16</v>
      </c>
      <c r="H459" s="168" t="s">
        <v>14</v>
      </c>
      <c r="I459" s="171">
        <v>1</v>
      </c>
      <c r="J459" s="171" t="s">
        <v>15</v>
      </c>
      <c r="K459" s="171" t="s">
        <v>76</v>
      </c>
      <c r="L459" s="168" t="s">
        <v>77</v>
      </c>
    </row>
    <row r="460" spans="1:12" x14ac:dyDescent="0.2">
      <c r="A460" s="168" t="s">
        <v>74</v>
      </c>
      <c r="B460" s="168" t="s">
        <v>75</v>
      </c>
      <c r="C460" s="168" t="s">
        <v>11</v>
      </c>
      <c r="D460" s="168" t="s">
        <v>78</v>
      </c>
      <c r="E460" s="169">
        <v>42395</v>
      </c>
      <c r="F460" s="170">
        <v>16.600000000000001</v>
      </c>
      <c r="G460" s="171" t="s">
        <v>13</v>
      </c>
      <c r="H460" s="168" t="s">
        <v>18</v>
      </c>
      <c r="I460" s="171">
        <v>1</v>
      </c>
      <c r="J460" s="171" t="s">
        <v>15</v>
      </c>
      <c r="K460" s="171" t="s">
        <v>76</v>
      </c>
      <c r="L460" s="168" t="s">
        <v>77</v>
      </c>
    </row>
    <row r="461" spans="1:12" x14ac:dyDescent="0.2">
      <c r="A461" s="168" t="s">
        <v>74</v>
      </c>
      <c r="B461" s="168" t="s">
        <v>75</v>
      </c>
      <c r="C461" s="168" t="s">
        <v>11</v>
      </c>
      <c r="D461" s="168" t="s">
        <v>78</v>
      </c>
      <c r="E461" s="169">
        <v>42395</v>
      </c>
      <c r="F461" s="170">
        <v>158.93371200000001</v>
      </c>
      <c r="G461" s="171" t="s">
        <v>16</v>
      </c>
      <c r="H461" s="168" t="s">
        <v>18</v>
      </c>
      <c r="I461" s="171">
        <v>1</v>
      </c>
      <c r="J461" s="171" t="s">
        <v>15</v>
      </c>
      <c r="K461" s="171" t="s">
        <v>76</v>
      </c>
      <c r="L461" s="168" t="s">
        <v>77</v>
      </c>
    </row>
    <row r="462" spans="1:12" x14ac:dyDescent="0.2">
      <c r="A462" s="168" t="s">
        <v>74</v>
      </c>
      <c r="B462" s="168" t="s">
        <v>75</v>
      </c>
      <c r="C462" s="168" t="s">
        <v>11</v>
      </c>
      <c r="D462" s="168" t="s">
        <v>12</v>
      </c>
      <c r="E462" s="169">
        <v>42388</v>
      </c>
      <c r="F462" s="170">
        <v>28.8</v>
      </c>
      <c r="G462" s="171" t="s">
        <v>13</v>
      </c>
      <c r="H462" s="168" t="s">
        <v>14</v>
      </c>
      <c r="I462" s="171">
        <v>1</v>
      </c>
      <c r="J462" s="171" t="s">
        <v>15</v>
      </c>
      <c r="K462" s="171" t="s">
        <v>76</v>
      </c>
      <c r="L462" s="168" t="s">
        <v>77</v>
      </c>
    </row>
    <row r="463" spans="1:12" x14ac:dyDescent="0.2">
      <c r="A463" s="168" t="s">
        <v>74</v>
      </c>
      <c r="B463" s="168" t="s">
        <v>75</v>
      </c>
      <c r="C463" s="168" t="s">
        <v>11</v>
      </c>
      <c r="D463" s="168" t="s">
        <v>12</v>
      </c>
      <c r="E463" s="169">
        <v>42388</v>
      </c>
      <c r="F463" s="170">
        <v>290.87251199999997</v>
      </c>
      <c r="G463" s="171" t="s">
        <v>16</v>
      </c>
      <c r="H463" s="168" t="s">
        <v>14</v>
      </c>
      <c r="I463" s="171">
        <v>1</v>
      </c>
      <c r="J463" s="171" t="s">
        <v>15</v>
      </c>
      <c r="K463" s="171" t="s">
        <v>76</v>
      </c>
      <c r="L463" s="168" t="s">
        <v>77</v>
      </c>
    </row>
    <row r="464" spans="1:12" x14ac:dyDescent="0.2">
      <c r="A464" s="168" t="s">
        <v>74</v>
      </c>
      <c r="B464" s="168" t="s">
        <v>75</v>
      </c>
      <c r="C464" s="168" t="s">
        <v>11</v>
      </c>
      <c r="D464" s="168" t="s">
        <v>78</v>
      </c>
      <c r="E464" s="169">
        <v>42388</v>
      </c>
      <c r="F464" s="170">
        <v>13.2</v>
      </c>
      <c r="G464" s="171" t="s">
        <v>13</v>
      </c>
      <c r="H464" s="168" t="s">
        <v>18</v>
      </c>
      <c r="I464" s="171">
        <v>1</v>
      </c>
      <c r="J464" s="171" t="s">
        <v>15</v>
      </c>
      <c r="K464" s="171" t="s">
        <v>76</v>
      </c>
      <c r="L464" s="168" t="s">
        <v>77</v>
      </c>
    </row>
    <row r="465" spans="1:12" x14ac:dyDescent="0.2">
      <c r="A465" s="168" t="s">
        <v>74</v>
      </c>
      <c r="B465" s="168" t="s">
        <v>75</v>
      </c>
      <c r="C465" s="168" t="s">
        <v>11</v>
      </c>
      <c r="D465" s="168" t="s">
        <v>78</v>
      </c>
      <c r="E465" s="169">
        <v>42388</v>
      </c>
      <c r="F465" s="170">
        <v>133.31656799999999</v>
      </c>
      <c r="G465" s="171" t="s">
        <v>16</v>
      </c>
      <c r="H465" s="168" t="s">
        <v>18</v>
      </c>
      <c r="I465" s="171">
        <v>1</v>
      </c>
      <c r="J465" s="171" t="s">
        <v>15</v>
      </c>
      <c r="K465" s="171" t="s">
        <v>76</v>
      </c>
      <c r="L465" s="168" t="s">
        <v>77</v>
      </c>
    </row>
    <row r="466" spans="1:12" x14ac:dyDescent="0.2">
      <c r="A466" s="168" t="s">
        <v>74</v>
      </c>
      <c r="B466" s="168" t="s">
        <v>75</v>
      </c>
      <c r="C466" s="168" t="s">
        <v>11</v>
      </c>
      <c r="D466" s="168" t="s">
        <v>12</v>
      </c>
      <c r="E466" s="169">
        <v>42381</v>
      </c>
      <c r="F466" s="170">
        <v>30.7</v>
      </c>
      <c r="G466" s="171" t="s">
        <v>13</v>
      </c>
      <c r="H466" s="168" t="s">
        <v>14</v>
      </c>
      <c r="I466" s="171">
        <v>1</v>
      </c>
      <c r="J466" s="171" t="s">
        <v>15</v>
      </c>
      <c r="K466" s="171" t="s">
        <v>76</v>
      </c>
      <c r="L466" s="168" t="s">
        <v>77</v>
      </c>
    </row>
    <row r="467" spans="1:12" x14ac:dyDescent="0.2">
      <c r="A467" s="168" t="s">
        <v>74</v>
      </c>
      <c r="B467" s="168" t="s">
        <v>75</v>
      </c>
      <c r="C467" s="168" t="s">
        <v>11</v>
      </c>
      <c r="D467" s="168" t="s">
        <v>12</v>
      </c>
      <c r="E467" s="169">
        <v>42381</v>
      </c>
      <c r="F467" s="170">
        <v>336.17789399999998</v>
      </c>
      <c r="G467" s="171" t="s">
        <v>16</v>
      </c>
      <c r="H467" s="168" t="s">
        <v>14</v>
      </c>
      <c r="I467" s="171">
        <v>1</v>
      </c>
      <c r="J467" s="171" t="s">
        <v>15</v>
      </c>
      <c r="K467" s="171" t="s">
        <v>76</v>
      </c>
      <c r="L467" s="168" t="s">
        <v>77</v>
      </c>
    </row>
    <row r="468" spans="1:12" x14ac:dyDescent="0.2">
      <c r="A468" s="168" t="s">
        <v>74</v>
      </c>
      <c r="B468" s="168" t="s">
        <v>75</v>
      </c>
      <c r="C468" s="168" t="s">
        <v>11</v>
      </c>
      <c r="D468" s="168" t="s">
        <v>78</v>
      </c>
      <c r="E468" s="169">
        <v>42381</v>
      </c>
      <c r="F468" s="170">
        <v>15.6</v>
      </c>
      <c r="G468" s="171" t="s">
        <v>13</v>
      </c>
      <c r="H468" s="168" t="s">
        <v>18</v>
      </c>
      <c r="I468" s="171">
        <v>1</v>
      </c>
      <c r="J468" s="171" t="s">
        <v>15</v>
      </c>
      <c r="K468" s="171" t="s">
        <v>76</v>
      </c>
      <c r="L468" s="168" t="s">
        <v>77</v>
      </c>
    </row>
    <row r="469" spans="1:12" x14ac:dyDescent="0.2">
      <c r="A469" s="168" t="s">
        <v>74</v>
      </c>
      <c r="B469" s="168" t="s">
        <v>75</v>
      </c>
      <c r="C469" s="168" t="s">
        <v>11</v>
      </c>
      <c r="D469" s="168" t="s">
        <v>78</v>
      </c>
      <c r="E469" s="169">
        <v>42381</v>
      </c>
      <c r="F469" s="170">
        <v>170.82655199999999</v>
      </c>
      <c r="G469" s="171" t="s">
        <v>16</v>
      </c>
      <c r="H469" s="168" t="s">
        <v>18</v>
      </c>
      <c r="I469" s="171">
        <v>1</v>
      </c>
      <c r="J469" s="171" t="s">
        <v>15</v>
      </c>
      <c r="K469" s="171" t="s">
        <v>76</v>
      </c>
      <c r="L469" s="168" t="s">
        <v>77</v>
      </c>
    </row>
    <row r="470" spans="1:12" x14ac:dyDescent="0.2">
      <c r="A470" s="168" t="s">
        <v>74</v>
      </c>
      <c r="B470" s="168" t="s">
        <v>75</v>
      </c>
      <c r="C470" s="168" t="s">
        <v>11</v>
      </c>
      <c r="D470" s="168" t="s">
        <v>12</v>
      </c>
      <c r="E470" s="169">
        <v>42374</v>
      </c>
      <c r="F470" s="170">
        <v>33</v>
      </c>
      <c r="G470" s="171" t="s">
        <v>13</v>
      </c>
      <c r="H470" s="168" t="s">
        <v>14</v>
      </c>
      <c r="I470" s="171">
        <v>1</v>
      </c>
      <c r="J470" s="171" t="s">
        <v>15</v>
      </c>
      <c r="K470" s="171" t="s">
        <v>76</v>
      </c>
      <c r="L470" s="168" t="s">
        <v>77</v>
      </c>
    </row>
    <row r="471" spans="1:12" x14ac:dyDescent="0.2">
      <c r="A471" s="168" t="s">
        <v>74</v>
      </c>
      <c r="B471" s="168" t="s">
        <v>75</v>
      </c>
      <c r="C471" s="168" t="s">
        <v>11</v>
      </c>
      <c r="D471" s="168" t="s">
        <v>12</v>
      </c>
      <c r="E471" s="169">
        <v>42374</v>
      </c>
      <c r="F471" s="170">
        <v>337.41971999999998</v>
      </c>
      <c r="G471" s="171" t="s">
        <v>16</v>
      </c>
      <c r="H471" s="168" t="s">
        <v>14</v>
      </c>
      <c r="I471" s="171">
        <v>1</v>
      </c>
      <c r="J471" s="171" t="s">
        <v>15</v>
      </c>
      <c r="K471" s="171" t="s">
        <v>76</v>
      </c>
      <c r="L471" s="168" t="s">
        <v>77</v>
      </c>
    </row>
    <row r="472" spans="1:12" x14ac:dyDescent="0.2">
      <c r="A472" s="168" t="s">
        <v>74</v>
      </c>
      <c r="B472" s="168" t="s">
        <v>75</v>
      </c>
      <c r="C472" s="168" t="s">
        <v>11</v>
      </c>
      <c r="D472" s="168" t="s">
        <v>78</v>
      </c>
      <c r="E472" s="169">
        <v>42374</v>
      </c>
      <c r="F472" s="170">
        <v>15.2</v>
      </c>
      <c r="G472" s="171" t="s">
        <v>13</v>
      </c>
      <c r="H472" s="168" t="s">
        <v>18</v>
      </c>
      <c r="I472" s="171">
        <v>1</v>
      </c>
      <c r="J472" s="171" t="s">
        <v>15</v>
      </c>
      <c r="K472" s="171" t="s">
        <v>76</v>
      </c>
      <c r="L472" s="168" t="s">
        <v>77</v>
      </c>
    </row>
    <row r="473" spans="1:12" x14ac:dyDescent="0.2">
      <c r="A473" s="168" t="s">
        <v>74</v>
      </c>
      <c r="B473" s="168" t="s">
        <v>75</v>
      </c>
      <c r="C473" s="168" t="s">
        <v>11</v>
      </c>
      <c r="D473" s="168" t="s">
        <v>78</v>
      </c>
      <c r="E473" s="169">
        <v>42374</v>
      </c>
      <c r="F473" s="170">
        <v>155.41756799999999</v>
      </c>
      <c r="G473" s="171" t="s">
        <v>16</v>
      </c>
      <c r="H473" s="168" t="s">
        <v>18</v>
      </c>
      <c r="I473" s="171">
        <v>1</v>
      </c>
      <c r="J473" s="171" t="s">
        <v>15</v>
      </c>
      <c r="K473" s="171" t="s">
        <v>76</v>
      </c>
      <c r="L473" s="168" t="s">
        <v>77</v>
      </c>
    </row>
    <row r="474" spans="1:12" x14ac:dyDescent="0.2">
      <c r="A474" s="168" t="s">
        <v>74</v>
      </c>
      <c r="B474" s="168" t="s">
        <v>75</v>
      </c>
      <c r="C474" s="168" t="s">
        <v>11</v>
      </c>
      <c r="D474" s="168" t="s">
        <v>12</v>
      </c>
      <c r="E474" s="169">
        <v>42367</v>
      </c>
      <c r="F474" s="170">
        <v>18.2</v>
      </c>
      <c r="G474" s="171" t="s">
        <v>13</v>
      </c>
      <c r="H474" s="168" t="s">
        <v>14</v>
      </c>
      <c r="I474" s="171">
        <v>1</v>
      </c>
      <c r="J474" s="171" t="s">
        <v>15</v>
      </c>
      <c r="K474" s="171" t="s">
        <v>76</v>
      </c>
      <c r="L474" s="168" t="s">
        <v>77</v>
      </c>
    </row>
    <row r="475" spans="1:12" x14ac:dyDescent="0.2">
      <c r="A475" s="168" t="s">
        <v>74</v>
      </c>
      <c r="B475" s="168" t="s">
        <v>75</v>
      </c>
      <c r="C475" s="168" t="s">
        <v>11</v>
      </c>
      <c r="D475" s="168" t="s">
        <v>12</v>
      </c>
      <c r="E475" s="169">
        <v>42367</v>
      </c>
      <c r="F475" s="170">
        <v>200.81552389999999</v>
      </c>
      <c r="G475" s="171" t="s">
        <v>16</v>
      </c>
      <c r="H475" s="168" t="s">
        <v>14</v>
      </c>
      <c r="I475" s="171">
        <v>1</v>
      </c>
      <c r="J475" s="171" t="s">
        <v>15</v>
      </c>
      <c r="K475" s="171" t="s">
        <v>76</v>
      </c>
      <c r="L475" s="168" t="s">
        <v>77</v>
      </c>
    </row>
    <row r="476" spans="1:12" x14ac:dyDescent="0.2">
      <c r="A476" s="168" t="s">
        <v>74</v>
      </c>
      <c r="B476" s="168" t="s">
        <v>75</v>
      </c>
      <c r="C476" s="168" t="s">
        <v>11</v>
      </c>
      <c r="D476" s="168" t="s">
        <v>78</v>
      </c>
      <c r="E476" s="169">
        <v>42367</v>
      </c>
      <c r="F476" s="170">
        <v>14.9</v>
      </c>
      <c r="G476" s="171" t="s">
        <v>13</v>
      </c>
      <c r="H476" s="168" t="s">
        <v>18</v>
      </c>
      <c r="I476" s="171">
        <v>1</v>
      </c>
      <c r="J476" s="171" t="s">
        <v>15</v>
      </c>
      <c r="K476" s="171" t="s">
        <v>76</v>
      </c>
      <c r="L476" s="168" t="s">
        <v>77</v>
      </c>
    </row>
    <row r="477" spans="1:12" x14ac:dyDescent="0.2">
      <c r="A477" s="168" t="s">
        <v>74</v>
      </c>
      <c r="B477" s="168" t="s">
        <v>75</v>
      </c>
      <c r="C477" s="168" t="s">
        <v>11</v>
      </c>
      <c r="D477" s="168" t="s">
        <v>78</v>
      </c>
      <c r="E477" s="169">
        <v>42367</v>
      </c>
      <c r="F477" s="170">
        <v>164.40391790000001</v>
      </c>
      <c r="G477" s="171" t="s">
        <v>16</v>
      </c>
      <c r="H477" s="168" t="s">
        <v>18</v>
      </c>
      <c r="I477" s="171">
        <v>1</v>
      </c>
      <c r="J477" s="171" t="s">
        <v>15</v>
      </c>
      <c r="K477" s="171" t="s">
        <v>76</v>
      </c>
      <c r="L477" s="168" t="s">
        <v>77</v>
      </c>
    </row>
    <row r="478" spans="1:12" x14ac:dyDescent="0.2">
      <c r="A478" s="168" t="s">
        <v>74</v>
      </c>
      <c r="B478" s="168" t="s">
        <v>75</v>
      </c>
      <c r="C478" s="168" t="s">
        <v>11</v>
      </c>
      <c r="D478" s="168" t="s">
        <v>12</v>
      </c>
      <c r="E478" s="169">
        <v>42360</v>
      </c>
      <c r="F478" s="170">
        <v>32.9</v>
      </c>
      <c r="G478" s="171" t="s">
        <v>13</v>
      </c>
      <c r="H478" s="168" t="s">
        <v>14</v>
      </c>
      <c r="I478" s="171">
        <v>1</v>
      </c>
      <c r="J478" s="171" t="s">
        <v>15</v>
      </c>
      <c r="K478" s="171" t="s">
        <v>76</v>
      </c>
      <c r="L478" s="168" t="s">
        <v>77</v>
      </c>
    </row>
    <row r="479" spans="1:12" x14ac:dyDescent="0.2">
      <c r="A479" s="168" t="s">
        <v>74</v>
      </c>
      <c r="B479" s="168" t="s">
        <v>75</v>
      </c>
      <c r="C479" s="168" t="s">
        <v>11</v>
      </c>
      <c r="D479" s="168" t="s">
        <v>12</v>
      </c>
      <c r="E479" s="169">
        <v>42360</v>
      </c>
      <c r="F479" s="170">
        <v>381.39653989999999</v>
      </c>
      <c r="G479" s="171" t="s">
        <v>16</v>
      </c>
      <c r="H479" s="168" t="s">
        <v>14</v>
      </c>
      <c r="I479" s="171">
        <v>1</v>
      </c>
      <c r="J479" s="171" t="s">
        <v>15</v>
      </c>
      <c r="K479" s="171" t="s">
        <v>76</v>
      </c>
      <c r="L479" s="168" t="s">
        <v>77</v>
      </c>
    </row>
    <row r="480" spans="1:12" x14ac:dyDescent="0.2">
      <c r="A480" s="168" t="s">
        <v>74</v>
      </c>
      <c r="B480" s="168" t="s">
        <v>75</v>
      </c>
      <c r="C480" s="168" t="s">
        <v>11</v>
      </c>
      <c r="D480" s="168" t="s">
        <v>78</v>
      </c>
      <c r="E480" s="169">
        <v>42360</v>
      </c>
      <c r="F480" s="170">
        <v>22.1</v>
      </c>
      <c r="G480" s="171" t="s">
        <v>13</v>
      </c>
      <c r="H480" s="168" t="s">
        <v>18</v>
      </c>
      <c r="I480" s="171">
        <v>1</v>
      </c>
      <c r="J480" s="171" t="s">
        <v>15</v>
      </c>
      <c r="K480" s="171" t="s">
        <v>76</v>
      </c>
      <c r="L480" s="168" t="s">
        <v>77</v>
      </c>
    </row>
    <row r="481" spans="1:12" x14ac:dyDescent="0.2">
      <c r="A481" s="168" t="s">
        <v>74</v>
      </c>
      <c r="B481" s="168" t="s">
        <v>75</v>
      </c>
      <c r="C481" s="168" t="s">
        <v>11</v>
      </c>
      <c r="D481" s="168" t="s">
        <v>78</v>
      </c>
      <c r="E481" s="169">
        <v>42360</v>
      </c>
      <c r="F481" s="170">
        <v>256.19646</v>
      </c>
      <c r="G481" s="171" t="s">
        <v>16</v>
      </c>
      <c r="H481" s="168" t="s">
        <v>18</v>
      </c>
      <c r="I481" s="171">
        <v>1</v>
      </c>
      <c r="J481" s="171" t="s">
        <v>15</v>
      </c>
      <c r="K481" s="171" t="s">
        <v>76</v>
      </c>
      <c r="L481" s="168" t="s">
        <v>77</v>
      </c>
    </row>
    <row r="482" spans="1:12" x14ac:dyDescent="0.2">
      <c r="A482" s="168" t="s">
        <v>74</v>
      </c>
      <c r="B482" s="168" t="s">
        <v>75</v>
      </c>
      <c r="C482" s="168" t="s">
        <v>11</v>
      </c>
      <c r="D482" s="168" t="s">
        <v>12</v>
      </c>
      <c r="E482" s="169">
        <v>42331</v>
      </c>
      <c r="F482" s="170">
        <v>25.4</v>
      </c>
      <c r="G482" s="171" t="s">
        <v>13</v>
      </c>
      <c r="H482" s="168" t="s">
        <v>14</v>
      </c>
      <c r="I482" s="171">
        <v>1</v>
      </c>
      <c r="J482" s="171" t="s">
        <v>15</v>
      </c>
      <c r="K482" s="171" t="s">
        <v>76</v>
      </c>
      <c r="L482" s="168" t="s">
        <v>77</v>
      </c>
    </row>
    <row r="483" spans="1:12" x14ac:dyDescent="0.2">
      <c r="A483" s="168" t="s">
        <v>74</v>
      </c>
      <c r="B483" s="168" t="s">
        <v>75</v>
      </c>
      <c r="C483" s="168" t="s">
        <v>11</v>
      </c>
      <c r="D483" s="168" t="s">
        <v>12</v>
      </c>
      <c r="E483" s="169">
        <v>42331</v>
      </c>
      <c r="F483" s="170">
        <v>223.06330790000001</v>
      </c>
      <c r="G483" s="171" t="s">
        <v>16</v>
      </c>
      <c r="H483" s="168" t="s">
        <v>14</v>
      </c>
      <c r="I483" s="171">
        <v>1</v>
      </c>
      <c r="J483" s="171" t="s">
        <v>15</v>
      </c>
      <c r="K483" s="171" t="s">
        <v>76</v>
      </c>
      <c r="L483" s="168" t="s">
        <v>77</v>
      </c>
    </row>
    <row r="484" spans="1:12" x14ac:dyDescent="0.2">
      <c r="A484" s="168" t="s">
        <v>74</v>
      </c>
      <c r="B484" s="168" t="s">
        <v>75</v>
      </c>
      <c r="C484" s="168" t="s">
        <v>11</v>
      </c>
      <c r="D484" s="168" t="s">
        <v>78</v>
      </c>
      <c r="E484" s="169">
        <v>42331</v>
      </c>
      <c r="F484" s="170">
        <v>15.8</v>
      </c>
      <c r="G484" s="171" t="s">
        <v>13</v>
      </c>
      <c r="H484" s="168" t="s">
        <v>18</v>
      </c>
      <c r="I484" s="171">
        <v>1</v>
      </c>
      <c r="J484" s="171" t="s">
        <v>15</v>
      </c>
      <c r="K484" s="171" t="s">
        <v>76</v>
      </c>
      <c r="L484" s="168" t="s">
        <v>77</v>
      </c>
    </row>
    <row r="485" spans="1:12" x14ac:dyDescent="0.2">
      <c r="A485" s="168" t="s">
        <v>74</v>
      </c>
      <c r="B485" s="168" t="s">
        <v>75</v>
      </c>
      <c r="C485" s="168" t="s">
        <v>11</v>
      </c>
      <c r="D485" s="168" t="s">
        <v>78</v>
      </c>
      <c r="E485" s="169">
        <v>42331</v>
      </c>
      <c r="F485" s="170">
        <v>138.75591589999999</v>
      </c>
      <c r="G485" s="171" t="s">
        <v>16</v>
      </c>
      <c r="H485" s="168" t="s">
        <v>18</v>
      </c>
      <c r="I485" s="171">
        <v>1</v>
      </c>
      <c r="J485" s="171" t="s">
        <v>15</v>
      </c>
      <c r="K485" s="171" t="s">
        <v>76</v>
      </c>
      <c r="L485" s="168" t="s">
        <v>77</v>
      </c>
    </row>
    <row r="486" spans="1:12" x14ac:dyDescent="0.2">
      <c r="A486" s="168" t="s">
        <v>74</v>
      </c>
      <c r="B486" s="168" t="s">
        <v>75</v>
      </c>
      <c r="C486" s="168" t="s">
        <v>11</v>
      </c>
      <c r="D486" s="168" t="s">
        <v>12</v>
      </c>
      <c r="E486" s="169">
        <v>42311</v>
      </c>
      <c r="F486" s="170">
        <v>23.1</v>
      </c>
      <c r="G486" s="171" t="s">
        <v>13</v>
      </c>
      <c r="H486" s="168" t="s">
        <v>14</v>
      </c>
      <c r="I486" s="171">
        <v>1</v>
      </c>
      <c r="J486" s="171" t="s">
        <v>15</v>
      </c>
      <c r="K486" s="171" t="s">
        <v>76</v>
      </c>
      <c r="L486" s="168" t="s">
        <v>77</v>
      </c>
    </row>
    <row r="487" spans="1:12" x14ac:dyDescent="0.2">
      <c r="A487" s="168" t="s">
        <v>74</v>
      </c>
      <c r="B487" s="168" t="s">
        <v>75</v>
      </c>
      <c r="C487" s="168" t="s">
        <v>11</v>
      </c>
      <c r="D487" s="168" t="s">
        <v>12</v>
      </c>
      <c r="E487" s="169">
        <v>42311</v>
      </c>
      <c r="F487" s="170">
        <v>226.36845</v>
      </c>
      <c r="G487" s="171" t="s">
        <v>16</v>
      </c>
      <c r="H487" s="168" t="s">
        <v>14</v>
      </c>
      <c r="I487" s="171">
        <v>1</v>
      </c>
      <c r="J487" s="171" t="s">
        <v>15</v>
      </c>
      <c r="K487" s="171" t="s">
        <v>76</v>
      </c>
      <c r="L487" s="168" t="s">
        <v>77</v>
      </c>
    </row>
    <row r="488" spans="1:12" x14ac:dyDescent="0.2">
      <c r="A488" s="168" t="s">
        <v>74</v>
      </c>
      <c r="B488" s="168" t="s">
        <v>75</v>
      </c>
      <c r="C488" s="168" t="s">
        <v>11</v>
      </c>
      <c r="D488" s="168" t="s">
        <v>78</v>
      </c>
      <c r="E488" s="169">
        <v>42311</v>
      </c>
      <c r="F488" s="170">
        <v>14.4</v>
      </c>
      <c r="G488" s="171" t="s">
        <v>13</v>
      </c>
      <c r="H488" s="168" t="s">
        <v>18</v>
      </c>
      <c r="I488" s="171">
        <v>1</v>
      </c>
      <c r="J488" s="171" t="s">
        <v>15</v>
      </c>
      <c r="K488" s="171" t="s">
        <v>76</v>
      </c>
      <c r="L488" s="168" t="s">
        <v>77</v>
      </c>
    </row>
    <row r="489" spans="1:12" x14ac:dyDescent="0.2">
      <c r="A489" s="168" t="s">
        <v>74</v>
      </c>
      <c r="B489" s="168" t="s">
        <v>75</v>
      </c>
      <c r="C489" s="168" t="s">
        <v>11</v>
      </c>
      <c r="D489" s="168" t="s">
        <v>78</v>
      </c>
      <c r="E489" s="169">
        <v>42311</v>
      </c>
      <c r="F489" s="170">
        <v>141.11279999999999</v>
      </c>
      <c r="G489" s="171" t="s">
        <v>16</v>
      </c>
      <c r="H489" s="168" t="s">
        <v>18</v>
      </c>
      <c r="I489" s="171">
        <v>1</v>
      </c>
      <c r="J489" s="171" t="s">
        <v>15</v>
      </c>
      <c r="K489" s="171" t="s">
        <v>76</v>
      </c>
      <c r="L489" s="168" t="s">
        <v>77</v>
      </c>
    </row>
    <row r="490" spans="1:12" x14ac:dyDescent="0.2">
      <c r="A490" s="168" t="s">
        <v>74</v>
      </c>
      <c r="B490" s="168" t="s">
        <v>75</v>
      </c>
      <c r="C490" s="168" t="s">
        <v>11</v>
      </c>
      <c r="D490" s="168" t="s">
        <v>12</v>
      </c>
      <c r="E490" s="169">
        <v>42304</v>
      </c>
      <c r="F490" s="170">
        <v>24.5</v>
      </c>
      <c r="G490" s="171" t="s">
        <v>13</v>
      </c>
      <c r="H490" s="168" t="s">
        <v>14</v>
      </c>
      <c r="I490" s="171">
        <v>1</v>
      </c>
      <c r="J490" s="171" t="s">
        <v>15</v>
      </c>
      <c r="K490" s="171" t="s">
        <v>76</v>
      </c>
      <c r="L490" s="168" t="s">
        <v>77</v>
      </c>
    </row>
    <row r="491" spans="1:12" x14ac:dyDescent="0.2">
      <c r="A491" s="168" t="s">
        <v>74</v>
      </c>
      <c r="B491" s="168" t="s">
        <v>75</v>
      </c>
      <c r="C491" s="168" t="s">
        <v>11</v>
      </c>
      <c r="D491" s="168" t="s">
        <v>12</v>
      </c>
      <c r="E491" s="169">
        <v>42304</v>
      </c>
      <c r="F491" s="170">
        <v>293.41788000000003</v>
      </c>
      <c r="G491" s="171" t="s">
        <v>16</v>
      </c>
      <c r="H491" s="168" t="s">
        <v>14</v>
      </c>
      <c r="I491" s="171">
        <v>1</v>
      </c>
      <c r="J491" s="171" t="s">
        <v>15</v>
      </c>
      <c r="K491" s="171" t="s">
        <v>76</v>
      </c>
      <c r="L491" s="168" t="s">
        <v>77</v>
      </c>
    </row>
    <row r="492" spans="1:12" x14ac:dyDescent="0.2">
      <c r="A492" s="168" t="s">
        <v>74</v>
      </c>
      <c r="B492" s="168" t="s">
        <v>75</v>
      </c>
      <c r="C492" s="168" t="s">
        <v>11</v>
      </c>
      <c r="D492" s="168" t="s">
        <v>78</v>
      </c>
      <c r="E492" s="169">
        <v>42304</v>
      </c>
      <c r="F492" s="170">
        <v>13.7</v>
      </c>
      <c r="G492" s="171" t="s">
        <v>13</v>
      </c>
      <c r="H492" s="168" t="s">
        <v>18</v>
      </c>
      <c r="I492" s="171">
        <v>1</v>
      </c>
      <c r="J492" s="171" t="s">
        <v>15</v>
      </c>
      <c r="K492" s="171" t="s">
        <v>76</v>
      </c>
      <c r="L492" s="168" t="s">
        <v>77</v>
      </c>
    </row>
    <row r="493" spans="1:12" x14ac:dyDescent="0.2">
      <c r="A493" s="168" t="s">
        <v>74</v>
      </c>
      <c r="B493" s="168" t="s">
        <v>75</v>
      </c>
      <c r="C493" s="168" t="s">
        <v>11</v>
      </c>
      <c r="D493" s="168" t="s">
        <v>78</v>
      </c>
      <c r="E493" s="169">
        <v>42304</v>
      </c>
      <c r="F493" s="170">
        <v>164.07448790000001</v>
      </c>
      <c r="G493" s="171" t="s">
        <v>16</v>
      </c>
      <c r="H493" s="168" t="s">
        <v>18</v>
      </c>
      <c r="I493" s="171">
        <v>1</v>
      </c>
      <c r="J493" s="171" t="s">
        <v>15</v>
      </c>
      <c r="K493" s="171" t="s">
        <v>76</v>
      </c>
      <c r="L493" s="168" t="s">
        <v>77</v>
      </c>
    </row>
    <row r="494" spans="1:12" x14ac:dyDescent="0.2">
      <c r="A494" s="168" t="s">
        <v>74</v>
      </c>
      <c r="B494" s="168" t="s">
        <v>75</v>
      </c>
      <c r="C494" s="168" t="s">
        <v>11</v>
      </c>
      <c r="D494" s="168" t="s">
        <v>12</v>
      </c>
      <c r="E494" s="169">
        <v>42297</v>
      </c>
      <c r="F494" s="170">
        <v>23.8</v>
      </c>
      <c r="G494" s="171" t="s">
        <v>13</v>
      </c>
      <c r="H494" s="168" t="s">
        <v>14</v>
      </c>
      <c r="I494" s="171">
        <v>1</v>
      </c>
      <c r="J494" s="171" t="s">
        <v>15</v>
      </c>
      <c r="K494" s="171" t="s">
        <v>76</v>
      </c>
      <c r="L494" s="168" t="s">
        <v>77</v>
      </c>
    </row>
    <row r="495" spans="1:12" x14ac:dyDescent="0.2">
      <c r="A495" s="168" t="s">
        <v>74</v>
      </c>
      <c r="B495" s="168" t="s">
        <v>75</v>
      </c>
      <c r="C495" s="168" t="s">
        <v>11</v>
      </c>
      <c r="D495" s="168" t="s">
        <v>12</v>
      </c>
      <c r="E495" s="169">
        <v>42297</v>
      </c>
      <c r="F495" s="170">
        <v>231.83865599999999</v>
      </c>
      <c r="G495" s="171" t="s">
        <v>16</v>
      </c>
      <c r="H495" s="168" t="s">
        <v>14</v>
      </c>
      <c r="I495" s="171">
        <v>1</v>
      </c>
      <c r="J495" s="171" t="s">
        <v>15</v>
      </c>
      <c r="K495" s="171" t="s">
        <v>76</v>
      </c>
      <c r="L495" s="168" t="s">
        <v>77</v>
      </c>
    </row>
    <row r="496" spans="1:12" x14ac:dyDescent="0.2">
      <c r="A496" s="168" t="s">
        <v>74</v>
      </c>
      <c r="B496" s="168" t="s">
        <v>75</v>
      </c>
      <c r="C496" s="168" t="s">
        <v>11</v>
      </c>
      <c r="D496" s="168" t="s">
        <v>78</v>
      </c>
      <c r="E496" s="169">
        <v>42297</v>
      </c>
      <c r="F496" s="170">
        <v>14.5</v>
      </c>
      <c r="G496" s="171" t="s">
        <v>13</v>
      </c>
      <c r="H496" s="168" t="s">
        <v>18</v>
      </c>
      <c r="I496" s="171">
        <v>1</v>
      </c>
      <c r="J496" s="171" t="s">
        <v>15</v>
      </c>
      <c r="K496" s="171" t="s">
        <v>76</v>
      </c>
      <c r="L496" s="168" t="s">
        <v>77</v>
      </c>
    </row>
    <row r="497" spans="1:12" x14ac:dyDescent="0.2">
      <c r="A497" s="168" t="s">
        <v>74</v>
      </c>
      <c r="B497" s="168" t="s">
        <v>75</v>
      </c>
      <c r="C497" s="168" t="s">
        <v>11</v>
      </c>
      <c r="D497" s="168" t="s">
        <v>78</v>
      </c>
      <c r="E497" s="169">
        <v>42297</v>
      </c>
      <c r="F497" s="170">
        <v>141.24624</v>
      </c>
      <c r="G497" s="171" t="s">
        <v>16</v>
      </c>
      <c r="H497" s="168" t="s">
        <v>18</v>
      </c>
      <c r="I497" s="171">
        <v>1</v>
      </c>
      <c r="J497" s="171" t="s">
        <v>15</v>
      </c>
      <c r="K497" s="171" t="s">
        <v>76</v>
      </c>
      <c r="L497" s="168" t="s">
        <v>77</v>
      </c>
    </row>
    <row r="498" spans="1:12" x14ac:dyDescent="0.2">
      <c r="A498" s="168" t="s">
        <v>74</v>
      </c>
      <c r="B498" s="168" t="s">
        <v>75</v>
      </c>
      <c r="C498" s="168" t="s">
        <v>11</v>
      </c>
      <c r="D498" s="168" t="s">
        <v>12</v>
      </c>
      <c r="E498" s="169">
        <v>42290</v>
      </c>
      <c r="F498" s="170">
        <v>27</v>
      </c>
      <c r="G498" s="171" t="s">
        <v>13</v>
      </c>
      <c r="H498" s="168" t="s">
        <v>14</v>
      </c>
      <c r="I498" s="171">
        <v>1</v>
      </c>
      <c r="J498" s="171" t="s">
        <v>15</v>
      </c>
      <c r="K498" s="171" t="s">
        <v>76</v>
      </c>
      <c r="L498" s="168" t="s">
        <v>77</v>
      </c>
    </row>
    <row r="499" spans="1:12" x14ac:dyDescent="0.2">
      <c r="A499" s="168" t="s">
        <v>74</v>
      </c>
      <c r="B499" s="168" t="s">
        <v>75</v>
      </c>
      <c r="C499" s="168" t="s">
        <v>11</v>
      </c>
      <c r="D499" s="168" t="s">
        <v>12</v>
      </c>
      <c r="E499" s="169">
        <v>42290</v>
      </c>
      <c r="F499" s="170">
        <v>275.39514000000003</v>
      </c>
      <c r="G499" s="171" t="s">
        <v>16</v>
      </c>
      <c r="H499" s="168" t="s">
        <v>14</v>
      </c>
      <c r="I499" s="171">
        <v>1</v>
      </c>
      <c r="J499" s="171" t="s">
        <v>15</v>
      </c>
      <c r="K499" s="171" t="s">
        <v>76</v>
      </c>
      <c r="L499" s="168" t="s">
        <v>77</v>
      </c>
    </row>
    <row r="500" spans="1:12" x14ac:dyDescent="0.2">
      <c r="A500" s="168" t="s">
        <v>74</v>
      </c>
      <c r="B500" s="168" t="s">
        <v>75</v>
      </c>
      <c r="C500" s="168" t="s">
        <v>11</v>
      </c>
      <c r="D500" s="168" t="s">
        <v>78</v>
      </c>
      <c r="E500" s="169">
        <v>42290</v>
      </c>
      <c r="F500" s="170">
        <v>13.8</v>
      </c>
      <c r="G500" s="171" t="s">
        <v>13</v>
      </c>
      <c r="H500" s="168" t="s">
        <v>18</v>
      </c>
      <c r="I500" s="171">
        <v>1</v>
      </c>
      <c r="J500" s="171" t="s">
        <v>15</v>
      </c>
      <c r="K500" s="171" t="s">
        <v>76</v>
      </c>
      <c r="L500" s="168" t="s">
        <v>77</v>
      </c>
    </row>
    <row r="501" spans="1:12" x14ac:dyDescent="0.2">
      <c r="A501" s="168" t="s">
        <v>74</v>
      </c>
      <c r="B501" s="168" t="s">
        <v>75</v>
      </c>
      <c r="C501" s="168" t="s">
        <v>11</v>
      </c>
      <c r="D501" s="168" t="s">
        <v>78</v>
      </c>
      <c r="E501" s="169">
        <v>42290</v>
      </c>
      <c r="F501" s="170">
        <v>140.75751600000001</v>
      </c>
      <c r="G501" s="171" t="s">
        <v>16</v>
      </c>
      <c r="H501" s="168" t="s">
        <v>18</v>
      </c>
      <c r="I501" s="171">
        <v>1</v>
      </c>
      <c r="J501" s="171" t="s">
        <v>15</v>
      </c>
      <c r="K501" s="171" t="s">
        <v>76</v>
      </c>
      <c r="L501" s="168" t="s">
        <v>77</v>
      </c>
    </row>
    <row r="502" spans="1:12" x14ac:dyDescent="0.2">
      <c r="A502" s="168" t="s">
        <v>74</v>
      </c>
      <c r="B502" s="168" t="s">
        <v>75</v>
      </c>
      <c r="C502" s="168" t="s">
        <v>11</v>
      </c>
      <c r="D502" s="168" t="s">
        <v>12</v>
      </c>
      <c r="E502" s="169">
        <v>42283</v>
      </c>
      <c r="F502" s="170">
        <v>28.5</v>
      </c>
      <c r="G502" s="171" t="s">
        <v>13</v>
      </c>
      <c r="H502" s="168" t="s">
        <v>14</v>
      </c>
      <c r="I502" s="171">
        <v>1</v>
      </c>
      <c r="J502" s="171" t="s">
        <v>15</v>
      </c>
      <c r="K502" s="171" t="s">
        <v>76</v>
      </c>
      <c r="L502" s="168" t="s">
        <v>77</v>
      </c>
    </row>
    <row r="503" spans="1:12" x14ac:dyDescent="0.2">
      <c r="A503" s="168" t="s">
        <v>74</v>
      </c>
      <c r="B503" s="168" t="s">
        <v>75</v>
      </c>
      <c r="C503" s="168" t="s">
        <v>11</v>
      </c>
      <c r="D503" s="168" t="s">
        <v>12</v>
      </c>
      <c r="E503" s="169">
        <v>42283</v>
      </c>
      <c r="F503" s="170">
        <v>284.75261999999998</v>
      </c>
      <c r="G503" s="171" t="s">
        <v>16</v>
      </c>
      <c r="H503" s="168" t="s">
        <v>14</v>
      </c>
      <c r="I503" s="171">
        <v>1</v>
      </c>
      <c r="J503" s="171" t="s">
        <v>15</v>
      </c>
      <c r="K503" s="171" t="s">
        <v>76</v>
      </c>
      <c r="L503" s="168" t="s">
        <v>77</v>
      </c>
    </row>
    <row r="504" spans="1:12" x14ac:dyDescent="0.2">
      <c r="A504" s="168" t="s">
        <v>74</v>
      </c>
      <c r="B504" s="168" t="s">
        <v>75</v>
      </c>
      <c r="C504" s="168" t="s">
        <v>11</v>
      </c>
      <c r="D504" s="168" t="s">
        <v>78</v>
      </c>
      <c r="E504" s="169">
        <v>42283</v>
      </c>
      <c r="F504" s="170">
        <v>17.2</v>
      </c>
      <c r="G504" s="171" t="s">
        <v>13</v>
      </c>
      <c r="H504" s="168" t="s">
        <v>18</v>
      </c>
      <c r="I504" s="171">
        <v>1</v>
      </c>
      <c r="J504" s="171" t="s">
        <v>15</v>
      </c>
      <c r="K504" s="171" t="s">
        <v>76</v>
      </c>
      <c r="L504" s="168" t="s">
        <v>77</v>
      </c>
    </row>
    <row r="505" spans="1:12" x14ac:dyDescent="0.2">
      <c r="A505" s="168" t="s">
        <v>74</v>
      </c>
      <c r="B505" s="168" t="s">
        <v>75</v>
      </c>
      <c r="C505" s="168" t="s">
        <v>11</v>
      </c>
      <c r="D505" s="168" t="s">
        <v>78</v>
      </c>
      <c r="E505" s="169">
        <v>42283</v>
      </c>
      <c r="F505" s="170">
        <v>171.85070390000001</v>
      </c>
      <c r="G505" s="171" t="s">
        <v>16</v>
      </c>
      <c r="H505" s="168" t="s">
        <v>18</v>
      </c>
      <c r="I505" s="171">
        <v>1</v>
      </c>
      <c r="J505" s="171" t="s">
        <v>15</v>
      </c>
      <c r="K505" s="171" t="s">
        <v>76</v>
      </c>
      <c r="L505" s="168" t="s">
        <v>77</v>
      </c>
    </row>
    <row r="506" spans="1:12" x14ac:dyDescent="0.2">
      <c r="A506" s="168" t="s">
        <v>74</v>
      </c>
      <c r="B506" s="168" t="s">
        <v>75</v>
      </c>
      <c r="C506" s="168" t="s">
        <v>11</v>
      </c>
      <c r="D506" s="168" t="s">
        <v>12</v>
      </c>
      <c r="E506" s="169">
        <v>42276</v>
      </c>
      <c r="F506" s="170">
        <v>22.4</v>
      </c>
      <c r="G506" s="171" t="s">
        <v>13</v>
      </c>
      <c r="H506" s="168" t="s">
        <v>14</v>
      </c>
      <c r="I506" s="171">
        <v>1</v>
      </c>
      <c r="J506" s="171" t="s">
        <v>15</v>
      </c>
      <c r="K506" s="171" t="s">
        <v>76</v>
      </c>
      <c r="L506" s="168" t="s">
        <v>77</v>
      </c>
    </row>
    <row r="507" spans="1:12" x14ac:dyDescent="0.2">
      <c r="A507" s="168" t="s">
        <v>74</v>
      </c>
      <c r="B507" s="168" t="s">
        <v>75</v>
      </c>
      <c r="C507" s="168" t="s">
        <v>11</v>
      </c>
      <c r="D507" s="168" t="s">
        <v>12</v>
      </c>
      <c r="E507" s="169">
        <v>42276</v>
      </c>
      <c r="F507" s="170">
        <v>226.04736</v>
      </c>
      <c r="G507" s="171" t="s">
        <v>16</v>
      </c>
      <c r="H507" s="168" t="s">
        <v>14</v>
      </c>
      <c r="I507" s="171">
        <v>1</v>
      </c>
      <c r="J507" s="171" t="s">
        <v>15</v>
      </c>
      <c r="K507" s="171" t="s">
        <v>76</v>
      </c>
      <c r="L507" s="168" t="s">
        <v>77</v>
      </c>
    </row>
    <row r="508" spans="1:12" x14ac:dyDescent="0.2">
      <c r="A508" s="168" t="s">
        <v>74</v>
      </c>
      <c r="B508" s="168" t="s">
        <v>75</v>
      </c>
      <c r="C508" s="168" t="s">
        <v>11</v>
      </c>
      <c r="D508" s="168" t="s">
        <v>78</v>
      </c>
      <c r="E508" s="169">
        <v>42276</v>
      </c>
      <c r="F508" s="170">
        <v>15.5</v>
      </c>
      <c r="G508" s="171" t="s">
        <v>13</v>
      </c>
      <c r="H508" s="168" t="s">
        <v>18</v>
      </c>
      <c r="I508" s="171">
        <v>1</v>
      </c>
      <c r="J508" s="171" t="s">
        <v>15</v>
      </c>
      <c r="K508" s="171" t="s">
        <v>76</v>
      </c>
      <c r="L508" s="168" t="s">
        <v>77</v>
      </c>
    </row>
    <row r="509" spans="1:12" x14ac:dyDescent="0.2">
      <c r="A509" s="168" t="s">
        <v>74</v>
      </c>
      <c r="B509" s="168" t="s">
        <v>75</v>
      </c>
      <c r="C509" s="168" t="s">
        <v>11</v>
      </c>
      <c r="D509" s="168" t="s">
        <v>78</v>
      </c>
      <c r="E509" s="169">
        <v>42276</v>
      </c>
      <c r="F509" s="170">
        <v>156.41669999999999</v>
      </c>
      <c r="G509" s="171" t="s">
        <v>16</v>
      </c>
      <c r="H509" s="168" t="s">
        <v>18</v>
      </c>
      <c r="I509" s="171">
        <v>1</v>
      </c>
      <c r="J509" s="171" t="s">
        <v>15</v>
      </c>
      <c r="K509" s="171" t="s">
        <v>76</v>
      </c>
      <c r="L509" s="168" t="s">
        <v>77</v>
      </c>
    </row>
    <row r="510" spans="1:12" x14ac:dyDescent="0.2">
      <c r="A510" s="168" t="s">
        <v>74</v>
      </c>
      <c r="B510" s="168" t="s">
        <v>75</v>
      </c>
      <c r="C510" s="168" t="s">
        <v>11</v>
      </c>
      <c r="D510" s="168" t="s">
        <v>12</v>
      </c>
      <c r="E510" s="169">
        <v>42269</v>
      </c>
      <c r="F510" s="170">
        <v>25.2</v>
      </c>
      <c r="G510" s="171" t="s">
        <v>13</v>
      </c>
      <c r="H510" s="168" t="s">
        <v>14</v>
      </c>
      <c r="I510" s="171">
        <v>1</v>
      </c>
      <c r="J510" s="171" t="s">
        <v>15</v>
      </c>
      <c r="K510" s="171" t="s">
        <v>76</v>
      </c>
      <c r="L510" s="168" t="s">
        <v>77</v>
      </c>
    </row>
    <row r="511" spans="1:12" x14ac:dyDescent="0.2">
      <c r="A511" s="168" t="s">
        <v>74</v>
      </c>
      <c r="B511" s="168" t="s">
        <v>75</v>
      </c>
      <c r="C511" s="168" t="s">
        <v>11</v>
      </c>
      <c r="D511" s="168" t="s">
        <v>12</v>
      </c>
      <c r="E511" s="169">
        <v>42269</v>
      </c>
      <c r="F511" s="170">
        <v>269.4353759</v>
      </c>
      <c r="G511" s="171" t="s">
        <v>16</v>
      </c>
      <c r="H511" s="168" t="s">
        <v>14</v>
      </c>
      <c r="I511" s="171">
        <v>1</v>
      </c>
      <c r="J511" s="171" t="s">
        <v>15</v>
      </c>
      <c r="K511" s="171" t="s">
        <v>76</v>
      </c>
      <c r="L511" s="168" t="s">
        <v>77</v>
      </c>
    </row>
    <row r="512" spans="1:12" x14ac:dyDescent="0.2">
      <c r="A512" s="168" t="s">
        <v>74</v>
      </c>
      <c r="B512" s="168" t="s">
        <v>75</v>
      </c>
      <c r="C512" s="168" t="s">
        <v>11</v>
      </c>
      <c r="D512" s="168" t="s">
        <v>78</v>
      </c>
      <c r="E512" s="169">
        <v>42269</v>
      </c>
      <c r="F512" s="170">
        <v>15.6</v>
      </c>
      <c r="G512" s="171" t="s">
        <v>13</v>
      </c>
      <c r="H512" s="168" t="s">
        <v>18</v>
      </c>
      <c r="I512" s="171">
        <v>1</v>
      </c>
      <c r="J512" s="171" t="s">
        <v>15</v>
      </c>
      <c r="K512" s="171" t="s">
        <v>76</v>
      </c>
      <c r="L512" s="168" t="s">
        <v>77</v>
      </c>
    </row>
    <row r="513" spans="1:12" x14ac:dyDescent="0.2">
      <c r="A513" s="168" t="s">
        <v>74</v>
      </c>
      <c r="B513" s="168" t="s">
        <v>75</v>
      </c>
      <c r="C513" s="168" t="s">
        <v>11</v>
      </c>
      <c r="D513" s="168" t="s">
        <v>78</v>
      </c>
      <c r="E513" s="169">
        <v>42269</v>
      </c>
      <c r="F513" s="170">
        <v>166.79332790000001</v>
      </c>
      <c r="G513" s="171" t="s">
        <v>16</v>
      </c>
      <c r="H513" s="168" t="s">
        <v>18</v>
      </c>
      <c r="I513" s="171">
        <v>1</v>
      </c>
      <c r="J513" s="171" t="s">
        <v>15</v>
      </c>
      <c r="K513" s="171" t="s">
        <v>76</v>
      </c>
      <c r="L513" s="168" t="s">
        <v>77</v>
      </c>
    </row>
    <row r="514" spans="1:12" x14ac:dyDescent="0.2">
      <c r="A514" s="168" t="s">
        <v>74</v>
      </c>
      <c r="B514" s="168" t="s">
        <v>75</v>
      </c>
      <c r="C514" s="168" t="s">
        <v>11</v>
      </c>
      <c r="D514" s="168" t="s">
        <v>12</v>
      </c>
      <c r="E514" s="169">
        <v>42262</v>
      </c>
      <c r="F514" s="170">
        <v>25.8</v>
      </c>
      <c r="G514" s="171" t="s">
        <v>13</v>
      </c>
      <c r="H514" s="168" t="s">
        <v>14</v>
      </c>
      <c r="I514" s="171">
        <v>1</v>
      </c>
      <c r="J514" s="171" t="s">
        <v>15</v>
      </c>
      <c r="K514" s="171" t="s">
        <v>76</v>
      </c>
      <c r="L514" s="168" t="s">
        <v>77</v>
      </c>
    </row>
    <row r="515" spans="1:12" x14ac:dyDescent="0.2">
      <c r="A515" s="168" t="s">
        <v>74</v>
      </c>
      <c r="B515" s="168" t="s">
        <v>75</v>
      </c>
      <c r="C515" s="168" t="s">
        <v>11</v>
      </c>
      <c r="D515" s="168" t="s">
        <v>12</v>
      </c>
      <c r="E515" s="169">
        <v>42262</v>
      </c>
      <c r="F515" s="170">
        <v>289.191168</v>
      </c>
      <c r="G515" s="171" t="s">
        <v>16</v>
      </c>
      <c r="H515" s="168" t="s">
        <v>14</v>
      </c>
      <c r="I515" s="171">
        <v>1</v>
      </c>
      <c r="J515" s="171" t="s">
        <v>15</v>
      </c>
      <c r="K515" s="171" t="s">
        <v>76</v>
      </c>
      <c r="L515" s="168" t="s">
        <v>77</v>
      </c>
    </row>
    <row r="516" spans="1:12" x14ac:dyDescent="0.2">
      <c r="A516" s="168" t="s">
        <v>74</v>
      </c>
      <c r="B516" s="168" t="s">
        <v>75</v>
      </c>
      <c r="C516" s="168" t="s">
        <v>11</v>
      </c>
      <c r="D516" s="168" t="s">
        <v>78</v>
      </c>
      <c r="E516" s="169">
        <v>42262</v>
      </c>
      <c r="F516" s="170">
        <v>11.8</v>
      </c>
      <c r="G516" s="171" t="s">
        <v>13</v>
      </c>
      <c r="H516" s="168" t="s">
        <v>18</v>
      </c>
      <c r="I516" s="171">
        <v>1</v>
      </c>
      <c r="J516" s="171" t="s">
        <v>15</v>
      </c>
      <c r="K516" s="171" t="s">
        <v>76</v>
      </c>
      <c r="L516" s="168" t="s">
        <v>77</v>
      </c>
    </row>
    <row r="517" spans="1:12" x14ac:dyDescent="0.2">
      <c r="A517" s="168" t="s">
        <v>74</v>
      </c>
      <c r="B517" s="168" t="s">
        <v>75</v>
      </c>
      <c r="C517" s="168" t="s">
        <v>11</v>
      </c>
      <c r="D517" s="168" t="s">
        <v>78</v>
      </c>
      <c r="E517" s="169">
        <v>42262</v>
      </c>
      <c r="F517" s="170">
        <v>132.265728</v>
      </c>
      <c r="G517" s="171" t="s">
        <v>16</v>
      </c>
      <c r="H517" s="168" t="s">
        <v>18</v>
      </c>
      <c r="I517" s="171">
        <v>1</v>
      </c>
      <c r="J517" s="171" t="s">
        <v>15</v>
      </c>
      <c r="K517" s="171" t="s">
        <v>76</v>
      </c>
      <c r="L517" s="168" t="s">
        <v>77</v>
      </c>
    </row>
    <row r="518" spans="1:12" x14ac:dyDescent="0.2">
      <c r="A518" s="168" t="s">
        <v>74</v>
      </c>
      <c r="B518" s="168" t="s">
        <v>75</v>
      </c>
      <c r="C518" s="168" t="s">
        <v>11</v>
      </c>
      <c r="D518" s="168" t="s">
        <v>12</v>
      </c>
      <c r="E518" s="169">
        <v>42255</v>
      </c>
      <c r="F518" s="170">
        <v>17.899999999999999</v>
      </c>
      <c r="G518" s="171" t="s">
        <v>13</v>
      </c>
      <c r="H518" s="168" t="s">
        <v>14</v>
      </c>
      <c r="I518" s="171">
        <v>1</v>
      </c>
      <c r="J518" s="171" t="s">
        <v>15</v>
      </c>
      <c r="K518" s="171" t="s">
        <v>76</v>
      </c>
      <c r="L518" s="168" t="s">
        <v>77</v>
      </c>
    </row>
    <row r="519" spans="1:12" x14ac:dyDescent="0.2">
      <c r="A519" s="168" t="s">
        <v>74</v>
      </c>
      <c r="B519" s="168" t="s">
        <v>75</v>
      </c>
      <c r="C519" s="168" t="s">
        <v>11</v>
      </c>
      <c r="D519" s="168" t="s">
        <v>12</v>
      </c>
      <c r="E519" s="169">
        <v>42255</v>
      </c>
      <c r="F519" s="170">
        <v>248.56118989999999</v>
      </c>
      <c r="G519" s="171" t="s">
        <v>16</v>
      </c>
      <c r="H519" s="168" t="s">
        <v>14</v>
      </c>
      <c r="I519" s="171">
        <v>1</v>
      </c>
      <c r="J519" s="171" t="s">
        <v>15</v>
      </c>
      <c r="K519" s="171" t="s">
        <v>76</v>
      </c>
      <c r="L519" s="168" t="s">
        <v>77</v>
      </c>
    </row>
    <row r="520" spans="1:12" x14ac:dyDescent="0.2">
      <c r="A520" s="168" t="s">
        <v>74</v>
      </c>
      <c r="B520" s="168" t="s">
        <v>75</v>
      </c>
      <c r="C520" s="168" t="s">
        <v>11</v>
      </c>
      <c r="D520" s="168" t="s">
        <v>78</v>
      </c>
      <c r="E520" s="169">
        <v>42255</v>
      </c>
      <c r="F520" s="170">
        <v>12.4</v>
      </c>
      <c r="G520" s="171" t="s">
        <v>13</v>
      </c>
      <c r="H520" s="168" t="s">
        <v>18</v>
      </c>
      <c r="I520" s="171">
        <v>1</v>
      </c>
      <c r="J520" s="171" t="s">
        <v>15</v>
      </c>
      <c r="K520" s="171" t="s">
        <v>76</v>
      </c>
      <c r="L520" s="168" t="s">
        <v>77</v>
      </c>
    </row>
    <row r="521" spans="1:12" x14ac:dyDescent="0.2">
      <c r="A521" s="168" t="s">
        <v>74</v>
      </c>
      <c r="B521" s="168" t="s">
        <v>75</v>
      </c>
      <c r="C521" s="168" t="s">
        <v>11</v>
      </c>
      <c r="D521" s="168" t="s">
        <v>78</v>
      </c>
      <c r="E521" s="169">
        <v>42255</v>
      </c>
      <c r="F521" s="170">
        <v>172.18763999999999</v>
      </c>
      <c r="G521" s="171" t="s">
        <v>16</v>
      </c>
      <c r="H521" s="168" t="s">
        <v>18</v>
      </c>
      <c r="I521" s="171">
        <v>1</v>
      </c>
      <c r="J521" s="171" t="s">
        <v>15</v>
      </c>
      <c r="K521" s="171" t="s">
        <v>76</v>
      </c>
      <c r="L521" s="168" t="s">
        <v>77</v>
      </c>
    </row>
    <row r="522" spans="1:12" x14ac:dyDescent="0.2">
      <c r="A522" s="168" t="s">
        <v>74</v>
      </c>
      <c r="B522" s="168" t="s">
        <v>75</v>
      </c>
      <c r="C522" s="168" t="s">
        <v>11</v>
      </c>
      <c r="D522" s="168" t="s">
        <v>12</v>
      </c>
      <c r="E522" s="169">
        <v>42248</v>
      </c>
      <c r="F522" s="170">
        <v>12.2</v>
      </c>
      <c r="G522" s="171" t="s">
        <v>13</v>
      </c>
      <c r="H522" s="168" t="s">
        <v>14</v>
      </c>
      <c r="I522" s="171">
        <v>1</v>
      </c>
      <c r="J522" s="171" t="s">
        <v>15</v>
      </c>
      <c r="K522" s="171" t="s">
        <v>76</v>
      </c>
      <c r="L522" s="168" t="s">
        <v>77</v>
      </c>
    </row>
    <row r="523" spans="1:12" x14ac:dyDescent="0.2">
      <c r="A523" s="168" t="s">
        <v>74</v>
      </c>
      <c r="B523" s="168" t="s">
        <v>75</v>
      </c>
      <c r="C523" s="168" t="s">
        <v>11</v>
      </c>
      <c r="D523" s="168" t="s">
        <v>12</v>
      </c>
      <c r="E523" s="169">
        <v>42248</v>
      </c>
      <c r="F523" s="170">
        <v>144.38041190000001</v>
      </c>
      <c r="G523" s="171" t="s">
        <v>16</v>
      </c>
      <c r="H523" s="168" t="s">
        <v>14</v>
      </c>
      <c r="I523" s="171">
        <v>1</v>
      </c>
      <c r="J523" s="171" t="s">
        <v>15</v>
      </c>
      <c r="K523" s="171" t="s">
        <v>76</v>
      </c>
      <c r="L523" s="168" t="s">
        <v>77</v>
      </c>
    </row>
    <row r="524" spans="1:12" x14ac:dyDescent="0.2">
      <c r="A524" s="168" t="s">
        <v>74</v>
      </c>
      <c r="B524" s="168" t="s">
        <v>75</v>
      </c>
      <c r="C524" s="168" t="s">
        <v>11</v>
      </c>
      <c r="D524" s="168" t="s">
        <v>78</v>
      </c>
      <c r="E524" s="169">
        <v>42248</v>
      </c>
      <c r="F524" s="170">
        <v>18.7</v>
      </c>
      <c r="G524" s="171" t="s">
        <v>13</v>
      </c>
      <c r="H524" s="168" t="s">
        <v>18</v>
      </c>
      <c r="I524" s="171">
        <v>1</v>
      </c>
      <c r="J524" s="171" t="s">
        <v>15</v>
      </c>
      <c r="K524" s="171" t="s">
        <v>76</v>
      </c>
      <c r="L524" s="168" t="s">
        <v>77</v>
      </c>
    </row>
    <row r="525" spans="1:12" x14ac:dyDescent="0.2">
      <c r="A525" s="168" t="s">
        <v>74</v>
      </c>
      <c r="B525" s="168" t="s">
        <v>75</v>
      </c>
      <c r="C525" s="168" t="s">
        <v>11</v>
      </c>
      <c r="D525" s="168" t="s">
        <v>78</v>
      </c>
      <c r="E525" s="169">
        <v>42248</v>
      </c>
      <c r="F525" s="170">
        <v>221.30440189999999</v>
      </c>
      <c r="G525" s="171" t="s">
        <v>16</v>
      </c>
      <c r="H525" s="168" t="s">
        <v>18</v>
      </c>
      <c r="I525" s="171">
        <v>1</v>
      </c>
      <c r="J525" s="171" t="s">
        <v>15</v>
      </c>
      <c r="K525" s="171" t="s">
        <v>76</v>
      </c>
      <c r="L525" s="168" t="s">
        <v>77</v>
      </c>
    </row>
    <row r="526" spans="1:12" x14ac:dyDescent="0.2">
      <c r="A526" s="168" t="s">
        <v>74</v>
      </c>
      <c r="B526" s="168" t="s">
        <v>75</v>
      </c>
      <c r="C526" s="168" t="s">
        <v>11</v>
      </c>
      <c r="D526" s="168" t="s">
        <v>12</v>
      </c>
      <c r="E526" s="169">
        <v>42241</v>
      </c>
      <c r="F526" s="170">
        <v>20.6</v>
      </c>
      <c r="G526" s="171" t="s">
        <v>13</v>
      </c>
      <c r="H526" s="168" t="s">
        <v>14</v>
      </c>
      <c r="I526" s="171">
        <v>1</v>
      </c>
      <c r="J526" s="171" t="s">
        <v>15</v>
      </c>
      <c r="K526" s="171" t="s">
        <v>76</v>
      </c>
      <c r="L526" s="168" t="s">
        <v>77</v>
      </c>
    </row>
    <row r="527" spans="1:12" x14ac:dyDescent="0.2">
      <c r="A527" s="168" t="s">
        <v>74</v>
      </c>
      <c r="B527" s="168" t="s">
        <v>75</v>
      </c>
      <c r="C527" s="168" t="s">
        <v>11</v>
      </c>
      <c r="D527" s="168" t="s">
        <v>12</v>
      </c>
      <c r="E527" s="169">
        <v>42241</v>
      </c>
      <c r="F527" s="170">
        <v>211.490724</v>
      </c>
      <c r="G527" s="171" t="s">
        <v>16</v>
      </c>
      <c r="H527" s="168" t="s">
        <v>14</v>
      </c>
      <c r="I527" s="171">
        <v>1</v>
      </c>
      <c r="J527" s="171" t="s">
        <v>15</v>
      </c>
      <c r="K527" s="171" t="s">
        <v>76</v>
      </c>
      <c r="L527" s="168" t="s">
        <v>77</v>
      </c>
    </row>
    <row r="528" spans="1:12" x14ac:dyDescent="0.2">
      <c r="A528" s="168" t="s">
        <v>74</v>
      </c>
      <c r="B528" s="168" t="s">
        <v>75</v>
      </c>
      <c r="C528" s="168" t="s">
        <v>11</v>
      </c>
      <c r="D528" s="168" t="s">
        <v>78</v>
      </c>
      <c r="E528" s="169">
        <v>42241</v>
      </c>
      <c r="F528" s="170">
        <v>14.8</v>
      </c>
      <c r="G528" s="171" t="s">
        <v>13</v>
      </c>
      <c r="H528" s="168" t="s">
        <v>18</v>
      </c>
      <c r="I528" s="171">
        <v>1</v>
      </c>
      <c r="J528" s="171" t="s">
        <v>15</v>
      </c>
      <c r="K528" s="171" t="s">
        <v>76</v>
      </c>
      <c r="L528" s="168" t="s">
        <v>77</v>
      </c>
    </row>
    <row r="529" spans="1:12" x14ac:dyDescent="0.2">
      <c r="A529" s="168" t="s">
        <v>74</v>
      </c>
      <c r="B529" s="168" t="s">
        <v>75</v>
      </c>
      <c r="C529" s="168" t="s">
        <v>11</v>
      </c>
      <c r="D529" s="168" t="s">
        <v>78</v>
      </c>
      <c r="E529" s="169">
        <v>42241</v>
      </c>
      <c r="F529" s="170">
        <v>151.94479200000001</v>
      </c>
      <c r="G529" s="171" t="s">
        <v>16</v>
      </c>
      <c r="H529" s="168" t="s">
        <v>18</v>
      </c>
      <c r="I529" s="171">
        <v>1</v>
      </c>
      <c r="J529" s="171" t="s">
        <v>15</v>
      </c>
      <c r="K529" s="171" t="s">
        <v>76</v>
      </c>
      <c r="L529" s="168" t="s">
        <v>77</v>
      </c>
    </row>
    <row r="530" spans="1:12" x14ac:dyDescent="0.2">
      <c r="A530" s="168" t="s">
        <v>74</v>
      </c>
      <c r="B530" s="168" t="s">
        <v>75</v>
      </c>
      <c r="C530" s="168" t="s">
        <v>11</v>
      </c>
      <c r="D530" s="168" t="s">
        <v>12</v>
      </c>
      <c r="E530" s="169">
        <v>42234</v>
      </c>
      <c r="F530" s="170">
        <v>21.1</v>
      </c>
      <c r="G530" s="171" t="s">
        <v>13</v>
      </c>
      <c r="H530" s="168" t="s">
        <v>14</v>
      </c>
      <c r="I530" s="171">
        <v>1</v>
      </c>
      <c r="J530" s="171" t="s">
        <v>15</v>
      </c>
      <c r="K530" s="171" t="s">
        <v>76</v>
      </c>
      <c r="L530" s="168" t="s">
        <v>77</v>
      </c>
    </row>
    <row r="531" spans="1:12" x14ac:dyDescent="0.2">
      <c r="A531" s="168" t="s">
        <v>74</v>
      </c>
      <c r="B531" s="168" t="s">
        <v>75</v>
      </c>
      <c r="C531" s="168" t="s">
        <v>11</v>
      </c>
      <c r="D531" s="168" t="s">
        <v>12</v>
      </c>
      <c r="E531" s="169">
        <v>42234</v>
      </c>
      <c r="F531" s="170">
        <v>294.05255399999999</v>
      </c>
      <c r="G531" s="171" t="s">
        <v>16</v>
      </c>
      <c r="H531" s="168" t="s">
        <v>14</v>
      </c>
      <c r="I531" s="171">
        <v>1</v>
      </c>
      <c r="J531" s="171" t="s">
        <v>15</v>
      </c>
      <c r="K531" s="171" t="s">
        <v>76</v>
      </c>
      <c r="L531" s="168" t="s">
        <v>77</v>
      </c>
    </row>
    <row r="532" spans="1:12" x14ac:dyDescent="0.2">
      <c r="A532" s="168" t="s">
        <v>74</v>
      </c>
      <c r="B532" s="168" t="s">
        <v>75</v>
      </c>
      <c r="C532" s="168" t="s">
        <v>11</v>
      </c>
      <c r="D532" s="168" t="s">
        <v>78</v>
      </c>
      <c r="E532" s="169">
        <v>42234</v>
      </c>
      <c r="F532" s="170">
        <v>13.2</v>
      </c>
      <c r="G532" s="171" t="s">
        <v>13</v>
      </c>
      <c r="H532" s="168" t="s">
        <v>18</v>
      </c>
      <c r="I532" s="171">
        <v>1</v>
      </c>
      <c r="J532" s="171" t="s">
        <v>15</v>
      </c>
      <c r="K532" s="171" t="s">
        <v>76</v>
      </c>
      <c r="L532" s="168" t="s">
        <v>77</v>
      </c>
    </row>
    <row r="533" spans="1:12" x14ac:dyDescent="0.2">
      <c r="A533" s="168" t="s">
        <v>74</v>
      </c>
      <c r="B533" s="168" t="s">
        <v>75</v>
      </c>
      <c r="C533" s="168" t="s">
        <v>11</v>
      </c>
      <c r="D533" s="168" t="s">
        <v>78</v>
      </c>
      <c r="E533" s="169">
        <v>42234</v>
      </c>
      <c r="F533" s="170">
        <v>183.95704799999999</v>
      </c>
      <c r="G533" s="171" t="s">
        <v>16</v>
      </c>
      <c r="H533" s="168" t="s">
        <v>18</v>
      </c>
      <c r="I533" s="171">
        <v>1</v>
      </c>
      <c r="J533" s="171" t="s">
        <v>15</v>
      </c>
      <c r="K533" s="171" t="s">
        <v>76</v>
      </c>
      <c r="L533" s="168" t="s">
        <v>77</v>
      </c>
    </row>
    <row r="534" spans="1:12" x14ac:dyDescent="0.2">
      <c r="A534" s="168" t="s">
        <v>74</v>
      </c>
      <c r="B534" s="168" t="s">
        <v>75</v>
      </c>
      <c r="C534" s="168" t="s">
        <v>11</v>
      </c>
      <c r="D534" s="168" t="s">
        <v>12</v>
      </c>
      <c r="E534" s="169">
        <v>42227</v>
      </c>
      <c r="F534" s="170">
        <v>25.5</v>
      </c>
      <c r="G534" s="171" t="s">
        <v>13</v>
      </c>
      <c r="H534" s="168" t="s">
        <v>14</v>
      </c>
      <c r="I534" s="171">
        <v>1</v>
      </c>
      <c r="J534" s="171" t="s">
        <v>15</v>
      </c>
      <c r="K534" s="171" t="s">
        <v>76</v>
      </c>
      <c r="L534" s="168" t="s">
        <v>77</v>
      </c>
    </row>
    <row r="535" spans="1:12" x14ac:dyDescent="0.2">
      <c r="A535" s="168" t="s">
        <v>74</v>
      </c>
      <c r="B535" s="168" t="s">
        <v>75</v>
      </c>
      <c r="C535" s="168" t="s">
        <v>11</v>
      </c>
      <c r="D535" s="168" t="s">
        <v>12</v>
      </c>
      <c r="E535" s="169">
        <v>42227</v>
      </c>
      <c r="F535" s="170">
        <v>223.51616999999999</v>
      </c>
      <c r="G535" s="171" t="s">
        <v>16</v>
      </c>
      <c r="H535" s="168" t="s">
        <v>14</v>
      </c>
      <c r="I535" s="171">
        <v>1</v>
      </c>
      <c r="J535" s="171" t="s">
        <v>15</v>
      </c>
      <c r="K535" s="171" t="s">
        <v>76</v>
      </c>
      <c r="L535" s="168" t="s">
        <v>77</v>
      </c>
    </row>
    <row r="536" spans="1:12" x14ac:dyDescent="0.2">
      <c r="A536" s="168" t="s">
        <v>74</v>
      </c>
      <c r="B536" s="168" t="s">
        <v>75</v>
      </c>
      <c r="C536" s="168" t="s">
        <v>11</v>
      </c>
      <c r="D536" s="168" t="s">
        <v>78</v>
      </c>
      <c r="E536" s="169">
        <v>42227</v>
      </c>
      <c r="F536" s="170">
        <v>12.1</v>
      </c>
      <c r="G536" s="171" t="s">
        <v>13</v>
      </c>
      <c r="H536" s="168" t="s">
        <v>18</v>
      </c>
      <c r="I536" s="171">
        <v>1</v>
      </c>
      <c r="J536" s="171" t="s">
        <v>15</v>
      </c>
      <c r="K536" s="171" t="s">
        <v>76</v>
      </c>
      <c r="L536" s="168" t="s">
        <v>77</v>
      </c>
    </row>
    <row r="537" spans="1:12" x14ac:dyDescent="0.2">
      <c r="A537" s="168" t="s">
        <v>74</v>
      </c>
      <c r="B537" s="168" t="s">
        <v>75</v>
      </c>
      <c r="C537" s="168" t="s">
        <v>11</v>
      </c>
      <c r="D537" s="168" t="s">
        <v>78</v>
      </c>
      <c r="E537" s="169">
        <v>42227</v>
      </c>
      <c r="F537" s="170">
        <v>106.06061390000001</v>
      </c>
      <c r="G537" s="171" t="s">
        <v>16</v>
      </c>
      <c r="H537" s="168" t="s">
        <v>18</v>
      </c>
      <c r="I537" s="171">
        <v>1</v>
      </c>
      <c r="J537" s="171" t="s">
        <v>15</v>
      </c>
      <c r="K537" s="171" t="s">
        <v>76</v>
      </c>
      <c r="L537" s="168" t="s">
        <v>77</v>
      </c>
    </row>
    <row r="538" spans="1:12" x14ac:dyDescent="0.2">
      <c r="A538" s="168" t="s">
        <v>74</v>
      </c>
      <c r="B538" s="168" t="s">
        <v>75</v>
      </c>
      <c r="C538" s="168" t="s">
        <v>11</v>
      </c>
      <c r="D538" s="168" t="s">
        <v>12</v>
      </c>
      <c r="E538" s="169">
        <v>42220</v>
      </c>
      <c r="F538" s="170">
        <v>20.3</v>
      </c>
      <c r="G538" s="171" t="s">
        <v>13</v>
      </c>
      <c r="H538" s="168" t="s">
        <v>14</v>
      </c>
      <c r="I538" s="171">
        <v>1</v>
      </c>
      <c r="J538" s="171" t="s">
        <v>15</v>
      </c>
      <c r="K538" s="171" t="s">
        <v>76</v>
      </c>
      <c r="L538" s="168" t="s">
        <v>77</v>
      </c>
    </row>
    <row r="539" spans="1:12" x14ac:dyDescent="0.2">
      <c r="A539" s="168" t="s">
        <v>74</v>
      </c>
      <c r="B539" s="168" t="s">
        <v>75</v>
      </c>
      <c r="C539" s="168" t="s">
        <v>11</v>
      </c>
      <c r="D539" s="168" t="s">
        <v>12</v>
      </c>
      <c r="E539" s="169">
        <v>42220</v>
      </c>
      <c r="F539" s="170">
        <v>131.37835200000001</v>
      </c>
      <c r="G539" s="171" t="s">
        <v>16</v>
      </c>
      <c r="H539" s="168" t="s">
        <v>14</v>
      </c>
      <c r="I539" s="171">
        <v>1</v>
      </c>
      <c r="J539" s="171" t="s">
        <v>15</v>
      </c>
      <c r="K539" s="171" t="s">
        <v>76</v>
      </c>
      <c r="L539" s="168" t="s">
        <v>77</v>
      </c>
    </row>
    <row r="540" spans="1:12" x14ac:dyDescent="0.2">
      <c r="A540" s="168" t="s">
        <v>74</v>
      </c>
      <c r="B540" s="168" t="s">
        <v>75</v>
      </c>
      <c r="C540" s="168" t="s">
        <v>11</v>
      </c>
      <c r="D540" s="168" t="s">
        <v>78</v>
      </c>
      <c r="E540" s="169">
        <v>42220</v>
      </c>
      <c r="F540" s="170">
        <v>11.8</v>
      </c>
      <c r="G540" s="171" t="s">
        <v>13</v>
      </c>
      <c r="H540" s="168" t="s">
        <v>18</v>
      </c>
      <c r="I540" s="171">
        <v>1</v>
      </c>
      <c r="J540" s="171" t="s">
        <v>15</v>
      </c>
      <c r="K540" s="171" t="s">
        <v>76</v>
      </c>
      <c r="L540" s="168" t="s">
        <v>77</v>
      </c>
    </row>
    <row r="541" spans="1:12" x14ac:dyDescent="0.2">
      <c r="A541" s="168" t="s">
        <v>74</v>
      </c>
      <c r="B541" s="168" t="s">
        <v>75</v>
      </c>
      <c r="C541" s="168" t="s">
        <v>11</v>
      </c>
      <c r="D541" s="168" t="s">
        <v>78</v>
      </c>
      <c r="E541" s="169">
        <v>42220</v>
      </c>
      <c r="F541" s="170">
        <v>76.367711999999997</v>
      </c>
      <c r="G541" s="171" t="s">
        <v>16</v>
      </c>
      <c r="H541" s="168" t="s">
        <v>18</v>
      </c>
      <c r="I541" s="171">
        <v>1</v>
      </c>
      <c r="J541" s="171" t="s">
        <v>15</v>
      </c>
      <c r="K541" s="171" t="s">
        <v>76</v>
      </c>
      <c r="L541" s="168" t="s">
        <v>77</v>
      </c>
    </row>
    <row r="542" spans="1:12" x14ac:dyDescent="0.2">
      <c r="A542" s="168" t="s">
        <v>74</v>
      </c>
      <c r="B542" s="168" t="s">
        <v>75</v>
      </c>
      <c r="C542" s="168" t="s">
        <v>11</v>
      </c>
      <c r="D542" s="168" t="s">
        <v>12</v>
      </c>
      <c r="E542" s="169">
        <v>42213</v>
      </c>
      <c r="F542" s="170">
        <v>21.2</v>
      </c>
      <c r="G542" s="171" t="s">
        <v>13</v>
      </c>
      <c r="H542" s="168" t="s">
        <v>14</v>
      </c>
      <c r="I542" s="171">
        <v>1</v>
      </c>
      <c r="J542" s="171" t="s">
        <v>15</v>
      </c>
      <c r="K542" s="171" t="s">
        <v>76</v>
      </c>
      <c r="L542" s="168" t="s">
        <v>77</v>
      </c>
    </row>
    <row r="543" spans="1:12" x14ac:dyDescent="0.2">
      <c r="A543" s="168" t="s">
        <v>74</v>
      </c>
      <c r="B543" s="168" t="s">
        <v>75</v>
      </c>
      <c r="C543" s="168" t="s">
        <v>11</v>
      </c>
      <c r="D543" s="168" t="s">
        <v>12</v>
      </c>
      <c r="E543" s="169">
        <v>42213</v>
      </c>
      <c r="F543" s="170">
        <v>166.72994399999999</v>
      </c>
      <c r="G543" s="171" t="s">
        <v>16</v>
      </c>
      <c r="H543" s="168" t="s">
        <v>14</v>
      </c>
      <c r="I543" s="171">
        <v>1</v>
      </c>
      <c r="J543" s="171" t="s">
        <v>15</v>
      </c>
      <c r="K543" s="171" t="s">
        <v>76</v>
      </c>
      <c r="L543" s="168" t="s">
        <v>77</v>
      </c>
    </row>
    <row r="544" spans="1:12" x14ac:dyDescent="0.2">
      <c r="A544" s="168" t="s">
        <v>74</v>
      </c>
      <c r="B544" s="168" t="s">
        <v>75</v>
      </c>
      <c r="C544" s="168" t="s">
        <v>11</v>
      </c>
      <c r="D544" s="168" t="s">
        <v>78</v>
      </c>
      <c r="E544" s="169">
        <v>42213</v>
      </c>
      <c r="F544" s="170">
        <v>12.1</v>
      </c>
      <c r="G544" s="171" t="s">
        <v>13</v>
      </c>
      <c r="H544" s="168" t="s">
        <v>18</v>
      </c>
      <c r="I544" s="171">
        <v>1</v>
      </c>
      <c r="J544" s="171" t="s">
        <v>15</v>
      </c>
      <c r="K544" s="171" t="s">
        <v>76</v>
      </c>
      <c r="L544" s="168" t="s">
        <v>77</v>
      </c>
    </row>
    <row r="545" spans="1:12" x14ac:dyDescent="0.2">
      <c r="A545" s="168" t="s">
        <v>74</v>
      </c>
      <c r="B545" s="168" t="s">
        <v>75</v>
      </c>
      <c r="C545" s="168" t="s">
        <v>11</v>
      </c>
      <c r="D545" s="168" t="s">
        <v>78</v>
      </c>
      <c r="E545" s="169">
        <v>42213</v>
      </c>
      <c r="F545" s="170">
        <v>95.161901999999998</v>
      </c>
      <c r="G545" s="171" t="s">
        <v>16</v>
      </c>
      <c r="H545" s="168" t="s">
        <v>18</v>
      </c>
      <c r="I545" s="171">
        <v>1</v>
      </c>
      <c r="J545" s="171" t="s">
        <v>15</v>
      </c>
      <c r="K545" s="171" t="s">
        <v>76</v>
      </c>
      <c r="L545" s="168" t="s">
        <v>77</v>
      </c>
    </row>
    <row r="546" spans="1:12" x14ac:dyDescent="0.2">
      <c r="A546" s="168" t="s">
        <v>74</v>
      </c>
      <c r="B546" s="168" t="s">
        <v>75</v>
      </c>
      <c r="C546" s="168" t="s">
        <v>11</v>
      </c>
      <c r="D546" s="168" t="s">
        <v>12</v>
      </c>
      <c r="E546" s="169">
        <v>42206</v>
      </c>
      <c r="F546" s="170">
        <v>25.5</v>
      </c>
      <c r="G546" s="171" t="s">
        <v>13</v>
      </c>
      <c r="H546" s="168" t="s">
        <v>14</v>
      </c>
      <c r="I546" s="171">
        <v>1</v>
      </c>
      <c r="J546" s="171" t="s">
        <v>15</v>
      </c>
      <c r="K546" s="171" t="s">
        <v>76</v>
      </c>
      <c r="L546" s="168" t="s">
        <v>77</v>
      </c>
    </row>
    <row r="547" spans="1:12" x14ac:dyDescent="0.2">
      <c r="A547" s="168" t="s">
        <v>74</v>
      </c>
      <c r="B547" s="168" t="s">
        <v>75</v>
      </c>
      <c r="C547" s="168" t="s">
        <v>11</v>
      </c>
      <c r="D547" s="168" t="s">
        <v>12</v>
      </c>
      <c r="E547" s="169">
        <v>42206</v>
      </c>
      <c r="F547" s="170">
        <v>139.72418999999999</v>
      </c>
      <c r="G547" s="171" t="s">
        <v>16</v>
      </c>
      <c r="H547" s="168" t="s">
        <v>14</v>
      </c>
      <c r="I547" s="171">
        <v>1</v>
      </c>
      <c r="J547" s="171" t="s">
        <v>15</v>
      </c>
      <c r="K547" s="171" t="s">
        <v>76</v>
      </c>
      <c r="L547" s="168" t="s">
        <v>77</v>
      </c>
    </row>
    <row r="548" spans="1:12" x14ac:dyDescent="0.2">
      <c r="A548" s="168" t="s">
        <v>74</v>
      </c>
      <c r="B548" s="168" t="s">
        <v>75</v>
      </c>
      <c r="C548" s="168" t="s">
        <v>11</v>
      </c>
      <c r="D548" s="168" t="s">
        <v>78</v>
      </c>
      <c r="E548" s="169">
        <v>42206</v>
      </c>
      <c r="F548" s="170">
        <v>14.3</v>
      </c>
      <c r="G548" s="171" t="s">
        <v>13</v>
      </c>
      <c r="H548" s="168" t="s">
        <v>18</v>
      </c>
      <c r="I548" s="171">
        <v>1</v>
      </c>
      <c r="J548" s="171" t="s">
        <v>15</v>
      </c>
      <c r="K548" s="171" t="s">
        <v>76</v>
      </c>
      <c r="L548" s="168" t="s">
        <v>77</v>
      </c>
    </row>
    <row r="549" spans="1:12" x14ac:dyDescent="0.2">
      <c r="A549" s="168" t="s">
        <v>74</v>
      </c>
      <c r="B549" s="168" t="s">
        <v>75</v>
      </c>
      <c r="C549" s="168" t="s">
        <v>11</v>
      </c>
      <c r="D549" s="168" t="s">
        <v>78</v>
      </c>
      <c r="E549" s="169">
        <v>42206</v>
      </c>
      <c r="F549" s="170">
        <v>78.355134000000007</v>
      </c>
      <c r="G549" s="171" t="s">
        <v>16</v>
      </c>
      <c r="H549" s="168" t="s">
        <v>18</v>
      </c>
      <c r="I549" s="171">
        <v>1</v>
      </c>
      <c r="J549" s="171" t="s">
        <v>15</v>
      </c>
      <c r="K549" s="171" t="s">
        <v>76</v>
      </c>
      <c r="L549" s="168" t="s">
        <v>77</v>
      </c>
    </row>
    <row r="550" spans="1:12" x14ac:dyDescent="0.2">
      <c r="A550" s="168" t="s">
        <v>74</v>
      </c>
      <c r="B550" s="168" t="s">
        <v>75</v>
      </c>
      <c r="C550" s="168" t="s">
        <v>11</v>
      </c>
      <c r="D550" s="168" t="s">
        <v>12</v>
      </c>
      <c r="E550" s="169">
        <v>42199</v>
      </c>
      <c r="F550" s="170">
        <v>16.2</v>
      </c>
      <c r="G550" s="171" t="s">
        <v>13</v>
      </c>
      <c r="H550" s="168" t="s">
        <v>14</v>
      </c>
      <c r="I550" s="171">
        <v>1</v>
      </c>
      <c r="J550" s="171" t="s">
        <v>15</v>
      </c>
      <c r="K550" s="171" t="s">
        <v>76</v>
      </c>
      <c r="L550" s="168" t="s">
        <v>77</v>
      </c>
    </row>
    <row r="551" spans="1:12" x14ac:dyDescent="0.2">
      <c r="A551" s="168" t="s">
        <v>74</v>
      </c>
      <c r="B551" s="168" t="s">
        <v>75</v>
      </c>
      <c r="C551" s="168" t="s">
        <v>11</v>
      </c>
      <c r="D551" s="168" t="s">
        <v>12</v>
      </c>
      <c r="E551" s="169">
        <v>42199</v>
      </c>
      <c r="F551" s="170">
        <v>75.795587999999995</v>
      </c>
      <c r="G551" s="171" t="s">
        <v>16</v>
      </c>
      <c r="H551" s="168" t="s">
        <v>14</v>
      </c>
      <c r="I551" s="171">
        <v>1</v>
      </c>
      <c r="J551" s="171" t="s">
        <v>15</v>
      </c>
      <c r="K551" s="171" t="s">
        <v>76</v>
      </c>
      <c r="L551" s="168" t="s">
        <v>77</v>
      </c>
    </row>
    <row r="552" spans="1:12" x14ac:dyDescent="0.2">
      <c r="A552" s="168" t="s">
        <v>74</v>
      </c>
      <c r="B552" s="168" t="s">
        <v>75</v>
      </c>
      <c r="C552" s="168" t="s">
        <v>11</v>
      </c>
      <c r="D552" s="168" t="s">
        <v>78</v>
      </c>
      <c r="E552" s="169">
        <v>42199</v>
      </c>
      <c r="F552" s="170">
        <v>18.399999999999999</v>
      </c>
      <c r="G552" s="171" t="s">
        <v>13</v>
      </c>
      <c r="H552" s="168" t="s">
        <v>18</v>
      </c>
      <c r="I552" s="171">
        <v>1</v>
      </c>
      <c r="J552" s="171" t="s">
        <v>15</v>
      </c>
      <c r="K552" s="171" t="s">
        <v>76</v>
      </c>
      <c r="L552" s="168" t="s">
        <v>77</v>
      </c>
    </row>
    <row r="553" spans="1:12" x14ac:dyDescent="0.2">
      <c r="A553" s="168" t="s">
        <v>74</v>
      </c>
      <c r="B553" s="168" t="s">
        <v>75</v>
      </c>
      <c r="C553" s="168" t="s">
        <v>11</v>
      </c>
      <c r="D553" s="168" t="s">
        <v>78</v>
      </c>
      <c r="E553" s="169">
        <v>42199</v>
      </c>
      <c r="F553" s="170">
        <v>86.088815999999994</v>
      </c>
      <c r="G553" s="171" t="s">
        <v>16</v>
      </c>
      <c r="H553" s="168" t="s">
        <v>18</v>
      </c>
      <c r="I553" s="171">
        <v>1</v>
      </c>
      <c r="J553" s="171" t="s">
        <v>15</v>
      </c>
      <c r="K553" s="171" t="s">
        <v>76</v>
      </c>
      <c r="L553" s="168" t="s">
        <v>77</v>
      </c>
    </row>
    <row r="554" spans="1:12" x14ac:dyDescent="0.2">
      <c r="A554" s="168" t="s">
        <v>74</v>
      </c>
      <c r="B554" s="168" t="s">
        <v>75</v>
      </c>
      <c r="C554" s="168" t="s">
        <v>11</v>
      </c>
      <c r="D554" s="168" t="s">
        <v>12</v>
      </c>
      <c r="E554" s="169">
        <v>42192</v>
      </c>
      <c r="F554" s="170">
        <v>15.5</v>
      </c>
      <c r="G554" s="171" t="s">
        <v>13</v>
      </c>
      <c r="H554" s="168" t="s">
        <v>14</v>
      </c>
      <c r="I554" s="171">
        <v>1</v>
      </c>
      <c r="J554" s="171" t="s">
        <v>15</v>
      </c>
      <c r="K554" s="171" t="s">
        <v>76</v>
      </c>
      <c r="L554" s="168" t="s">
        <v>77</v>
      </c>
    </row>
    <row r="555" spans="1:12" x14ac:dyDescent="0.2">
      <c r="A555" s="168" t="s">
        <v>74</v>
      </c>
      <c r="B555" s="168" t="s">
        <v>75</v>
      </c>
      <c r="C555" s="168" t="s">
        <v>11</v>
      </c>
      <c r="D555" s="168" t="s">
        <v>12</v>
      </c>
      <c r="E555" s="169">
        <v>42192</v>
      </c>
      <c r="F555" s="170">
        <v>86.352360000000004</v>
      </c>
      <c r="G555" s="171" t="s">
        <v>16</v>
      </c>
      <c r="H555" s="168" t="s">
        <v>14</v>
      </c>
      <c r="I555" s="171">
        <v>1</v>
      </c>
      <c r="J555" s="171" t="s">
        <v>15</v>
      </c>
      <c r="K555" s="171" t="s">
        <v>76</v>
      </c>
      <c r="L555" s="168" t="s">
        <v>77</v>
      </c>
    </row>
    <row r="556" spans="1:12" x14ac:dyDescent="0.2">
      <c r="A556" s="168" t="s">
        <v>74</v>
      </c>
      <c r="B556" s="168" t="s">
        <v>75</v>
      </c>
      <c r="C556" s="168" t="s">
        <v>11</v>
      </c>
      <c r="D556" s="168" t="s">
        <v>78</v>
      </c>
      <c r="E556" s="169">
        <v>42192</v>
      </c>
      <c r="F556" s="170">
        <v>17.2</v>
      </c>
      <c r="G556" s="171" t="s">
        <v>13</v>
      </c>
      <c r="H556" s="168" t="s">
        <v>18</v>
      </c>
      <c r="I556" s="171">
        <v>1</v>
      </c>
      <c r="J556" s="171" t="s">
        <v>15</v>
      </c>
      <c r="K556" s="171" t="s">
        <v>76</v>
      </c>
      <c r="L556" s="168" t="s">
        <v>77</v>
      </c>
    </row>
    <row r="557" spans="1:12" x14ac:dyDescent="0.2">
      <c r="A557" s="168" t="s">
        <v>74</v>
      </c>
      <c r="B557" s="168" t="s">
        <v>75</v>
      </c>
      <c r="C557" s="168" t="s">
        <v>11</v>
      </c>
      <c r="D557" s="168" t="s">
        <v>78</v>
      </c>
      <c r="E557" s="169">
        <v>42192</v>
      </c>
      <c r="F557" s="170">
        <v>95.823263999999995</v>
      </c>
      <c r="G557" s="171" t="s">
        <v>16</v>
      </c>
      <c r="H557" s="168" t="s">
        <v>18</v>
      </c>
      <c r="I557" s="171">
        <v>1</v>
      </c>
      <c r="J557" s="171" t="s">
        <v>15</v>
      </c>
      <c r="K557" s="171" t="s">
        <v>76</v>
      </c>
      <c r="L557" s="168" t="s">
        <v>77</v>
      </c>
    </row>
    <row r="558" spans="1:12" x14ac:dyDescent="0.2">
      <c r="A558" s="168" t="s">
        <v>74</v>
      </c>
      <c r="B558" s="168" t="s">
        <v>75</v>
      </c>
      <c r="C558" s="168" t="s">
        <v>11</v>
      </c>
      <c r="D558" s="168" t="s">
        <v>12</v>
      </c>
      <c r="E558" s="169">
        <v>42185</v>
      </c>
      <c r="F558" s="170">
        <v>14.1</v>
      </c>
      <c r="G558" s="171" t="s">
        <v>13</v>
      </c>
      <c r="H558" s="168" t="s">
        <v>14</v>
      </c>
      <c r="I558" s="171">
        <v>1</v>
      </c>
      <c r="J558" s="171" t="s">
        <v>15</v>
      </c>
      <c r="K558" s="171" t="s">
        <v>76</v>
      </c>
      <c r="L558" s="168" t="s">
        <v>77</v>
      </c>
    </row>
    <row r="559" spans="1:12" x14ac:dyDescent="0.2">
      <c r="A559" s="168" t="s">
        <v>74</v>
      </c>
      <c r="B559" s="168" t="s">
        <v>75</v>
      </c>
      <c r="C559" s="168" t="s">
        <v>11</v>
      </c>
      <c r="D559" s="168" t="s">
        <v>12</v>
      </c>
      <c r="E559" s="169">
        <v>42185</v>
      </c>
      <c r="F559" s="170">
        <v>85.020461999999995</v>
      </c>
      <c r="G559" s="171" t="s">
        <v>16</v>
      </c>
      <c r="H559" s="168" t="s">
        <v>14</v>
      </c>
      <c r="I559" s="171">
        <v>1</v>
      </c>
      <c r="J559" s="171" t="s">
        <v>15</v>
      </c>
      <c r="K559" s="171" t="s">
        <v>76</v>
      </c>
      <c r="L559" s="168" t="s">
        <v>77</v>
      </c>
    </row>
    <row r="560" spans="1:12" x14ac:dyDescent="0.2">
      <c r="A560" s="168" t="s">
        <v>74</v>
      </c>
      <c r="B560" s="168" t="s">
        <v>75</v>
      </c>
      <c r="C560" s="168" t="s">
        <v>11</v>
      </c>
      <c r="D560" s="168" t="s">
        <v>78</v>
      </c>
      <c r="E560" s="169">
        <v>42185</v>
      </c>
      <c r="F560" s="170">
        <v>11.9</v>
      </c>
      <c r="G560" s="171" t="s">
        <v>13</v>
      </c>
      <c r="H560" s="168" t="s">
        <v>18</v>
      </c>
      <c r="I560" s="171">
        <v>1</v>
      </c>
      <c r="J560" s="171" t="s">
        <v>15</v>
      </c>
      <c r="K560" s="171" t="s">
        <v>76</v>
      </c>
      <c r="L560" s="168" t="s">
        <v>77</v>
      </c>
    </row>
    <row r="561" spans="1:12" x14ac:dyDescent="0.2">
      <c r="A561" s="168" t="s">
        <v>74</v>
      </c>
      <c r="B561" s="168" t="s">
        <v>75</v>
      </c>
      <c r="C561" s="168" t="s">
        <v>11</v>
      </c>
      <c r="D561" s="168" t="s">
        <v>78</v>
      </c>
      <c r="E561" s="169">
        <v>42185</v>
      </c>
      <c r="F561" s="170">
        <v>71.754857999999999</v>
      </c>
      <c r="G561" s="171" t="s">
        <v>16</v>
      </c>
      <c r="H561" s="168" t="s">
        <v>18</v>
      </c>
      <c r="I561" s="171">
        <v>1</v>
      </c>
      <c r="J561" s="171" t="s">
        <v>15</v>
      </c>
      <c r="K561" s="171" t="s">
        <v>76</v>
      </c>
      <c r="L561" s="168" t="s">
        <v>77</v>
      </c>
    </row>
    <row r="562" spans="1:12" x14ac:dyDescent="0.2">
      <c r="A562" s="168" t="s">
        <v>74</v>
      </c>
      <c r="B562" s="168" t="s">
        <v>75</v>
      </c>
      <c r="C562" s="168" t="s">
        <v>11</v>
      </c>
      <c r="D562" s="168" t="s">
        <v>12</v>
      </c>
      <c r="E562" s="169">
        <v>42178</v>
      </c>
      <c r="F562" s="170">
        <v>13.1</v>
      </c>
      <c r="G562" s="171" t="s">
        <v>13</v>
      </c>
      <c r="H562" s="168" t="s">
        <v>14</v>
      </c>
      <c r="I562" s="171">
        <v>1</v>
      </c>
      <c r="J562" s="171" t="s">
        <v>15</v>
      </c>
      <c r="K562" s="171" t="s">
        <v>76</v>
      </c>
      <c r="L562" s="168" t="s">
        <v>77</v>
      </c>
    </row>
    <row r="563" spans="1:12" x14ac:dyDescent="0.2">
      <c r="A563" s="168" t="s">
        <v>74</v>
      </c>
      <c r="B563" s="168" t="s">
        <v>75</v>
      </c>
      <c r="C563" s="168" t="s">
        <v>11</v>
      </c>
      <c r="D563" s="168" t="s">
        <v>12</v>
      </c>
      <c r="E563" s="169">
        <v>42178</v>
      </c>
      <c r="F563" s="170">
        <v>213.70082400000001</v>
      </c>
      <c r="G563" s="171" t="s">
        <v>16</v>
      </c>
      <c r="H563" s="168" t="s">
        <v>14</v>
      </c>
      <c r="I563" s="171">
        <v>1</v>
      </c>
      <c r="J563" s="171" t="s">
        <v>15</v>
      </c>
      <c r="K563" s="171" t="s">
        <v>76</v>
      </c>
      <c r="L563" s="168" t="s">
        <v>77</v>
      </c>
    </row>
    <row r="564" spans="1:12" x14ac:dyDescent="0.2">
      <c r="A564" s="168" t="s">
        <v>74</v>
      </c>
      <c r="B564" s="168" t="s">
        <v>75</v>
      </c>
      <c r="C564" s="168" t="s">
        <v>11</v>
      </c>
      <c r="D564" s="168" t="s">
        <v>78</v>
      </c>
      <c r="E564" s="169">
        <v>42178</v>
      </c>
      <c r="F564" s="170">
        <v>8.52</v>
      </c>
      <c r="G564" s="171" t="s">
        <v>13</v>
      </c>
      <c r="H564" s="168" t="s">
        <v>18</v>
      </c>
      <c r="I564" s="171">
        <v>1</v>
      </c>
      <c r="J564" s="171" t="s">
        <v>15</v>
      </c>
      <c r="K564" s="171" t="s">
        <v>76</v>
      </c>
      <c r="L564" s="168" t="s">
        <v>77</v>
      </c>
    </row>
    <row r="565" spans="1:12" x14ac:dyDescent="0.2">
      <c r="A565" s="168" t="s">
        <v>74</v>
      </c>
      <c r="B565" s="168" t="s">
        <v>75</v>
      </c>
      <c r="C565" s="168" t="s">
        <v>11</v>
      </c>
      <c r="D565" s="168" t="s">
        <v>78</v>
      </c>
      <c r="E565" s="169">
        <v>42178</v>
      </c>
      <c r="F565" s="170">
        <v>138.98710080000001</v>
      </c>
      <c r="G565" s="171" t="s">
        <v>16</v>
      </c>
      <c r="H565" s="168" t="s">
        <v>18</v>
      </c>
      <c r="I565" s="171">
        <v>1</v>
      </c>
      <c r="J565" s="171" t="s">
        <v>15</v>
      </c>
      <c r="K565" s="171" t="s">
        <v>76</v>
      </c>
      <c r="L565" s="168" t="s">
        <v>77</v>
      </c>
    </row>
    <row r="566" spans="1:12" x14ac:dyDescent="0.2">
      <c r="A566" s="168" t="s">
        <v>74</v>
      </c>
      <c r="B566" s="168" t="s">
        <v>75</v>
      </c>
      <c r="C566" s="168" t="s">
        <v>11</v>
      </c>
      <c r="D566" s="168" t="s">
        <v>12</v>
      </c>
      <c r="E566" s="169">
        <v>42171</v>
      </c>
      <c r="F566" s="170">
        <v>15.3</v>
      </c>
      <c r="G566" s="171" t="s">
        <v>13</v>
      </c>
      <c r="H566" s="168" t="s">
        <v>14</v>
      </c>
      <c r="I566" s="171">
        <v>1</v>
      </c>
      <c r="J566" s="171" t="s">
        <v>15</v>
      </c>
      <c r="K566" s="171" t="s">
        <v>76</v>
      </c>
      <c r="L566" s="168" t="s">
        <v>77</v>
      </c>
    </row>
    <row r="567" spans="1:12" x14ac:dyDescent="0.2">
      <c r="A567" s="168" t="s">
        <v>74</v>
      </c>
      <c r="B567" s="168" t="s">
        <v>75</v>
      </c>
      <c r="C567" s="168" t="s">
        <v>11</v>
      </c>
      <c r="D567" s="168" t="s">
        <v>12</v>
      </c>
      <c r="E567" s="169">
        <v>42171</v>
      </c>
      <c r="F567" s="170">
        <v>94.425479999999993</v>
      </c>
      <c r="G567" s="171" t="s">
        <v>16</v>
      </c>
      <c r="H567" s="168" t="s">
        <v>14</v>
      </c>
      <c r="I567" s="171">
        <v>1</v>
      </c>
      <c r="J567" s="171" t="s">
        <v>15</v>
      </c>
      <c r="K567" s="171" t="s">
        <v>76</v>
      </c>
      <c r="L567" s="168" t="s">
        <v>77</v>
      </c>
    </row>
    <row r="568" spans="1:12" x14ac:dyDescent="0.2">
      <c r="A568" s="168" t="s">
        <v>74</v>
      </c>
      <c r="B568" s="168" t="s">
        <v>75</v>
      </c>
      <c r="C568" s="168" t="s">
        <v>11</v>
      </c>
      <c r="D568" s="168" t="s">
        <v>78</v>
      </c>
      <c r="E568" s="169">
        <v>42171</v>
      </c>
      <c r="F568" s="170">
        <v>16.100000000000001</v>
      </c>
      <c r="G568" s="171" t="s">
        <v>13</v>
      </c>
      <c r="H568" s="168" t="s">
        <v>18</v>
      </c>
      <c r="I568" s="171">
        <v>1</v>
      </c>
      <c r="J568" s="171" t="s">
        <v>15</v>
      </c>
      <c r="K568" s="171" t="s">
        <v>76</v>
      </c>
      <c r="L568" s="168" t="s">
        <v>77</v>
      </c>
    </row>
    <row r="569" spans="1:12" x14ac:dyDescent="0.2">
      <c r="A569" s="168" t="s">
        <v>74</v>
      </c>
      <c r="B569" s="168" t="s">
        <v>75</v>
      </c>
      <c r="C569" s="168" t="s">
        <v>11</v>
      </c>
      <c r="D569" s="168" t="s">
        <v>78</v>
      </c>
      <c r="E569" s="169">
        <v>42171</v>
      </c>
      <c r="F569" s="170">
        <v>99.362759999999994</v>
      </c>
      <c r="G569" s="171" t="s">
        <v>16</v>
      </c>
      <c r="H569" s="168" t="s">
        <v>18</v>
      </c>
      <c r="I569" s="171">
        <v>1</v>
      </c>
      <c r="J569" s="171" t="s">
        <v>15</v>
      </c>
      <c r="K569" s="171" t="s">
        <v>76</v>
      </c>
      <c r="L569" s="168" t="s">
        <v>77</v>
      </c>
    </row>
    <row r="570" spans="1:12" x14ac:dyDescent="0.2">
      <c r="A570" s="168" t="s">
        <v>74</v>
      </c>
      <c r="B570" s="168" t="s">
        <v>75</v>
      </c>
      <c r="C570" s="168" t="s">
        <v>11</v>
      </c>
      <c r="D570" s="168" t="s">
        <v>12</v>
      </c>
      <c r="E570" s="169">
        <v>42164</v>
      </c>
      <c r="F570" s="170">
        <v>19.8</v>
      </c>
      <c r="G570" s="171" t="s">
        <v>13</v>
      </c>
      <c r="H570" s="168" t="s">
        <v>14</v>
      </c>
      <c r="I570" s="171">
        <v>1</v>
      </c>
      <c r="J570" s="171" t="s">
        <v>15</v>
      </c>
      <c r="K570" s="171" t="s">
        <v>76</v>
      </c>
      <c r="L570" s="168" t="s">
        <v>77</v>
      </c>
    </row>
    <row r="571" spans="1:12" x14ac:dyDescent="0.2">
      <c r="A571" s="168" t="s">
        <v>74</v>
      </c>
      <c r="B571" s="168" t="s">
        <v>75</v>
      </c>
      <c r="C571" s="168" t="s">
        <v>11</v>
      </c>
      <c r="D571" s="168" t="s">
        <v>12</v>
      </c>
      <c r="E571" s="169">
        <v>42164</v>
      </c>
      <c r="F571" s="170">
        <v>111.298968</v>
      </c>
      <c r="G571" s="171" t="s">
        <v>16</v>
      </c>
      <c r="H571" s="168" t="s">
        <v>14</v>
      </c>
      <c r="I571" s="171">
        <v>1</v>
      </c>
      <c r="J571" s="171" t="s">
        <v>15</v>
      </c>
      <c r="K571" s="171" t="s">
        <v>76</v>
      </c>
      <c r="L571" s="168" t="s">
        <v>77</v>
      </c>
    </row>
    <row r="572" spans="1:12" x14ac:dyDescent="0.2">
      <c r="A572" s="168" t="s">
        <v>74</v>
      </c>
      <c r="B572" s="168" t="s">
        <v>75</v>
      </c>
      <c r="C572" s="168" t="s">
        <v>11</v>
      </c>
      <c r="D572" s="168" t="s">
        <v>78</v>
      </c>
      <c r="E572" s="169">
        <v>42164</v>
      </c>
      <c r="F572" s="170">
        <v>16.7</v>
      </c>
      <c r="G572" s="171" t="s">
        <v>13</v>
      </c>
      <c r="H572" s="168" t="s">
        <v>18</v>
      </c>
      <c r="I572" s="171">
        <v>1</v>
      </c>
      <c r="J572" s="171" t="s">
        <v>15</v>
      </c>
      <c r="K572" s="171" t="s">
        <v>76</v>
      </c>
      <c r="L572" s="168" t="s">
        <v>77</v>
      </c>
    </row>
    <row r="573" spans="1:12" x14ac:dyDescent="0.2">
      <c r="A573" s="168" t="s">
        <v>74</v>
      </c>
      <c r="B573" s="168" t="s">
        <v>75</v>
      </c>
      <c r="C573" s="168" t="s">
        <v>11</v>
      </c>
      <c r="D573" s="168" t="s">
        <v>78</v>
      </c>
      <c r="E573" s="169">
        <v>42164</v>
      </c>
      <c r="F573" s="170">
        <v>93.873372000000003</v>
      </c>
      <c r="G573" s="171" t="s">
        <v>16</v>
      </c>
      <c r="H573" s="168" t="s">
        <v>18</v>
      </c>
      <c r="I573" s="171">
        <v>1</v>
      </c>
      <c r="J573" s="171" t="s">
        <v>15</v>
      </c>
      <c r="K573" s="171" t="s">
        <v>76</v>
      </c>
      <c r="L573" s="168" t="s">
        <v>77</v>
      </c>
    </row>
    <row r="574" spans="1:12" x14ac:dyDescent="0.2">
      <c r="A574" s="168" t="s">
        <v>74</v>
      </c>
      <c r="B574" s="168" t="s">
        <v>75</v>
      </c>
      <c r="C574" s="168" t="s">
        <v>11</v>
      </c>
      <c r="D574" s="168" t="s">
        <v>12</v>
      </c>
      <c r="E574" s="169">
        <v>42157</v>
      </c>
      <c r="F574" s="170">
        <v>18</v>
      </c>
      <c r="G574" s="171" t="s">
        <v>13</v>
      </c>
      <c r="H574" s="168" t="s">
        <v>14</v>
      </c>
      <c r="I574" s="171">
        <v>1</v>
      </c>
      <c r="J574" s="171" t="s">
        <v>15</v>
      </c>
      <c r="K574" s="171" t="s">
        <v>76</v>
      </c>
      <c r="L574" s="168" t="s">
        <v>77</v>
      </c>
    </row>
    <row r="575" spans="1:12" x14ac:dyDescent="0.2">
      <c r="A575" s="168" t="s">
        <v>74</v>
      </c>
      <c r="B575" s="168" t="s">
        <v>75</v>
      </c>
      <c r="C575" s="168" t="s">
        <v>11</v>
      </c>
      <c r="D575" s="168" t="s">
        <v>12</v>
      </c>
      <c r="E575" s="169">
        <v>42157</v>
      </c>
      <c r="F575" s="170">
        <v>112.89024000000001</v>
      </c>
      <c r="G575" s="171" t="s">
        <v>16</v>
      </c>
      <c r="H575" s="168" t="s">
        <v>14</v>
      </c>
      <c r="I575" s="171">
        <v>1</v>
      </c>
      <c r="J575" s="171" t="s">
        <v>15</v>
      </c>
      <c r="K575" s="171" t="s">
        <v>76</v>
      </c>
      <c r="L575" s="168" t="s">
        <v>77</v>
      </c>
    </row>
    <row r="576" spans="1:12" x14ac:dyDescent="0.2">
      <c r="A576" s="168" t="s">
        <v>74</v>
      </c>
      <c r="B576" s="168" t="s">
        <v>75</v>
      </c>
      <c r="C576" s="168" t="s">
        <v>11</v>
      </c>
      <c r="D576" s="168" t="s">
        <v>78</v>
      </c>
      <c r="E576" s="169">
        <v>42157</v>
      </c>
      <c r="F576" s="170">
        <v>17.100000000000001</v>
      </c>
      <c r="G576" s="171" t="s">
        <v>13</v>
      </c>
      <c r="H576" s="168" t="s">
        <v>18</v>
      </c>
      <c r="I576" s="171">
        <v>1</v>
      </c>
      <c r="J576" s="171" t="s">
        <v>15</v>
      </c>
      <c r="K576" s="171" t="s">
        <v>76</v>
      </c>
      <c r="L576" s="168" t="s">
        <v>77</v>
      </c>
    </row>
    <row r="577" spans="1:12" x14ac:dyDescent="0.2">
      <c r="A577" s="168" t="s">
        <v>74</v>
      </c>
      <c r="B577" s="168" t="s">
        <v>75</v>
      </c>
      <c r="C577" s="168" t="s">
        <v>11</v>
      </c>
      <c r="D577" s="168" t="s">
        <v>78</v>
      </c>
      <c r="E577" s="169">
        <v>42157</v>
      </c>
      <c r="F577" s="170">
        <v>107.245728</v>
      </c>
      <c r="G577" s="171" t="s">
        <v>16</v>
      </c>
      <c r="H577" s="168" t="s">
        <v>18</v>
      </c>
      <c r="I577" s="171">
        <v>1</v>
      </c>
      <c r="J577" s="171" t="s">
        <v>15</v>
      </c>
      <c r="K577" s="171" t="s">
        <v>76</v>
      </c>
      <c r="L577" s="168" t="s">
        <v>77</v>
      </c>
    </row>
    <row r="578" spans="1:12" x14ac:dyDescent="0.2">
      <c r="A578" s="168" t="s">
        <v>74</v>
      </c>
      <c r="B578" s="168" t="s">
        <v>75</v>
      </c>
      <c r="C578" s="168" t="s">
        <v>11</v>
      </c>
      <c r="D578" s="168" t="s">
        <v>12</v>
      </c>
      <c r="E578" s="169">
        <v>42151</v>
      </c>
      <c r="F578" s="170">
        <v>14.5</v>
      </c>
      <c r="G578" s="171" t="s">
        <v>13</v>
      </c>
      <c r="H578" s="168" t="s">
        <v>14</v>
      </c>
      <c r="I578" s="171">
        <v>1</v>
      </c>
      <c r="J578" s="171" t="s">
        <v>15</v>
      </c>
      <c r="K578" s="171" t="s">
        <v>76</v>
      </c>
      <c r="L578" s="168" t="s">
        <v>77</v>
      </c>
    </row>
    <row r="579" spans="1:12" x14ac:dyDescent="0.2">
      <c r="A579" s="168" t="s">
        <v>74</v>
      </c>
      <c r="B579" s="168" t="s">
        <v>75</v>
      </c>
      <c r="C579" s="168" t="s">
        <v>11</v>
      </c>
      <c r="D579" s="168" t="s">
        <v>12</v>
      </c>
      <c r="E579" s="169">
        <v>42151</v>
      </c>
      <c r="F579" s="170">
        <v>108.23235</v>
      </c>
      <c r="G579" s="171" t="s">
        <v>16</v>
      </c>
      <c r="H579" s="168" t="s">
        <v>14</v>
      </c>
      <c r="I579" s="171">
        <v>1</v>
      </c>
      <c r="J579" s="171" t="s">
        <v>15</v>
      </c>
      <c r="K579" s="171" t="s">
        <v>76</v>
      </c>
      <c r="L579" s="168" t="s">
        <v>77</v>
      </c>
    </row>
    <row r="580" spans="1:12" x14ac:dyDescent="0.2">
      <c r="A580" s="168" t="s">
        <v>74</v>
      </c>
      <c r="B580" s="168" t="s">
        <v>75</v>
      </c>
      <c r="C580" s="168" t="s">
        <v>11</v>
      </c>
      <c r="D580" s="168" t="s">
        <v>78</v>
      </c>
      <c r="E580" s="169">
        <v>42151</v>
      </c>
      <c r="F580" s="170">
        <v>14.4</v>
      </c>
      <c r="G580" s="171" t="s">
        <v>13</v>
      </c>
      <c r="H580" s="168" t="s">
        <v>18</v>
      </c>
      <c r="I580" s="171">
        <v>1</v>
      </c>
      <c r="J580" s="171" t="s">
        <v>15</v>
      </c>
      <c r="K580" s="171" t="s">
        <v>76</v>
      </c>
      <c r="L580" s="168" t="s">
        <v>77</v>
      </c>
    </row>
    <row r="581" spans="1:12" x14ac:dyDescent="0.2">
      <c r="A581" s="168" t="s">
        <v>74</v>
      </c>
      <c r="B581" s="168" t="s">
        <v>75</v>
      </c>
      <c r="C581" s="168" t="s">
        <v>11</v>
      </c>
      <c r="D581" s="168" t="s">
        <v>78</v>
      </c>
      <c r="E581" s="169">
        <v>42151</v>
      </c>
      <c r="F581" s="170">
        <v>107.48591999999999</v>
      </c>
      <c r="G581" s="171" t="s">
        <v>16</v>
      </c>
      <c r="H581" s="168" t="s">
        <v>18</v>
      </c>
      <c r="I581" s="171">
        <v>1</v>
      </c>
      <c r="J581" s="171" t="s">
        <v>15</v>
      </c>
      <c r="K581" s="171" t="s">
        <v>76</v>
      </c>
      <c r="L581" s="168" t="s">
        <v>77</v>
      </c>
    </row>
    <row r="582" spans="1:12" x14ac:dyDescent="0.2">
      <c r="A582" s="168" t="s">
        <v>74</v>
      </c>
      <c r="B582" s="168" t="s">
        <v>75</v>
      </c>
      <c r="C582" s="168" t="s">
        <v>11</v>
      </c>
      <c r="D582" s="168" t="s">
        <v>12</v>
      </c>
      <c r="E582" s="169">
        <v>42143</v>
      </c>
      <c r="F582" s="170">
        <v>21.5</v>
      </c>
      <c r="G582" s="171" t="s">
        <v>13</v>
      </c>
      <c r="H582" s="168" t="s">
        <v>14</v>
      </c>
      <c r="I582" s="171">
        <v>1</v>
      </c>
      <c r="J582" s="171" t="s">
        <v>15</v>
      </c>
      <c r="K582" s="171" t="s">
        <v>76</v>
      </c>
      <c r="L582" s="168" t="s">
        <v>77</v>
      </c>
    </row>
    <row r="583" spans="1:12" x14ac:dyDescent="0.2">
      <c r="A583" s="168" t="s">
        <v>74</v>
      </c>
      <c r="B583" s="168" t="s">
        <v>75</v>
      </c>
      <c r="C583" s="168" t="s">
        <v>11</v>
      </c>
      <c r="D583" s="168" t="s">
        <v>12</v>
      </c>
      <c r="E583" s="169">
        <v>42143</v>
      </c>
      <c r="F583" s="170">
        <v>170.88243</v>
      </c>
      <c r="G583" s="171" t="s">
        <v>16</v>
      </c>
      <c r="H583" s="168" t="s">
        <v>14</v>
      </c>
      <c r="I583" s="171">
        <v>1</v>
      </c>
      <c r="J583" s="171" t="s">
        <v>15</v>
      </c>
      <c r="K583" s="171" t="s">
        <v>76</v>
      </c>
      <c r="L583" s="168" t="s">
        <v>77</v>
      </c>
    </row>
    <row r="584" spans="1:12" x14ac:dyDescent="0.2">
      <c r="A584" s="168" t="s">
        <v>74</v>
      </c>
      <c r="B584" s="168" t="s">
        <v>75</v>
      </c>
      <c r="C584" s="168" t="s">
        <v>11</v>
      </c>
      <c r="D584" s="168" t="s">
        <v>78</v>
      </c>
      <c r="E584" s="169">
        <v>42143</v>
      </c>
      <c r="F584" s="170">
        <v>20.6</v>
      </c>
      <c r="G584" s="171" t="s">
        <v>13</v>
      </c>
      <c r="H584" s="168" t="s">
        <v>18</v>
      </c>
      <c r="I584" s="171">
        <v>1</v>
      </c>
      <c r="J584" s="171" t="s">
        <v>15</v>
      </c>
      <c r="K584" s="171" t="s">
        <v>76</v>
      </c>
      <c r="L584" s="168" t="s">
        <v>77</v>
      </c>
    </row>
    <row r="585" spans="1:12" x14ac:dyDescent="0.2">
      <c r="A585" s="168" t="s">
        <v>74</v>
      </c>
      <c r="B585" s="168" t="s">
        <v>75</v>
      </c>
      <c r="C585" s="168" t="s">
        <v>11</v>
      </c>
      <c r="D585" s="168" t="s">
        <v>78</v>
      </c>
      <c r="E585" s="169">
        <v>42143</v>
      </c>
      <c r="F585" s="170">
        <v>163.72921199999999</v>
      </c>
      <c r="G585" s="171" t="s">
        <v>16</v>
      </c>
      <c r="H585" s="168" t="s">
        <v>18</v>
      </c>
      <c r="I585" s="171">
        <v>1</v>
      </c>
      <c r="J585" s="171" t="s">
        <v>15</v>
      </c>
      <c r="K585" s="171" t="s">
        <v>76</v>
      </c>
      <c r="L585" s="168" t="s">
        <v>77</v>
      </c>
    </row>
    <row r="586" spans="1:12" x14ac:dyDescent="0.2">
      <c r="A586" s="168" t="s">
        <v>74</v>
      </c>
      <c r="B586" s="168" t="s">
        <v>75</v>
      </c>
      <c r="C586" s="168" t="s">
        <v>11</v>
      </c>
      <c r="D586" s="168" t="s">
        <v>12</v>
      </c>
      <c r="E586" s="169">
        <v>42136</v>
      </c>
      <c r="F586" s="170">
        <v>21.6</v>
      </c>
      <c r="G586" s="171" t="s">
        <v>13</v>
      </c>
      <c r="H586" s="168" t="s">
        <v>14</v>
      </c>
      <c r="I586" s="171">
        <v>1</v>
      </c>
      <c r="J586" s="171" t="s">
        <v>15</v>
      </c>
      <c r="K586" s="171" t="s">
        <v>76</v>
      </c>
      <c r="L586" s="168" t="s">
        <v>77</v>
      </c>
    </row>
    <row r="587" spans="1:12" x14ac:dyDescent="0.2">
      <c r="A587" s="168" t="s">
        <v>74</v>
      </c>
      <c r="B587" s="168" t="s">
        <v>75</v>
      </c>
      <c r="C587" s="168" t="s">
        <v>11</v>
      </c>
      <c r="D587" s="168" t="s">
        <v>12</v>
      </c>
      <c r="E587" s="169">
        <v>42136</v>
      </c>
      <c r="F587" s="170">
        <v>183.20644799999999</v>
      </c>
      <c r="G587" s="171" t="s">
        <v>16</v>
      </c>
      <c r="H587" s="168" t="s">
        <v>14</v>
      </c>
      <c r="I587" s="171">
        <v>1</v>
      </c>
      <c r="J587" s="171" t="s">
        <v>15</v>
      </c>
      <c r="K587" s="171" t="s">
        <v>76</v>
      </c>
      <c r="L587" s="168" t="s">
        <v>77</v>
      </c>
    </row>
    <row r="588" spans="1:12" x14ac:dyDescent="0.2">
      <c r="A588" s="168" t="s">
        <v>74</v>
      </c>
      <c r="B588" s="168" t="s">
        <v>75</v>
      </c>
      <c r="C588" s="168" t="s">
        <v>11</v>
      </c>
      <c r="D588" s="168" t="s">
        <v>78</v>
      </c>
      <c r="E588" s="169">
        <v>42136</v>
      </c>
      <c r="F588" s="170">
        <v>19.2</v>
      </c>
      <c r="G588" s="171" t="s">
        <v>13</v>
      </c>
      <c r="H588" s="168" t="s">
        <v>18</v>
      </c>
      <c r="I588" s="171">
        <v>1</v>
      </c>
      <c r="J588" s="171" t="s">
        <v>15</v>
      </c>
      <c r="K588" s="171" t="s">
        <v>76</v>
      </c>
      <c r="L588" s="168" t="s">
        <v>77</v>
      </c>
    </row>
    <row r="589" spans="1:12" x14ac:dyDescent="0.2">
      <c r="A589" s="168" t="s">
        <v>74</v>
      </c>
      <c r="B589" s="168" t="s">
        <v>75</v>
      </c>
      <c r="C589" s="168" t="s">
        <v>11</v>
      </c>
      <c r="D589" s="168" t="s">
        <v>78</v>
      </c>
      <c r="E589" s="169">
        <v>42136</v>
      </c>
      <c r="F589" s="170">
        <v>162.850176</v>
      </c>
      <c r="G589" s="171" t="s">
        <v>16</v>
      </c>
      <c r="H589" s="168" t="s">
        <v>18</v>
      </c>
      <c r="I589" s="171">
        <v>1</v>
      </c>
      <c r="J589" s="171" t="s">
        <v>15</v>
      </c>
      <c r="K589" s="171" t="s">
        <v>76</v>
      </c>
      <c r="L589" s="168" t="s">
        <v>77</v>
      </c>
    </row>
    <row r="590" spans="1:12" x14ac:dyDescent="0.2">
      <c r="A590" s="168" t="s">
        <v>74</v>
      </c>
      <c r="B590" s="168" t="s">
        <v>75</v>
      </c>
      <c r="C590" s="168" t="s">
        <v>11</v>
      </c>
      <c r="D590" s="168" t="s">
        <v>12</v>
      </c>
      <c r="E590" s="169">
        <v>42129</v>
      </c>
      <c r="F590" s="170">
        <v>18</v>
      </c>
      <c r="G590" s="171" t="s">
        <v>13</v>
      </c>
      <c r="H590" s="168" t="s">
        <v>14</v>
      </c>
      <c r="I590" s="171">
        <v>1</v>
      </c>
      <c r="J590" s="171" t="s">
        <v>15</v>
      </c>
      <c r="K590" s="171" t="s">
        <v>76</v>
      </c>
      <c r="L590" s="168" t="s">
        <v>77</v>
      </c>
    </row>
    <row r="591" spans="1:12" x14ac:dyDescent="0.2">
      <c r="A591" s="168" t="s">
        <v>74</v>
      </c>
      <c r="B591" s="168" t="s">
        <v>75</v>
      </c>
      <c r="C591" s="168" t="s">
        <v>11</v>
      </c>
      <c r="D591" s="168" t="s">
        <v>12</v>
      </c>
      <c r="E591" s="169">
        <v>42129</v>
      </c>
      <c r="F591" s="170">
        <v>164.53152</v>
      </c>
      <c r="G591" s="171" t="s">
        <v>16</v>
      </c>
      <c r="H591" s="168" t="s">
        <v>14</v>
      </c>
      <c r="I591" s="171">
        <v>1</v>
      </c>
      <c r="J591" s="171" t="s">
        <v>15</v>
      </c>
      <c r="K591" s="171" t="s">
        <v>76</v>
      </c>
      <c r="L591" s="168" t="s">
        <v>77</v>
      </c>
    </row>
    <row r="592" spans="1:12" x14ac:dyDescent="0.2">
      <c r="A592" s="168" t="s">
        <v>74</v>
      </c>
      <c r="B592" s="168" t="s">
        <v>75</v>
      </c>
      <c r="C592" s="168" t="s">
        <v>11</v>
      </c>
      <c r="D592" s="168" t="s">
        <v>78</v>
      </c>
      <c r="E592" s="169">
        <v>42129</v>
      </c>
      <c r="F592" s="170">
        <v>14.3</v>
      </c>
      <c r="G592" s="171" t="s">
        <v>13</v>
      </c>
      <c r="H592" s="168" t="s">
        <v>18</v>
      </c>
      <c r="I592" s="171">
        <v>1</v>
      </c>
      <c r="J592" s="171" t="s">
        <v>15</v>
      </c>
      <c r="K592" s="171" t="s">
        <v>76</v>
      </c>
      <c r="L592" s="168" t="s">
        <v>77</v>
      </c>
    </row>
    <row r="593" spans="1:12" x14ac:dyDescent="0.2">
      <c r="A593" s="168" t="s">
        <v>74</v>
      </c>
      <c r="B593" s="168" t="s">
        <v>75</v>
      </c>
      <c r="C593" s="168" t="s">
        <v>11</v>
      </c>
      <c r="D593" s="168" t="s">
        <v>78</v>
      </c>
      <c r="E593" s="169">
        <v>42129</v>
      </c>
      <c r="F593" s="170">
        <v>130.711152</v>
      </c>
      <c r="G593" s="171" t="s">
        <v>16</v>
      </c>
      <c r="H593" s="168" t="s">
        <v>18</v>
      </c>
      <c r="I593" s="171">
        <v>1</v>
      </c>
      <c r="J593" s="171" t="s">
        <v>15</v>
      </c>
      <c r="K593" s="171" t="s">
        <v>76</v>
      </c>
      <c r="L593" s="168" t="s">
        <v>77</v>
      </c>
    </row>
    <row r="594" spans="1:12" x14ac:dyDescent="0.2">
      <c r="A594" s="168" t="s">
        <v>74</v>
      </c>
      <c r="B594" s="168" t="s">
        <v>75</v>
      </c>
      <c r="C594" s="168" t="s">
        <v>11</v>
      </c>
      <c r="D594" s="168" t="s">
        <v>12</v>
      </c>
      <c r="E594" s="169">
        <v>42122</v>
      </c>
      <c r="F594" s="170">
        <v>20.8</v>
      </c>
      <c r="G594" s="171" t="s">
        <v>13</v>
      </c>
      <c r="H594" s="168" t="s">
        <v>14</v>
      </c>
      <c r="I594" s="171">
        <v>1</v>
      </c>
      <c r="J594" s="171" t="s">
        <v>15</v>
      </c>
      <c r="K594" s="171" t="s">
        <v>76</v>
      </c>
      <c r="L594" s="168" t="s">
        <v>77</v>
      </c>
    </row>
    <row r="595" spans="1:12" x14ac:dyDescent="0.2">
      <c r="A595" s="168" t="s">
        <v>74</v>
      </c>
      <c r="B595" s="168" t="s">
        <v>75</v>
      </c>
      <c r="C595" s="168" t="s">
        <v>11</v>
      </c>
      <c r="D595" s="168" t="s">
        <v>12</v>
      </c>
      <c r="E595" s="169">
        <v>42122</v>
      </c>
      <c r="F595" s="170">
        <v>203.8296</v>
      </c>
      <c r="G595" s="171" t="s">
        <v>16</v>
      </c>
      <c r="H595" s="168" t="s">
        <v>14</v>
      </c>
      <c r="I595" s="171">
        <v>1</v>
      </c>
      <c r="J595" s="171" t="s">
        <v>15</v>
      </c>
      <c r="K595" s="171" t="s">
        <v>76</v>
      </c>
      <c r="L595" s="168" t="s">
        <v>77</v>
      </c>
    </row>
    <row r="596" spans="1:12" x14ac:dyDescent="0.2">
      <c r="A596" s="168" t="s">
        <v>74</v>
      </c>
      <c r="B596" s="168" t="s">
        <v>75</v>
      </c>
      <c r="C596" s="168" t="s">
        <v>11</v>
      </c>
      <c r="D596" s="168" t="s">
        <v>78</v>
      </c>
      <c r="E596" s="169">
        <v>42122</v>
      </c>
      <c r="F596" s="170">
        <v>13.5</v>
      </c>
      <c r="G596" s="171" t="s">
        <v>13</v>
      </c>
      <c r="H596" s="168" t="s">
        <v>18</v>
      </c>
      <c r="I596" s="171">
        <v>1</v>
      </c>
      <c r="J596" s="171" t="s">
        <v>15</v>
      </c>
      <c r="K596" s="171" t="s">
        <v>76</v>
      </c>
      <c r="L596" s="168" t="s">
        <v>77</v>
      </c>
    </row>
    <row r="597" spans="1:12" x14ac:dyDescent="0.2">
      <c r="A597" s="168" t="s">
        <v>74</v>
      </c>
      <c r="B597" s="168" t="s">
        <v>75</v>
      </c>
      <c r="C597" s="168" t="s">
        <v>11</v>
      </c>
      <c r="D597" s="168" t="s">
        <v>78</v>
      </c>
      <c r="E597" s="169">
        <v>42122</v>
      </c>
      <c r="F597" s="170">
        <v>132.29325</v>
      </c>
      <c r="G597" s="171" t="s">
        <v>16</v>
      </c>
      <c r="H597" s="168" t="s">
        <v>18</v>
      </c>
      <c r="I597" s="171">
        <v>1</v>
      </c>
      <c r="J597" s="171" t="s">
        <v>15</v>
      </c>
      <c r="K597" s="171" t="s">
        <v>76</v>
      </c>
      <c r="L597" s="168" t="s">
        <v>77</v>
      </c>
    </row>
    <row r="598" spans="1:12" x14ac:dyDescent="0.2">
      <c r="A598" s="168" t="s">
        <v>74</v>
      </c>
      <c r="B598" s="168" t="s">
        <v>75</v>
      </c>
      <c r="C598" s="168" t="s">
        <v>11</v>
      </c>
      <c r="D598" s="168" t="s">
        <v>12</v>
      </c>
      <c r="E598" s="169">
        <v>42115</v>
      </c>
      <c r="F598" s="170">
        <v>20.05</v>
      </c>
      <c r="G598" s="171" t="s">
        <v>13</v>
      </c>
      <c r="H598" s="168" t="s">
        <v>14</v>
      </c>
      <c r="I598" s="171">
        <v>1</v>
      </c>
      <c r="J598" s="171" t="s">
        <v>15</v>
      </c>
      <c r="K598" s="171" t="s">
        <v>76</v>
      </c>
      <c r="L598" s="168" t="s">
        <v>77</v>
      </c>
    </row>
    <row r="599" spans="1:12" x14ac:dyDescent="0.2">
      <c r="A599" s="168" t="s">
        <v>74</v>
      </c>
      <c r="B599" s="168" t="s">
        <v>75</v>
      </c>
      <c r="C599" s="168" t="s">
        <v>11</v>
      </c>
      <c r="D599" s="168" t="s">
        <v>12</v>
      </c>
      <c r="E599" s="169">
        <v>42115</v>
      </c>
      <c r="F599" s="170">
        <v>240.290829</v>
      </c>
      <c r="G599" s="171" t="s">
        <v>16</v>
      </c>
      <c r="H599" s="168" t="s">
        <v>14</v>
      </c>
      <c r="I599" s="171">
        <v>1</v>
      </c>
      <c r="J599" s="171" t="s">
        <v>15</v>
      </c>
      <c r="K599" s="171" t="s">
        <v>76</v>
      </c>
      <c r="L599" s="168" t="s">
        <v>77</v>
      </c>
    </row>
    <row r="600" spans="1:12" x14ac:dyDescent="0.2">
      <c r="A600" s="168" t="s">
        <v>74</v>
      </c>
      <c r="B600" s="168" t="s">
        <v>75</v>
      </c>
      <c r="C600" s="168" t="s">
        <v>11</v>
      </c>
      <c r="D600" s="168" t="s">
        <v>78</v>
      </c>
      <c r="E600" s="169">
        <v>42115</v>
      </c>
      <c r="F600" s="170">
        <v>11.6</v>
      </c>
      <c r="G600" s="171" t="s">
        <v>13</v>
      </c>
      <c r="H600" s="168" t="s">
        <v>18</v>
      </c>
      <c r="I600" s="171">
        <v>1</v>
      </c>
      <c r="J600" s="171" t="s">
        <v>15</v>
      </c>
      <c r="K600" s="171" t="s">
        <v>76</v>
      </c>
      <c r="L600" s="168" t="s">
        <v>77</v>
      </c>
    </row>
    <row r="601" spans="1:12" x14ac:dyDescent="0.2">
      <c r="A601" s="168" t="s">
        <v>74</v>
      </c>
      <c r="B601" s="168" t="s">
        <v>75</v>
      </c>
      <c r="C601" s="168" t="s">
        <v>11</v>
      </c>
      <c r="D601" s="168" t="s">
        <v>78</v>
      </c>
      <c r="E601" s="169">
        <v>42115</v>
      </c>
      <c r="F601" s="170">
        <v>139.021128</v>
      </c>
      <c r="G601" s="171" t="s">
        <v>16</v>
      </c>
      <c r="H601" s="168" t="s">
        <v>18</v>
      </c>
      <c r="I601" s="171">
        <v>1</v>
      </c>
      <c r="J601" s="171" t="s">
        <v>15</v>
      </c>
      <c r="K601" s="171" t="s">
        <v>76</v>
      </c>
      <c r="L601" s="168" t="s">
        <v>77</v>
      </c>
    </row>
    <row r="602" spans="1:12" x14ac:dyDescent="0.2">
      <c r="A602" s="168" t="s">
        <v>74</v>
      </c>
      <c r="B602" s="168" t="s">
        <v>75</v>
      </c>
      <c r="C602" s="168" t="s">
        <v>11</v>
      </c>
      <c r="D602" s="168" t="s">
        <v>12</v>
      </c>
      <c r="E602" s="169">
        <v>42108</v>
      </c>
      <c r="F602" s="170">
        <v>23.6</v>
      </c>
      <c r="G602" s="171" t="s">
        <v>13</v>
      </c>
      <c r="H602" s="168" t="s">
        <v>14</v>
      </c>
      <c r="I602" s="171">
        <v>1</v>
      </c>
      <c r="J602" s="171" t="s">
        <v>15</v>
      </c>
      <c r="K602" s="171" t="s">
        <v>76</v>
      </c>
      <c r="L602" s="168" t="s">
        <v>77</v>
      </c>
    </row>
    <row r="603" spans="1:12" x14ac:dyDescent="0.2">
      <c r="A603" s="168" t="s">
        <v>74</v>
      </c>
      <c r="B603" s="168" t="s">
        <v>75</v>
      </c>
      <c r="C603" s="168" t="s">
        <v>11</v>
      </c>
      <c r="D603" s="168" t="s">
        <v>12</v>
      </c>
      <c r="E603" s="169">
        <v>42108</v>
      </c>
      <c r="F603" s="170">
        <v>228.90631200000001</v>
      </c>
      <c r="G603" s="171" t="s">
        <v>16</v>
      </c>
      <c r="H603" s="168" t="s">
        <v>14</v>
      </c>
      <c r="I603" s="171">
        <v>1</v>
      </c>
      <c r="J603" s="171" t="s">
        <v>15</v>
      </c>
      <c r="K603" s="171" t="s">
        <v>76</v>
      </c>
      <c r="L603" s="168" t="s">
        <v>77</v>
      </c>
    </row>
    <row r="604" spans="1:12" x14ac:dyDescent="0.2">
      <c r="A604" s="168" t="s">
        <v>74</v>
      </c>
      <c r="B604" s="168" t="s">
        <v>75</v>
      </c>
      <c r="C604" s="168" t="s">
        <v>11</v>
      </c>
      <c r="D604" s="168" t="s">
        <v>78</v>
      </c>
      <c r="E604" s="169">
        <v>42108</v>
      </c>
      <c r="F604" s="170">
        <v>12.4</v>
      </c>
      <c r="G604" s="171" t="s">
        <v>13</v>
      </c>
      <c r="H604" s="168" t="s">
        <v>18</v>
      </c>
      <c r="I604" s="171">
        <v>1</v>
      </c>
      <c r="J604" s="171" t="s">
        <v>15</v>
      </c>
      <c r="K604" s="171" t="s">
        <v>76</v>
      </c>
      <c r="L604" s="168" t="s">
        <v>77</v>
      </c>
    </row>
    <row r="605" spans="1:12" x14ac:dyDescent="0.2">
      <c r="A605" s="168" t="s">
        <v>74</v>
      </c>
      <c r="B605" s="168" t="s">
        <v>75</v>
      </c>
      <c r="C605" s="168" t="s">
        <v>11</v>
      </c>
      <c r="D605" s="168" t="s">
        <v>78</v>
      </c>
      <c r="E605" s="169">
        <v>42108</v>
      </c>
      <c r="F605" s="170">
        <v>120.272808</v>
      </c>
      <c r="G605" s="171" t="s">
        <v>16</v>
      </c>
      <c r="H605" s="168" t="s">
        <v>18</v>
      </c>
      <c r="I605" s="171">
        <v>1</v>
      </c>
      <c r="J605" s="171" t="s">
        <v>15</v>
      </c>
      <c r="K605" s="171" t="s">
        <v>76</v>
      </c>
      <c r="L605" s="168" t="s">
        <v>77</v>
      </c>
    </row>
    <row r="606" spans="1:12" x14ac:dyDescent="0.2">
      <c r="A606" s="168" t="s">
        <v>74</v>
      </c>
      <c r="B606" s="168" t="s">
        <v>75</v>
      </c>
      <c r="C606" s="168" t="s">
        <v>11</v>
      </c>
      <c r="D606" s="168" t="s">
        <v>12</v>
      </c>
      <c r="E606" s="169">
        <v>42100</v>
      </c>
      <c r="F606" s="170">
        <v>26.4</v>
      </c>
      <c r="G606" s="171" t="s">
        <v>13</v>
      </c>
      <c r="H606" s="168" t="s">
        <v>14</v>
      </c>
      <c r="I606" s="171">
        <v>1</v>
      </c>
      <c r="J606" s="171" t="s">
        <v>15</v>
      </c>
      <c r="K606" s="171" t="s">
        <v>76</v>
      </c>
      <c r="L606" s="168" t="s">
        <v>77</v>
      </c>
    </row>
    <row r="607" spans="1:12" x14ac:dyDescent="0.2">
      <c r="A607" s="168" t="s">
        <v>74</v>
      </c>
      <c r="B607" s="168" t="s">
        <v>75</v>
      </c>
      <c r="C607" s="168" t="s">
        <v>11</v>
      </c>
      <c r="D607" s="168" t="s">
        <v>12</v>
      </c>
      <c r="E607" s="169">
        <v>42100</v>
      </c>
      <c r="F607" s="170">
        <v>220.396176</v>
      </c>
      <c r="G607" s="171" t="s">
        <v>16</v>
      </c>
      <c r="H607" s="168" t="s">
        <v>14</v>
      </c>
      <c r="I607" s="171">
        <v>1</v>
      </c>
      <c r="J607" s="171" t="s">
        <v>15</v>
      </c>
      <c r="K607" s="171" t="s">
        <v>76</v>
      </c>
      <c r="L607" s="168" t="s">
        <v>77</v>
      </c>
    </row>
    <row r="608" spans="1:12" x14ac:dyDescent="0.2">
      <c r="A608" s="168" t="s">
        <v>74</v>
      </c>
      <c r="B608" s="168" t="s">
        <v>75</v>
      </c>
      <c r="C608" s="168" t="s">
        <v>11</v>
      </c>
      <c r="D608" s="168" t="s">
        <v>78</v>
      </c>
      <c r="E608" s="169">
        <v>42100</v>
      </c>
      <c r="F608" s="170">
        <v>12.2</v>
      </c>
      <c r="G608" s="171" t="s">
        <v>13</v>
      </c>
      <c r="H608" s="168" t="s">
        <v>18</v>
      </c>
      <c r="I608" s="171">
        <v>1</v>
      </c>
      <c r="J608" s="171" t="s">
        <v>15</v>
      </c>
      <c r="K608" s="171" t="s">
        <v>76</v>
      </c>
      <c r="L608" s="168" t="s">
        <v>77</v>
      </c>
    </row>
    <row r="609" spans="1:12" x14ac:dyDescent="0.2">
      <c r="A609" s="168" t="s">
        <v>74</v>
      </c>
      <c r="B609" s="168" t="s">
        <v>75</v>
      </c>
      <c r="C609" s="168" t="s">
        <v>11</v>
      </c>
      <c r="D609" s="168" t="s">
        <v>78</v>
      </c>
      <c r="E609" s="169">
        <v>42100</v>
      </c>
      <c r="F609" s="170">
        <v>101.84974800000001</v>
      </c>
      <c r="G609" s="171" t="s">
        <v>16</v>
      </c>
      <c r="H609" s="168" t="s">
        <v>18</v>
      </c>
      <c r="I609" s="171">
        <v>1</v>
      </c>
      <c r="J609" s="171" t="s">
        <v>15</v>
      </c>
      <c r="K609" s="171" t="s">
        <v>76</v>
      </c>
      <c r="L609" s="168" t="s">
        <v>77</v>
      </c>
    </row>
    <row r="610" spans="1:12" x14ac:dyDescent="0.2">
      <c r="A610" s="168" t="s">
        <v>74</v>
      </c>
      <c r="B610" s="168" t="s">
        <v>75</v>
      </c>
      <c r="C610" s="168" t="s">
        <v>11</v>
      </c>
      <c r="D610" s="168" t="s">
        <v>12</v>
      </c>
      <c r="E610" s="169">
        <v>42059</v>
      </c>
      <c r="F610" s="170">
        <v>23.07</v>
      </c>
      <c r="G610" s="171" t="s">
        <v>13</v>
      </c>
      <c r="H610" s="168" t="s">
        <v>14</v>
      </c>
      <c r="I610" s="171">
        <v>1</v>
      </c>
      <c r="J610" s="171" t="s">
        <v>15</v>
      </c>
      <c r="K610" s="171" t="s">
        <v>76</v>
      </c>
      <c r="L610" s="168" t="s">
        <v>77</v>
      </c>
    </row>
    <row r="611" spans="1:12" x14ac:dyDescent="0.2">
      <c r="A611" s="168" t="s">
        <v>74</v>
      </c>
      <c r="B611" s="168" t="s">
        <v>75</v>
      </c>
      <c r="C611" s="168" t="s">
        <v>11</v>
      </c>
      <c r="D611" s="168" t="s">
        <v>12</v>
      </c>
      <c r="E611" s="169">
        <v>42059</v>
      </c>
      <c r="F611" s="170">
        <v>191.2493772</v>
      </c>
      <c r="G611" s="171" t="s">
        <v>16</v>
      </c>
      <c r="H611" s="168" t="s">
        <v>14</v>
      </c>
      <c r="I611" s="171">
        <v>1</v>
      </c>
      <c r="J611" s="171" t="s">
        <v>15</v>
      </c>
      <c r="K611" s="171" t="s">
        <v>76</v>
      </c>
      <c r="L611" s="168" t="s">
        <v>77</v>
      </c>
    </row>
    <row r="612" spans="1:12" x14ac:dyDescent="0.2">
      <c r="A612" s="168" t="s">
        <v>74</v>
      </c>
      <c r="B612" s="168" t="s">
        <v>75</v>
      </c>
      <c r="C612" s="168" t="s">
        <v>11</v>
      </c>
      <c r="D612" s="168" t="s">
        <v>78</v>
      </c>
      <c r="E612" s="169">
        <v>42059</v>
      </c>
      <c r="F612" s="170">
        <v>21.28</v>
      </c>
      <c r="G612" s="171" t="s">
        <v>13</v>
      </c>
      <c r="H612" s="168" t="s">
        <v>18</v>
      </c>
      <c r="I612" s="171">
        <v>1</v>
      </c>
      <c r="J612" s="171" t="s">
        <v>15</v>
      </c>
      <c r="K612" s="171" t="s">
        <v>76</v>
      </c>
      <c r="L612" s="168" t="s">
        <v>77</v>
      </c>
    </row>
    <row r="613" spans="1:12" x14ac:dyDescent="0.2">
      <c r="A613" s="168" t="s">
        <v>74</v>
      </c>
      <c r="B613" s="168" t="s">
        <v>75</v>
      </c>
      <c r="C613" s="168" t="s">
        <v>11</v>
      </c>
      <c r="D613" s="168" t="s">
        <v>78</v>
      </c>
      <c r="E613" s="169">
        <v>42059</v>
      </c>
      <c r="F613" s="170">
        <v>176.41034880000001</v>
      </c>
      <c r="G613" s="171" t="s">
        <v>16</v>
      </c>
      <c r="H613" s="168" t="s">
        <v>18</v>
      </c>
      <c r="I613" s="171">
        <v>1</v>
      </c>
      <c r="J613" s="171" t="s">
        <v>15</v>
      </c>
      <c r="K613" s="171" t="s">
        <v>76</v>
      </c>
      <c r="L613" s="168" t="s">
        <v>77</v>
      </c>
    </row>
    <row r="614" spans="1:12" x14ac:dyDescent="0.2">
      <c r="A614" s="168" t="s">
        <v>74</v>
      </c>
      <c r="B614" s="168" t="s">
        <v>75</v>
      </c>
      <c r="C614" s="168" t="s">
        <v>11</v>
      </c>
      <c r="D614" s="168" t="s">
        <v>12</v>
      </c>
      <c r="E614" s="169">
        <v>42052</v>
      </c>
      <c r="F614" s="170">
        <v>28.47</v>
      </c>
      <c r="G614" s="171" t="s">
        <v>13</v>
      </c>
      <c r="H614" s="168" t="s">
        <v>14</v>
      </c>
      <c r="I614" s="171">
        <v>1</v>
      </c>
      <c r="J614" s="171" t="s">
        <v>15</v>
      </c>
      <c r="K614" s="171" t="s">
        <v>76</v>
      </c>
      <c r="L614" s="168" t="s">
        <v>77</v>
      </c>
    </row>
    <row r="615" spans="1:12" x14ac:dyDescent="0.2">
      <c r="A615" s="168" t="s">
        <v>74</v>
      </c>
      <c r="B615" s="168" t="s">
        <v>75</v>
      </c>
      <c r="C615" s="168" t="s">
        <v>11</v>
      </c>
      <c r="D615" s="168" t="s">
        <v>12</v>
      </c>
      <c r="E615" s="169">
        <v>42052</v>
      </c>
      <c r="F615" s="170">
        <v>233.4033234</v>
      </c>
      <c r="G615" s="171" t="s">
        <v>16</v>
      </c>
      <c r="H615" s="168" t="s">
        <v>14</v>
      </c>
      <c r="I615" s="171">
        <v>1</v>
      </c>
      <c r="J615" s="171" t="s">
        <v>15</v>
      </c>
      <c r="K615" s="171" t="s">
        <v>76</v>
      </c>
      <c r="L615" s="168" t="s">
        <v>77</v>
      </c>
    </row>
    <row r="616" spans="1:12" x14ac:dyDescent="0.2">
      <c r="A616" s="168" t="s">
        <v>74</v>
      </c>
      <c r="B616" s="168" t="s">
        <v>75</v>
      </c>
      <c r="C616" s="168" t="s">
        <v>11</v>
      </c>
      <c r="D616" s="168" t="s">
        <v>78</v>
      </c>
      <c r="E616" s="169">
        <v>42052</v>
      </c>
      <c r="F616" s="170">
        <v>20.38</v>
      </c>
      <c r="G616" s="171" t="s">
        <v>13</v>
      </c>
      <c r="H616" s="168" t="s">
        <v>18</v>
      </c>
      <c r="I616" s="171">
        <v>1</v>
      </c>
      <c r="J616" s="171" t="s">
        <v>15</v>
      </c>
      <c r="K616" s="171" t="s">
        <v>76</v>
      </c>
      <c r="L616" s="168" t="s">
        <v>77</v>
      </c>
    </row>
    <row r="617" spans="1:12" x14ac:dyDescent="0.2">
      <c r="A617" s="168" t="s">
        <v>74</v>
      </c>
      <c r="B617" s="168" t="s">
        <v>75</v>
      </c>
      <c r="C617" s="168" t="s">
        <v>11</v>
      </c>
      <c r="D617" s="168" t="s">
        <v>78</v>
      </c>
      <c r="E617" s="169">
        <v>42052</v>
      </c>
      <c r="F617" s="170">
        <v>167.07972359999999</v>
      </c>
      <c r="G617" s="171" t="s">
        <v>16</v>
      </c>
      <c r="H617" s="168" t="s">
        <v>18</v>
      </c>
      <c r="I617" s="171">
        <v>1</v>
      </c>
      <c r="J617" s="171" t="s">
        <v>15</v>
      </c>
      <c r="K617" s="171" t="s">
        <v>76</v>
      </c>
      <c r="L617" s="168" t="s">
        <v>77</v>
      </c>
    </row>
    <row r="618" spans="1:12" x14ac:dyDescent="0.2">
      <c r="A618" s="168" t="s">
        <v>74</v>
      </c>
      <c r="B618" s="168" t="s">
        <v>75</v>
      </c>
      <c r="C618" s="168" t="s">
        <v>11</v>
      </c>
      <c r="D618" s="168" t="s">
        <v>12</v>
      </c>
      <c r="E618" s="169">
        <v>42045</v>
      </c>
      <c r="F618" s="170">
        <v>30.42</v>
      </c>
      <c r="G618" s="171" t="s">
        <v>13</v>
      </c>
      <c r="H618" s="168" t="s">
        <v>14</v>
      </c>
      <c r="I618" s="171">
        <v>1</v>
      </c>
      <c r="J618" s="171" t="s">
        <v>15</v>
      </c>
      <c r="K618" s="171" t="s">
        <v>76</v>
      </c>
      <c r="L618" s="168" t="s">
        <v>77</v>
      </c>
    </row>
    <row r="619" spans="1:12" x14ac:dyDescent="0.2">
      <c r="A619" s="168" t="s">
        <v>74</v>
      </c>
      <c r="B619" s="168" t="s">
        <v>75</v>
      </c>
      <c r="C619" s="168" t="s">
        <v>11</v>
      </c>
      <c r="D619" s="168" t="s">
        <v>12</v>
      </c>
      <c r="E619" s="169">
        <v>42045</v>
      </c>
      <c r="F619" s="170">
        <v>249.13614960000001</v>
      </c>
      <c r="G619" s="171" t="s">
        <v>16</v>
      </c>
      <c r="H619" s="168" t="s">
        <v>14</v>
      </c>
      <c r="I619" s="171">
        <v>1</v>
      </c>
      <c r="J619" s="171" t="s">
        <v>15</v>
      </c>
      <c r="K619" s="171" t="s">
        <v>76</v>
      </c>
      <c r="L619" s="168" t="s">
        <v>77</v>
      </c>
    </row>
    <row r="620" spans="1:12" x14ac:dyDescent="0.2">
      <c r="A620" s="168" t="s">
        <v>74</v>
      </c>
      <c r="B620" s="168" t="s">
        <v>75</v>
      </c>
      <c r="C620" s="168" t="s">
        <v>11</v>
      </c>
      <c r="D620" s="168" t="s">
        <v>78</v>
      </c>
      <c r="E620" s="169">
        <v>42045</v>
      </c>
      <c r="F620" s="170">
        <v>15.39</v>
      </c>
      <c r="G620" s="171" t="s">
        <v>13</v>
      </c>
      <c r="H620" s="168" t="s">
        <v>18</v>
      </c>
      <c r="I620" s="171">
        <v>1</v>
      </c>
      <c r="J620" s="171" t="s">
        <v>15</v>
      </c>
      <c r="K620" s="171" t="s">
        <v>76</v>
      </c>
      <c r="L620" s="168" t="s">
        <v>77</v>
      </c>
    </row>
    <row r="621" spans="1:12" x14ac:dyDescent="0.2">
      <c r="A621" s="168" t="s">
        <v>74</v>
      </c>
      <c r="B621" s="168" t="s">
        <v>75</v>
      </c>
      <c r="C621" s="168" t="s">
        <v>11</v>
      </c>
      <c r="D621" s="168" t="s">
        <v>78</v>
      </c>
      <c r="E621" s="169">
        <v>42045</v>
      </c>
      <c r="F621" s="170">
        <v>126.0422532</v>
      </c>
      <c r="G621" s="171" t="s">
        <v>16</v>
      </c>
      <c r="H621" s="168" t="s">
        <v>18</v>
      </c>
      <c r="I621" s="171">
        <v>1</v>
      </c>
      <c r="J621" s="171" t="s">
        <v>15</v>
      </c>
      <c r="K621" s="171" t="s">
        <v>76</v>
      </c>
      <c r="L621" s="168" t="s">
        <v>77</v>
      </c>
    </row>
    <row r="622" spans="1:12" x14ac:dyDescent="0.2">
      <c r="A622" s="168" t="s">
        <v>74</v>
      </c>
      <c r="B622" s="168" t="s">
        <v>75</v>
      </c>
      <c r="C622" s="168" t="s">
        <v>11</v>
      </c>
      <c r="D622" s="168" t="s">
        <v>12</v>
      </c>
      <c r="E622" s="169">
        <v>42038</v>
      </c>
      <c r="F622" s="170">
        <v>25.4</v>
      </c>
      <c r="G622" s="171" t="s">
        <v>13</v>
      </c>
      <c r="H622" s="168" t="s">
        <v>14</v>
      </c>
      <c r="I622" s="171">
        <v>1</v>
      </c>
      <c r="J622" s="171" t="s">
        <v>15</v>
      </c>
      <c r="K622" s="171" t="s">
        <v>76</v>
      </c>
      <c r="L622" s="168" t="s">
        <v>77</v>
      </c>
    </row>
    <row r="623" spans="1:12" x14ac:dyDescent="0.2">
      <c r="A623" s="168" t="s">
        <v>74</v>
      </c>
      <c r="B623" s="168" t="s">
        <v>75</v>
      </c>
      <c r="C623" s="168" t="s">
        <v>11</v>
      </c>
      <c r="D623" s="168" t="s">
        <v>12</v>
      </c>
      <c r="E623" s="169">
        <v>42038</v>
      </c>
      <c r="F623" s="170">
        <v>210.56498400000001</v>
      </c>
      <c r="G623" s="171" t="s">
        <v>16</v>
      </c>
      <c r="H623" s="168" t="s">
        <v>14</v>
      </c>
      <c r="I623" s="171">
        <v>1</v>
      </c>
      <c r="J623" s="171" t="s">
        <v>15</v>
      </c>
      <c r="K623" s="171" t="s">
        <v>76</v>
      </c>
      <c r="L623" s="168" t="s">
        <v>77</v>
      </c>
    </row>
    <row r="624" spans="1:12" x14ac:dyDescent="0.2">
      <c r="A624" s="168" t="s">
        <v>74</v>
      </c>
      <c r="B624" s="168" t="s">
        <v>75</v>
      </c>
      <c r="C624" s="168" t="s">
        <v>11</v>
      </c>
      <c r="D624" s="168" t="s">
        <v>78</v>
      </c>
      <c r="E624" s="169">
        <v>42038</v>
      </c>
      <c r="F624" s="170">
        <v>11.55</v>
      </c>
      <c r="G624" s="171" t="s">
        <v>13</v>
      </c>
      <c r="H624" s="168" t="s">
        <v>18</v>
      </c>
      <c r="I624" s="171">
        <v>1</v>
      </c>
      <c r="J624" s="171" t="s">
        <v>15</v>
      </c>
      <c r="K624" s="171" t="s">
        <v>76</v>
      </c>
      <c r="L624" s="168" t="s">
        <v>77</v>
      </c>
    </row>
    <row r="625" spans="1:12" x14ac:dyDescent="0.2">
      <c r="A625" s="168" t="s">
        <v>74</v>
      </c>
      <c r="B625" s="168" t="s">
        <v>75</v>
      </c>
      <c r="C625" s="168" t="s">
        <v>11</v>
      </c>
      <c r="D625" s="168" t="s">
        <v>78</v>
      </c>
      <c r="E625" s="169">
        <v>42038</v>
      </c>
      <c r="F625" s="170">
        <v>95.749037999999999</v>
      </c>
      <c r="G625" s="171" t="s">
        <v>16</v>
      </c>
      <c r="H625" s="168" t="s">
        <v>18</v>
      </c>
      <c r="I625" s="171">
        <v>1</v>
      </c>
      <c r="J625" s="171" t="s">
        <v>15</v>
      </c>
      <c r="K625" s="171" t="s">
        <v>76</v>
      </c>
      <c r="L625" s="168" t="s">
        <v>77</v>
      </c>
    </row>
    <row r="626" spans="1:12" x14ac:dyDescent="0.2">
      <c r="A626" s="168" t="s">
        <v>74</v>
      </c>
      <c r="B626" s="168" t="s">
        <v>75</v>
      </c>
      <c r="C626" s="168" t="s">
        <v>11</v>
      </c>
      <c r="D626" s="168" t="s">
        <v>12</v>
      </c>
      <c r="E626" s="169">
        <v>42031</v>
      </c>
      <c r="F626" s="170">
        <v>27.94</v>
      </c>
      <c r="G626" s="171" t="s">
        <v>13</v>
      </c>
      <c r="H626" s="168" t="s">
        <v>14</v>
      </c>
      <c r="I626" s="171">
        <v>1</v>
      </c>
      <c r="J626" s="171" t="s">
        <v>15</v>
      </c>
      <c r="K626" s="171" t="s">
        <v>76</v>
      </c>
      <c r="L626" s="168" t="s">
        <v>77</v>
      </c>
    </row>
    <row r="627" spans="1:12" x14ac:dyDescent="0.2">
      <c r="A627" s="168" t="s">
        <v>74</v>
      </c>
      <c r="B627" s="168" t="s">
        <v>75</v>
      </c>
      <c r="C627" s="168" t="s">
        <v>11</v>
      </c>
      <c r="D627" s="168" t="s">
        <v>12</v>
      </c>
      <c r="E627" s="169">
        <v>42031</v>
      </c>
      <c r="F627" s="170">
        <v>235.5828156</v>
      </c>
      <c r="G627" s="171" t="s">
        <v>16</v>
      </c>
      <c r="H627" s="168" t="s">
        <v>14</v>
      </c>
      <c r="I627" s="171">
        <v>1</v>
      </c>
      <c r="J627" s="171" t="s">
        <v>15</v>
      </c>
      <c r="K627" s="171" t="s">
        <v>76</v>
      </c>
      <c r="L627" s="168" t="s">
        <v>77</v>
      </c>
    </row>
    <row r="628" spans="1:12" x14ac:dyDescent="0.2">
      <c r="A628" s="168" t="s">
        <v>74</v>
      </c>
      <c r="B628" s="168" t="s">
        <v>75</v>
      </c>
      <c r="C628" s="168" t="s">
        <v>11</v>
      </c>
      <c r="D628" s="168" t="s">
        <v>78</v>
      </c>
      <c r="E628" s="169">
        <v>42031</v>
      </c>
      <c r="F628" s="170">
        <v>20.3</v>
      </c>
      <c r="G628" s="171" t="s">
        <v>13</v>
      </c>
      <c r="H628" s="168" t="s">
        <v>18</v>
      </c>
      <c r="I628" s="171">
        <v>1</v>
      </c>
      <c r="J628" s="171" t="s">
        <v>15</v>
      </c>
      <c r="K628" s="171" t="s">
        <v>76</v>
      </c>
      <c r="L628" s="168" t="s">
        <v>77</v>
      </c>
    </row>
    <row r="629" spans="1:12" x14ac:dyDescent="0.2">
      <c r="A629" s="168" t="s">
        <v>74</v>
      </c>
      <c r="B629" s="168" t="s">
        <v>75</v>
      </c>
      <c r="C629" s="168" t="s">
        <v>11</v>
      </c>
      <c r="D629" s="168" t="s">
        <v>78</v>
      </c>
      <c r="E629" s="169">
        <v>42031</v>
      </c>
      <c r="F629" s="170">
        <v>171.164322</v>
      </c>
      <c r="G629" s="171" t="s">
        <v>16</v>
      </c>
      <c r="H629" s="168" t="s">
        <v>18</v>
      </c>
      <c r="I629" s="171">
        <v>1</v>
      </c>
      <c r="J629" s="171" t="s">
        <v>15</v>
      </c>
      <c r="K629" s="171" t="s">
        <v>76</v>
      </c>
      <c r="L629" s="168" t="s">
        <v>77</v>
      </c>
    </row>
    <row r="630" spans="1:12" x14ac:dyDescent="0.2">
      <c r="A630" s="168" t="s">
        <v>74</v>
      </c>
      <c r="B630" s="168" t="s">
        <v>75</v>
      </c>
      <c r="C630" s="168" t="s">
        <v>11</v>
      </c>
      <c r="D630" s="168" t="s">
        <v>12</v>
      </c>
      <c r="E630" s="169">
        <v>42024</v>
      </c>
      <c r="F630" s="170">
        <v>26.19</v>
      </c>
      <c r="G630" s="171" t="s">
        <v>13</v>
      </c>
      <c r="H630" s="168" t="s">
        <v>14</v>
      </c>
      <c r="I630" s="171">
        <v>1</v>
      </c>
      <c r="J630" s="171" t="s">
        <v>15</v>
      </c>
      <c r="K630" s="171" t="s">
        <v>76</v>
      </c>
      <c r="L630" s="168" t="s">
        <v>77</v>
      </c>
    </row>
    <row r="631" spans="1:12" x14ac:dyDescent="0.2">
      <c r="A631" s="168" t="s">
        <v>74</v>
      </c>
      <c r="B631" s="168" t="s">
        <v>75</v>
      </c>
      <c r="C631" s="168" t="s">
        <v>11</v>
      </c>
      <c r="D631" s="168" t="s">
        <v>12</v>
      </c>
      <c r="E631" s="169">
        <v>42024</v>
      </c>
      <c r="F631" s="170">
        <v>218.4246</v>
      </c>
      <c r="G631" s="171" t="s">
        <v>16</v>
      </c>
      <c r="H631" s="168" t="s">
        <v>14</v>
      </c>
      <c r="I631" s="171">
        <v>1</v>
      </c>
      <c r="J631" s="171" t="s">
        <v>15</v>
      </c>
      <c r="K631" s="171" t="s">
        <v>76</v>
      </c>
      <c r="L631" s="168" t="s">
        <v>77</v>
      </c>
    </row>
    <row r="632" spans="1:12" x14ac:dyDescent="0.2">
      <c r="A632" s="168" t="s">
        <v>74</v>
      </c>
      <c r="B632" s="168" t="s">
        <v>75</v>
      </c>
      <c r="C632" s="168" t="s">
        <v>11</v>
      </c>
      <c r="D632" s="168" t="s">
        <v>78</v>
      </c>
      <c r="E632" s="169">
        <v>42024</v>
      </c>
      <c r="F632" s="170">
        <v>17.62</v>
      </c>
      <c r="G632" s="171" t="s">
        <v>13</v>
      </c>
      <c r="H632" s="168" t="s">
        <v>18</v>
      </c>
      <c r="I632" s="171">
        <v>1</v>
      </c>
      <c r="J632" s="171" t="s">
        <v>15</v>
      </c>
      <c r="K632" s="171" t="s">
        <v>76</v>
      </c>
      <c r="L632" s="168" t="s">
        <v>77</v>
      </c>
    </row>
    <row r="633" spans="1:12" x14ac:dyDescent="0.2">
      <c r="A633" s="168" t="s">
        <v>74</v>
      </c>
      <c r="B633" s="168" t="s">
        <v>75</v>
      </c>
      <c r="C633" s="168" t="s">
        <v>11</v>
      </c>
      <c r="D633" s="168" t="s">
        <v>78</v>
      </c>
      <c r="E633" s="169">
        <v>42024</v>
      </c>
      <c r="F633" s="170">
        <v>146.95079999999999</v>
      </c>
      <c r="G633" s="171" t="s">
        <v>16</v>
      </c>
      <c r="H633" s="168" t="s">
        <v>18</v>
      </c>
      <c r="I633" s="171">
        <v>1</v>
      </c>
      <c r="J633" s="171" t="s">
        <v>15</v>
      </c>
      <c r="K633" s="171" t="s">
        <v>76</v>
      </c>
      <c r="L633" s="168" t="s">
        <v>77</v>
      </c>
    </row>
    <row r="634" spans="1:12" x14ac:dyDescent="0.2">
      <c r="A634" s="168" t="s">
        <v>74</v>
      </c>
      <c r="B634" s="168" t="s">
        <v>75</v>
      </c>
      <c r="C634" s="168" t="s">
        <v>11</v>
      </c>
      <c r="D634" s="168" t="s">
        <v>12</v>
      </c>
      <c r="E634" s="169">
        <v>42017</v>
      </c>
      <c r="F634" s="170">
        <v>40.5</v>
      </c>
      <c r="G634" s="171" t="s">
        <v>13</v>
      </c>
      <c r="H634" s="168" t="s">
        <v>14</v>
      </c>
      <c r="I634" s="171">
        <v>1</v>
      </c>
      <c r="J634" s="171" t="s">
        <v>15</v>
      </c>
      <c r="K634" s="171" t="s">
        <v>76</v>
      </c>
      <c r="L634" s="168" t="s">
        <v>77</v>
      </c>
    </row>
    <row r="635" spans="1:12" x14ac:dyDescent="0.2">
      <c r="A635" s="168" t="s">
        <v>74</v>
      </c>
      <c r="B635" s="168" t="s">
        <v>75</v>
      </c>
      <c r="C635" s="168" t="s">
        <v>11</v>
      </c>
      <c r="D635" s="168" t="s">
        <v>12</v>
      </c>
      <c r="E635" s="169">
        <v>42017</v>
      </c>
      <c r="F635" s="170">
        <v>339.12108000000001</v>
      </c>
      <c r="G635" s="171" t="s">
        <v>16</v>
      </c>
      <c r="H635" s="168" t="s">
        <v>14</v>
      </c>
      <c r="I635" s="171">
        <v>1</v>
      </c>
      <c r="J635" s="171" t="s">
        <v>15</v>
      </c>
      <c r="K635" s="171" t="s">
        <v>76</v>
      </c>
      <c r="L635" s="168" t="s">
        <v>77</v>
      </c>
    </row>
    <row r="636" spans="1:12" x14ac:dyDescent="0.2">
      <c r="A636" s="168" t="s">
        <v>74</v>
      </c>
      <c r="B636" s="168" t="s">
        <v>75</v>
      </c>
      <c r="C636" s="168" t="s">
        <v>11</v>
      </c>
      <c r="D636" s="168" t="s">
        <v>78</v>
      </c>
      <c r="E636" s="169">
        <v>42017</v>
      </c>
      <c r="F636" s="170">
        <v>17.66</v>
      </c>
      <c r="G636" s="171" t="s">
        <v>13</v>
      </c>
      <c r="H636" s="168" t="s">
        <v>18</v>
      </c>
      <c r="I636" s="171">
        <v>1</v>
      </c>
      <c r="J636" s="171" t="s">
        <v>15</v>
      </c>
      <c r="K636" s="171" t="s">
        <v>76</v>
      </c>
      <c r="L636" s="168" t="s">
        <v>77</v>
      </c>
    </row>
    <row r="637" spans="1:12" x14ac:dyDescent="0.2">
      <c r="A637" s="168" t="s">
        <v>74</v>
      </c>
      <c r="B637" s="168" t="s">
        <v>75</v>
      </c>
      <c r="C637" s="168" t="s">
        <v>11</v>
      </c>
      <c r="D637" s="168" t="s">
        <v>78</v>
      </c>
      <c r="E637" s="169">
        <v>42017</v>
      </c>
      <c r="F637" s="170">
        <v>147.87353759999999</v>
      </c>
      <c r="G637" s="171" t="s">
        <v>16</v>
      </c>
      <c r="H637" s="168" t="s">
        <v>18</v>
      </c>
      <c r="I637" s="171">
        <v>1</v>
      </c>
      <c r="J637" s="171" t="s">
        <v>15</v>
      </c>
      <c r="K637" s="171" t="s">
        <v>76</v>
      </c>
      <c r="L637" s="168" t="s">
        <v>77</v>
      </c>
    </row>
    <row r="638" spans="1:12" x14ac:dyDescent="0.2">
      <c r="A638" s="168" t="s">
        <v>74</v>
      </c>
      <c r="B638" s="168" t="s">
        <v>75</v>
      </c>
      <c r="C638" s="168" t="s">
        <v>11</v>
      </c>
      <c r="D638" s="168" t="s">
        <v>12</v>
      </c>
      <c r="E638" s="169">
        <v>42010</v>
      </c>
      <c r="F638" s="170">
        <v>28.56</v>
      </c>
      <c r="G638" s="171" t="s">
        <v>13</v>
      </c>
      <c r="H638" s="168" t="s">
        <v>14</v>
      </c>
      <c r="I638" s="171">
        <v>1</v>
      </c>
      <c r="J638" s="171" t="s">
        <v>15</v>
      </c>
      <c r="K638" s="171" t="s">
        <v>76</v>
      </c>
      <c r="L638" s="168" t="s">
        <v>77</v>
      </c>
    </row>
    <row r="639" spans="1:12" x14ac:dyDescent="0.2">
      <c r="A639" s="168" t="s">
        <v>74</v>
      </c>
      <c r="B639" s="168" t="s">
        <v>75</v>
      </c>
      <c r="C639" s="168" t="s">
        <v>11</v>
      </c>
      <c r="D639" s="168" t="s">
        <v>12</v>
      </c>
      <c r="E639" s="169">
        <v>42010</v>
      </c>
      <c r="F639" s="170">
        <v>240.09592319999999</v>
      </c>
      <c r="G639" s="171" t="s">
        <v>16</v>
      </c>
      <c r="H639" s="168" t="s">
        <v>14</v>
      </c>
      <c r="I639" s="171">
        <v>1</v>
      </c>
      <c r="J639" s="171" t="s">
        <v>15</v>
      </c>
      <c r="K639" s="171" t="s">
        <v>76</v>
      </c>
      <c r="L639" s="168" t="s">
        <v>77</v>
      </c>
    </row>
    <row r="640" spans="1:12" x14ac:dyDescent="0.2">
      <c r="A640" s="168" t="s">
        <v>74</v>
      </c>
      <c r="B640" s="168" t="s">
        <v>75</v>
      </c>
      <c r="C640" s="168" t="s">
        <v>11</v>
      </c>
      <c r="D640" s="168" t="s">
        <v>78</v>
      </c>
      <c r="E640" s="169">
        <v>42010</v>
      </c>
      <c r="F640" s="170">
        <v>20.81</v>
      </c>
      <c r="G640" s="171" t="s">
        <v>13</v>
      </c>
      <c r="H640" s="168" t="s">
        <v>18</v>
      </c>
      <c r="I640" s="171">
        <v>1</v>
      </c>
      <c r="J640" s="171" t="s">
        <v>15</v>
      </c>
      <c r="K640" s="171" t="s">
        <v>76</v>
      </c>
      <c r="L640" s="168" t="s">
        <v>77</v>
      </c>
    </row>
    <row r="641" spans="1:12" x14ac:dyDescent="0.2">
      <c r="A641" s="168" t="s">
        <v>74</v>
      </c>
      <c r="B641" s="168" t="s">
        <v>75</v>
      </c>
      <c r="C641" s="168" t="s">
        <v>11</v>
      </c>
      <c r="D641" s="168" t="s">
        <v>78</v>
      </c>
      <c r="E641" s="169">
        <v>42010</v>
      </c>
      <c r="F641" s="170">
        <v>174.9438432</v>
      </c>
      <c r="G641" s="171" t="s">
        <v>16</v>
      </c>
      <c r="H641" s="168" t="s">
        <v>18</v>
      </c>
      <c r="I641" s="171">
        <v>1</v>
      </c>
      <c r="J641" s="171" t="s">
        <v>15</v>
      </c>
      <c r="K641" s="171" t="s">
        <v>76</v>
      </c>
      <c r="L641" s="168" t="s">
        <v>77</v>
      </c>
    </row>
    <row r="642" spans="1:12" x14ac:dyDescent="0.2">
      <c r="A642" s="168" t="s">
        <v>74</v>
      </c>
      <c r="B642" s="168" t="s">
        <v>75</v>
      </c>
      <c r="C642" s="168" t="s">
        <v>11</v>
      </c>
      <c r="D642" s="168" t="s">
        <v>12</v>
      </c>
      <c r="E642" s="169">
        <v>42002</v>
      </c>
      <c r="F642" s="170">
        <v>29.1</v>
      </c>
      <c r="G642" s="171" t="s">
        <v>13</v>
      </c>
      <c r="H642" s="168" t="s">
        <v>14</v>
      </c>
      <c r="I642" s="171">
        <v>1</v>
      </c>
      <c r="J642" s="171" t="s">
        <v>15</v>
      </c>
      <c r="K642" s="171" t="s">
        <v>76</v>
      </c>
      <c r="L642" s="168" t="s">
        <v>77</v>
      </c>
    </row>
    <row r="643" spans="1:12" x14ac:dyDescent="0.2">
      <c r="A643" s="168" t="s">
        <v>74</v>
      </c>
      <c r="B643" s="168" t="s">
        <v>75</v>
      </c>
      <c r="C643" s="168" t="s">
        <v>11</v>
      </c>
      <c r="D643" s="168" t="s">
        <v>12</v>
      </c>
      <c r="E643" s="169">
        <v>42002</v>
      </c>
      <c r="F643" s="170">
        <v>246.33440999999999</v>
      </c>
      <c r="G643" s="171" t="s">
        <v>16</v>
      </c>
      <c r="H643" s="168" t="s">
        <v>14</v>
      </c>
      <c r="I643" s="171">
        <v>1</v>
      </c>
      <c r="J643" s="171" t="s">
        <v>15</v>
      </c>
      <c r="K643" s="171" t="s">
        <v>76</v>
      </c>
      <c r="L643" s="168" t="s">
        <v>77</v>
      </c>
    </row>
    <row r="644" spans="1:12" x14ac:dyDescent="0.2">
      <c r="A644" s="168" t="s">
        <v>74</v>
      </c>
      <c r="B644" s="168" t="s">
        <v>75</v>
      </c>
      <c r="C644" s="168" t="s">
        <v>11</v>
      </c>
      <c r="D644" s="168" t="s">
        <v>78</v>
      </c>
      <c r="E644" s="169">
        <v>42002</v>
      </c>
      <c r="F644" s="170">
        <v>19.239999999999998</v>
      </c>
      <c r="G644" s="171" t="s">
        <v>13</v>
      </c>
      <c r="H644" s="168" t="s">
        <v>18</v>
      </c>
      <c r="I644" s="171">
        <v>1</v>
      </c>
      <c r="J644" s="171" t="s">
        <v>15</v>
      </c>
      <c r="K644" s="171" t="s">
        <v>76</v>
      </c>
      <c r="L644" s="168" t="s">
        <v>77</v>
      </c>
    </row>
    <row r="645" spans="1:12" x14ac:dyDescent="0.2">
      <c r="A645" s="168" t="s">
        <v>74</v>
      </c>
      <c r="B645" s="168" t="s">
        <v>75</v>
      </c>
      <c r="C645" s="168" t="s">
        <v>11</v>
      </c>
      <c r="D645" s="168" t="s">
        <v>78</v>
      </c>
      <c r="E645" s="169">
        <v>42002</v>
      </c>
      <c r="F645" s="170">
        <v>162.86852400000001</v>
      </c>
      <c r="G645" s="171" t="s">
        <v>16</v>
      </c>
      <c r="H645" s="168" t="s">
        <v>18</v>
      </c>
      <c r="I645" s="171">
        <v>1</v>
      </c>
      <c r="J645" s="171" t="s">
        <v>15</v>
      </c>
      <c r="K645" s="171" t="s">
        <v>76</v>
      </c>
      <c r="L645" s="168" t="s">
        <v>77</v>
      </c>
    </row>
    <row r="646" spans="1:12" x14ac:dyDescent="0.2">
      <c r="A646" s="168" t="s">
        <v>74</v>
      </c>
      <c r="B646" s="168" t="s">
        <v>75</v>
      </c>
      <c r="C646" s="168" t="s">
        <v>11</v>
      </c>
      <c r="D646" s="168" t="s">
        <v>12</v>
      </c>
      <c r="E646" s="169">
        <v>41994</v>
      </c>
      <c r="F646" s="170">
        <v>33.020000000000003</v>
      </c>
      <c r="G646" s="171" t="s">
        <v>13</v>
      </c>
      <c r="H646" s="168" t="s">
        <v>14</v>
      </c>
      <c r="I646" s="171">
        <v>1</v>
      </c>
      <c r="J646" s="171" t="s">
        <v>15</v>
      </c>
      <c r="K646" s="171" t="s">
        <v>76</v>
      </c>
      <c r="L646" s="168" t="s">
        <v>77</v>
      </c>
    </row>
    <row r="647" spans="1:12" x14ac:dyDescent="0.2">
      <c r="A647" s="168" t="s">
        <v>74</v>
      </c>
      <c r="B647" s="168" t="s">
        <v>75</v>
      </c>
      <c r="C647" s="168" t="s">
        <v>11</v>
      </c>
      <c r="D647" s="168" t="s">
        <v>12</v>
      </c>
      <c r="E647" s="169">
        <v>41994</v>
      </c>
      <c r="F647" s="170">
        <v>245.6450256</v>
      </c>
      <c r="G647" s="171" t="s">
        <v>16</v>
      </c>
      <c r="H647" s="168" t="s">
        <v>14</v>
      </c>
      <c r="I647" s="171">
        <v>1</v>
      </c>
      <c r="J647" s="171" t="s">
        <v>15</v>
      </c>
      <c r="K647" s="171" t="s">
        <v>76</v>
      </c>
      <c r="L647" s="168" t="s">
        <v>77</v>
      </c>
    </row>
    <row r="648" spans="1:12" x14ac:dyDescent="0.2">
      <c r="A648" s="168" t="s">
        <v>74</v>
      </c>
      <c r="B648" s="168" t="s">
        <v>75</v>
      </c>
      <c r="C648" s="168" t="s">
        <v>11</v>
      </c>
      <c r="D648" s="168" t="s">
        <v>78</v>
      </c>
      <c r="E648" s="169">
        <v>41994</v>
      </c>
      <c r="F648" s="170">
        <v>20.32</v>
      </c>
      <c r="G648" s="171" t="s">
        <v>13</v>
      </c>
      <c r="H648" s="168" t="s">
        <v>18</v>
      </c>
      <c r="I648" s="171">
        <v>1</v>
      </c>
      <c r="J648" s="171" t="s">
        <v>15</v>
      </c>
      <c r="K648" s="171" t="s">
        <v>76</v>
      </c>
      <c r="L648" s="168" t="s">
        <v>77</v>
      </c>
    </row>
    <row r="649" spans="1:12" x14ac:dyDescent="0.2">
      <c r="A649" s="168" t="s">
        <v>74</v>
      </c>
      <c r="B649" s="168" t="s">
        <v>75</v>
      </c>
      <c r="C649" s="168" t="s">
        <v>11</v>
      </c>
      <c r="D649" s="168" t="s">
        <v>78</v>
      </c>
      <c r="E649" s="169">
        <v>41994</v>
      </c>
      <c r="F649" s="170">
        <v>151.16616959999999</v>
      </c>
      <c r="G649" s="171" t="s">
        <v>16</v>
      </c>
      <c r="H649" s="168" t="s">
        <v>18</v>
      </c>
      <c r="I649" s="171">
        <v>1</v>
      </c>
      <c r="J649" s="171" t="s">
        <v>15</v>
      </c>
      <c r="K649" s="171" t="s">
        <v>76</v>
      </c>
      <c r="L649" s="168" t="s">
        <v>77</v>
      </c>
    </row>
    <row r="650" spans="1:12" x14ac:dyDescent="0.2">
      <c r="A650" s="168" t="s">
        <v>74</v>
      </c>
      <c r="B650" s="168" t="s">
        <v>75</v>
      </c>
      <c r="C650" s="168" t="s">
        <v>11</v>
      </c>
      <c r="D650" s="168" t="s">
        <v>12</v>
      </c>
      <c r="E650" s="169">
        <v>41989</v>
      </c>
      <c r="F650" s="170">
        <v>26.25</v>
      </c>
      <c r="G650" s="171" t="s">
        <v>13</v>
      </c>
      <c r="H650" s="168" t="s">
        <v>14</v>
      </c>
      <c r="I650" s="171">
        <v>1</v>
      </c>
      <c r="J650" s="171" t="s">
        <v>15</v>
      </c>
      <c r="K650" s="171" t="s">
        <v>76</v>
      </c>
      <c r="L650" s="168" t="s">
        <v>77</v>
      </c>
    </row>
    <row r="651" spans="1:12" x14ac:dyDescent="0.2">
      <c r="A651" s="168" t="s">
        <v>74</v>
      </c>
      <c r="B651" s="168" t="s">
        <v>75</v>
      </c>
      <c r="C651" s="168" t="s">
        <v>11</v>
      </c>
      <c r="D651" s="168" t="s">
        <v>12</v>
      </c>
      <c r="E651" s="169">
        <v>41989</v>
      </c>
      <c r="F651" s="170">
        <v>228.55770000000001</v>
      </c>
      <c r="G651" s="171" t="s">
        <v>16</v>
      </c>
      <c r="H651" s="168" t="s">
        <v>14</v>
      </c>
      <c r="I651" s="171">
        <v>1</v>
      </c>
      <c r="J651" s="171" t="s">
        <v>15</v>
      </c>
      <c r="K651" s="171" t="s">
        <v>76</v>
      </c>
      <c r="L651" s="168" t="s">
        <v>77</v>
      </c>
    </row>
    <row r="652" spans="1:12" x14ac:dyDescent="0.2">
      <c r="A652" s="168" t="s">
        <v>74</v>
      </c>
      <c r="B652" s="168" t="s">
        <v>75</v>
      </c>
      <c r="C652" s="168" t="s">
        <v>11</v>
      </c>
      <c r="D652" s="168" t="s">
        <v>78</v>
      </c>
      <c r="E652" s="169">
        <v>41989</v>
      </c>
      <c r="F652" s="170">
        <v>21.06</v>
      </c>
      <c r="G652" s="171" t="s">
        <v>13</v>
      </c>
      <c r="H652" s="168" t="s">
        <v>18</v>
      </c>
      <c r="I652" s="171">
        <v>1</v>
      </c>
      <c r="J652" s="171" t="s">
        <v>15</v>
      </c>
      <c r="K652" s="171" t="s">
        <v>76</v>
      </c>
      <c r="L652" s="168" t="s">
        <v>77</v>
      </c>
    </row>
    <row r="653" spans="1:12" x14ac:dyDescent="0.2">
      <c r="A653" s="168" t="s">
        <v>74</v>
      </c>
      <c r="B653" s="168" t="s">
        <v>75</v>
      </c>
      <c r="C653" s="168" t="s">
        <v>11</v>
      </c>
      <c r="D653" s="168" t="s">
        <v>78</v>
      </c>
      <c r="E653" s="169">
        <v>41989</v>
      </c>
      <c r="F653" s="170">
        <v>183.36857760000001</v>
      </c>
      <c r="G653" s="171" t="s">
        <v>16</v>
      </c>
      <c r="H653" s="168" t="s">
        <v>18</v>
      </c>
      <c r="I653" s="171">
        <v>1</v>
      </c>
      <c r="J653" s="171" t="s">
        <v>15</v>
      </c>
      <c r="K653" s="171" t="s">
        <v>76</v>
      </c>
      <c r="L653" s="168" t="s">
        <v>77</v>
      </c>
    </row>
    <row r="654" spans="1:12" x14ac:dyDescent="0.2">
      <c r="A654" s="168" t="s">
        <v>74</v>
      </c>
      <c r="B654" s="168" t="s">
        <v>75</v>
      </c>
      <c r="C654" s="168" t="s">
        <v>11</v>
      </c>
      <c r="D654" s="168" t="s">
        <v>12</v>
      </c>
      <c r="E654" s="169">
        <v>41982</v>
      </c>
      <c r="F654" s="170">
        <v>27.63</v>
      </c>
      <c r="G654" s="171" t="s">
        <v>13</v>
      </c>
      <c r="H654" s="168" t="s">
        <v>14</v>
      </c>
      <c r="I654" s="171">
        <v>1</v>
      </c>
      <c r="J654" s="171" t="s">
        <v>15</v>
      </c>
      <c r="K654" s="171" t="s">
        <v>76</v>
      </c>
      <c r="L654" s="168" t="s">
        <v>77</v>
      </c>
    </row>
    <row r="655" spans="1:12" x14ac:dyDescent="0.2">
      <c r="A655" s="168" t="s">
        <v>74</v>
      </c>
      <c r="B655" s="168" t="s">
        <v>75</v>
      </c>
      <c r="C655" s="168" t="s">
        <v>11</v>
      </c>
      <c r="D655" s="168" t="s">
        <v>12</v>
      </c>
      <c r="E655" s="169">
        <v>41982</v>
      </c>
      <c r="F655" s="170">
        <v>227.6689896</v>
      </c>
      <c r="G655" s="171" t="s">
        <v>16</v>
      </c>
      <c r="H655" s="168" t="s">
        <v>14</v>
      </c>
      <c r="I655" s="171">
        <v>1</v>
      </c>
      <c r="J655" s="171" t="s">
        <v>15</v>
      </c>
      <c r="K655" s="171" t="s">
        <v>76</v>
      </c>
      <c r="L655" s="168" t="s">
        <v>77</v>
      </c>
    </row>
    <row r="656" spans="1:12" x14ac:dyDescent="0.2">
      <c r="A656" s="168" t="s">
        <v>74</v>
      </c>
      <c r="B656" s="168" t="s">
        <v>75</v>
      </c>
      <c r="C656" s="168" t="s">
        <v>11</v>
      </c>
      <c r="D656" s="168" t="s">
        <v>78</v>
      </c>
      <c r="E656" s="169">
        <v>41982</v>
      </c>
      <c r="F656" s="170">
        <v>19.350000000000001</v>
      </c>
      <c r="G656" s="171" t="s">
        <v>13</v>
      </c>
      <c r="H656" s="168" t="s">
        <v>18</v>
      </c>
      <c r="I656" s="171">
        <v>1</v>
      </c>
      <c r="J656" s="171" t="s">
        <v>15</v>
      </c>
      <c r="K656" s="171" t="s">
        <v>76</v>
      </c>
      <c r="L656" s="168" t="s">
        <v>77</v>
      </c>
    </row>
    <row r="657" spans="1:12" x14ac:dyDescent="0.2">
      <c r="A657" s="168" t="s">
        <v>74</v>
      </c>
      <c r="B657" s="168" t="s">
        <v>75</v>
      </c>
      <c r="C657" s="168" t="s">
        <v>11</v>
      </c>
      <c r="D657" s="168" t="s">
        <v>78</v>
      </c>
      <c r="E657" s="169">
        <v>41982</v>
      </c>
      <c r="F657" s="170">
        <v>159.442452</v>
      </c>
      <c r="G657" s="171" t="s">
        <v>16</v>
      </c>
      <c r="H657" s="168" t="s">
        <v>18</v>
      </c>
      <c r="I657" s="171">
        <v>1</v>
      </c>
      <c r="J657" s="171" t="s">
        <v>15</v>
      </c>
      <c r="K657" s="171" t="s">
        <v>76</v>
      </c>
      <c r="L657" s="168" t="s">
        <v>77</v>
      </c>
    </row>
    <row r="658" spans="1:12" x14ac:dyDescent="0.2">
      <c r="A658" s="168" t="s">
        <v>74</v>
      </c>
      <c r="B658" s="168" t="s">
        <v>75</v>
      </c>
      <c r="C658" s="168" t="s">
        <v>11</v>
      </c>
      <c r="D658" s="168" t="s">
        <v>12</v>
      </c>
      <c r="E658" s="169">
        <v>41975</v>
      </c>
      <c r="F658" s="170">
        <v>28.75</v>
      </c>
      <c r="G658" s="171" t="s">
        <v>13</v>
      </c>
      <c r="H658" s="168" t="s">
        <v>14</v>
      </c>
      <c r="I658" s="171">
        <v>1</v>
      </c>
      <c r="J658" s="171" t="s">
        <v>15</v>
      </c>
      <c r="K658" s="171" t="s">
        <v>76</v>
      </c>
      <c r="L658" s="168" t="s">
        <v>77</v>
      </c>
    </row>
    <row r="659" spans="1:12" x14ac:dyDescent="0.2">
      <c r="A659" s="168" t="s">
        <v>74</v>
      </c>
      <c r="B659" s="168" t="s">
        <v>75</v>
      </c>
      <c r="C659" s="168" t="s">
        <v>11</v>
      </c>
      <c r="D659" s="168" t="s">
        <v>12</v>
      </c>
      <c r="E659" s="169">
        <v>41975</v>
      </c>
      <c r="F659" s="170">
        <v>235.93860000000001</v>
      </c>
      <c r="G659" s="171" t="s">
        <v>16</v>
      </c>
      <c r="H659" s="168" t="s">
        <v>14</v>
      </c>
      <c r="I659" s="171">
        <v>1</v>
      </c>
      <c r="J659" s="171" t="s">
        <v>15</v>
      </c>
      <c r="K659" s="171" t="s">
        <v>76</v>
      </c>
      <c r="L659" s="168" t="s">
        <v>77</v>
      </c>
    </row>
    <row r="660" spans="1:12" x14ac:dyDescent="0.2">
      <c r="A660" s="168" t="s">
        <v>74</v>
      </c>
      <c r="B660" s="168" t="s">
        <v>75</v>
      </c>
      <c r="C660" s="168" t="s">
        <v>11</v>
      </c>
      <c r="D660" s="168" t="s">
        <v>78</v>
      </c>
      <c r="E660" s="169">
        <v>41975</v>
      </c>
      <c r="F660" s="170">
        <v>11.81</v>
      </c>
      <c r="G660" s="171" t="s">
        <v>13</v>
      </c>
      <c r="H660" s="168" t="s">
        <v>18</v>
      </c>
      <c r="I660" s="171">
        <v>1</v>
      </c>
      <c r="J660" s="171" t="s">
        <v>15</v>
      </c>
      <c r="K660" s="171" t="s">
        <v>76</v>
      </c>
      <c r="L660" s="168" t="s">
        <v>77</v>
      </c>
    </row>
    <row r="661" spans="1:12" x14ac:dyDescent="0.2">
      <c r="A661" s="168" t="s">
        <v>74</v>
      </c>
      <c r="B661" s="168" t="s">
        <v>75</v>
      </c>
      <c r="C661" s="168" t="s">
        <v>11</v>
      </c>
      <c r="D661" s="168" t="s">
        <v>78</v>
      </c>
      <c r="E661" s="169">
        <v>41975</v>
      </c>
      <c r="F661" s="170">
        <v>96.919473600000003</v>
      </c>
      <c r="G661" s="171" t="s">
        <v>16</v>
      </c>
      <c r="H661" s="168" t="s">
        <v>18</v>
      </c>
      <c r="I661" s="171">
        <v>1</v>
      </c>
      <c r="J661" s="171" t="s">
        <v>15</v>
      </c>
      <c r="K661" s="171" t="s">
        <v>76</v>
      </c>
      <c r="L661" s="168" t="s">
        <v>77</v>
      </c>
    </row>
    <row r="662" spans="1:12" x14ac:dyDescent="0.2">
      <c r="A662" s="168" t="s">
        <v>74</v>
      </c>
      <c r="B662" s="168" t="s">
        <v>75</v>
      </c>
      <c r="C662" s="168" t="s">
        <v>11</v>
      </c>
      <c r="D662" s="168" t="s">
        <v>12</v>
      </c>
      <c r="E662" s="169">
        <v>41967</v>
      </c>
      <c r="F662" s="170">
        <v>28.28</v>
      </c>
      <c r="G662" s="171" t="s">
        <v>13</v>
      </c>
      <c r="H662" s="168" t="s">
        <v>14</v>
      </c>
      <c r="I662" s="171">
        <v>1</v>
      </c>
      <c r="J662" s="171" t="s">
        <v>15</v>
      </c>
      <c r="K662" s="171" t="s">
        <v>76</v>
      </c>
      <c r="L662" s="168" t="s">
        <v>77</v>
      </c>
    </row>
    <row r="663" spans="1:12" x14ac:dyDescent="0.2">
      <c r="A663" s="168" t="s">
        <v>74</v>
      </c>
      <c r="B663" s="168" t="s">
        <v>75</v>
      </c>
      <c r="C663" s="168" t="s">
        <v>11</v>
      </c>
      <c r="D663" s="168" t="s">
        <v>12</v>
      </c>
      <c r="E663" s="169">
        <v>41967</v>
      </c>
      <c r="F663" s="170">
        <v>241.27986960000001</v>
      </c>
      <c r="G663" s="171" t="s">
        <v>16</v>
      </c>
      <c r="H663" s="168" t="s">
        <v>14</v>
      </c>
      <c r="I663" s="171">
        <v>1</v>
      </c>
      <c r="J663" s="171" t="s">
        <v>15</v>
      </c>
      <c r="K663" s="171" t="s">
        <v>76</v>
      </c>
      <c r="L663" s="168" t="s">
        <v>77</v>
      </c>
    </row>
    <row r="664" spans="1:12" x14ac:dyDescent="0.2">
      <c r="A664" s="168" t="s">
        <v>74</v>
      </c>
      <c r="B664" s="168" t="s">
        <v>75</v>
      </c>
      <c r="C664" s="168" t="s">
        <v>11</v>
      </c>
      <c r="D664" s="168" t="s">
        <v>78</v>
      </c>
      <c r="E664" s="169">
        <v>41967</v>
      </c>
      <c r="F664" s="170">
        <v>18.77</v>
      </c>
      <c r="G664" s="171" t="s">
        <v>13</v>
      </c>
      <c r="H664" s="168" t="s">
        <v>18</v>
      </c>
      <c r="I664" s="171">
        <v>1</v>
      </c>
      <c r="J664" s="171" t="s">
        <v>15</v>
      </c>
      <c r="K664" s="171" t="s">
        <v>76</v>
      </c>
      <c r="L664" s="168" t="s">
        <v>77</v>
      </c>
    </row>
    <row r="665" spans="1:12" x14ac:dyDescent="0.2">
      <c r="A665" s="168" t="s">
        <v>74</v>
      </c>
      <c r="B665" s="168" t="s">
        <v>75</v>
      </c>
      <c r="C665" s="168" t="s">
        <v>11</v>
      </c>
      <c r="D665" s="168" t="s">
        <v>78</v>
      </c>
      <c r="E665" s="169">
        <v>41967</v>
      </c>
      <c r="F665" s="170">
        <v>160.1422614</v>
      </c>
      <c r="G665" s="171" t="s">
        <v>16</v>
      </c>
      <c r="H665" s="168" t="s">
        <v>18</v>
      </c>
      <c r="I665" s="171">
        <v>1</v>
      </c>
      <c r="J665" s="171" t="s">
        <v>15</v>
      </c>
      <c r="K665" s="171" t="s">
        <v>76</v>
      </c>
      <c r="L665" s="168" t="s">
        <v>77</v>
      </c>
    </row>
    <row r="666" spans="1:12" x14ac:dyDescent="0.2">
      <c r="A666" s="168" t="s">
        <v>74</v>
      </c>
      <c r="B666" s="168" t="s">
        <v>75</v>
      </c>
      <c r="C666" s="168" t="s">
        <v>11</v>
      </c>
      <c r="D666" s="168" t="s">
        <v>12</v>
      </c>
      <c r="E666" s="169">
        <v>41961</v>
      </c>
      <c r="F666" s="170">
        <v>26.12</v>
      </c>
      <c r="G666" s="171" t="s">
        <v>13</v>
      </c>
      <c r="H666" s="168" t="s">
        <v>14</v>
      </c>
      <c r="I666" s="171">
        <v>1</v>
      </c>
      <c r="J666" s="171" t="s">
        <v>15</v>
      </c>
      <c r="K666" s="171" t="s">
        <v>76</v>
      </c>
      <c r="L666" s="168" t="s">
        <v>77</v>
      </c>
    </row>
    <row r="667" spans="1:12" x14ac:dyDescent="0.2">
      <c r="A667" s="168" t="s">
        <v>74</v>
      </c>
      <c r="B667" s="168" t="s">
        <v>75</v>
      </c>
      <c r="C667" s="168" t="s">
        <v>11</v>
      </c>
      <c r="D667" s="168" t="s">
        <v>12</v>
      </c>
      <c r="E667" s="169">
        <v>41961</v>
      </c>
      <c r="F667" s="170">
        <v>217.6229592</v>
      </c>
      <c r="G667" s="171" t="s">
        <v>16</v>
      </c>
      <c r="H667" s="168" t="s">
        <v>14</v>
      </c>
      <c r="I667" s="171">
        <v>1</v>
      </c>
      <c r="J667" s="171" t="s">
        <v>15</v>
      </c>
      <c r="K667" s="171" t="s">
        <v>76</v>
      </c>
      <c r="L667" s="168" t="s">
        <v>77</v>
      </c>
    </row>
    <row r="668" spans="1:12" x14ac:dyDescent="0.2">
      <c r="A668" s="168" t="s">
        <v>74</v>
      </c>
      <c r="B668" s="168" t="s">
        <v>75</v>
      </c>
      <c r="C668" s="168" t="s">
        <v>11</v>
      </c>
      <c r="D668" s="168" t="s">
        <v>78</v>
      </c>
      <c r="E668" s="169">
        <v>41961</v>
      </c>
      <c r="F668" s="170">
        <v>19.77</v>
      </c>
      <c r="G668" s="171" t="s">
        <v>13</v>
      </c>
      <c r="H668" s="168" t="s">
        <v>18</v>
      </c>
      <c r="I668" s="171">
        <v>1</v>
      </c>
      <c r="J668" s="171" t="s">
        <v>15</v>
      </c>
      <c r="K668" s="171" t="s">
        <v>76</v>
      </c>
      <c r="L668" s="168" t="s">
        <v>77</v>
      </c>
    </row>
    <row r="669" spans="1:12" x14ac:dyDescent="0.2">
      <c r="A669" s="168" t="s">
        <v>74</v>
      </c>
      <c r="B669" s="168" t="s">
        <v>75</v>
      </c>
      <c r="C669" s="168" t="s">
        <v>11</v>
      </c>
      <c r="D669" s="168" t="s">
        <v>78</v>
      </c>
      <c r="E669" s="169">
        <v>41961</v>
      </c>
      <c r="F669" s="170">
        <v>164.71691820000001</v>
      </c>
      <c r="G669" s="171" t="s">
        <v>16</v>
      </c>
      <c r="H669" s="168" t="s">
        <v>18</v>
      </c>
      <c r="I669" s="171">
        <v>1</v>
      </c>
      <c r="J669" s="171" t="s">
        <v>15</v>
      </c>
      <c r="K669" s="171" t="s">
        <v>76</v>
      </c>
      <c r="L669" s="168" t="s">
        <v>77</v>
      </c>
    </row>
    <row r="670" spans="1:12" x14ac:dyDescent="0.2">
      <c r="A670" s="168" t="s">
        <v>74</v>
      </c>
      <c r="B670" s="168" t="s">
        <v>75</v>
      </c>
      <c r="C670" s="168" t="s">
        <v>11</v>
      </c>
      <c r="D670" s="168" t="s">
        <v>12</v>
      </c>
      <c r="E670" s="169">
        <v>41954</v>
      </c>
      <c r="F670" s="170">
        <v>19.12</v>
      </c>
      <c r="G670" s="171" t="s">
        <v>13</v>
      </c>
      <c r="H670" s="168" t="s">
        <v>14</v>
      </c>
      <c r="I670" s="171">
        <v>1</v>
      </c>
      <c r="J670" s="171" t="s">
        <v>15</v>
      </c>
      <c r="K670" s="171" t="s">
        <v>76</v>
      </c>
      <c r="L670" s="168" t="s">
        <v>77</v>
      </c>
    </row>
    <row r="671" spans="1:12" x14ac:dyDescent="0.2">
      <c r="A671" s="168" t="s">
        <v>74</v>
      </c>
      <c r="B671" s="168" t="s">
        <v>75</v>
      </c>
      <c r="C671" s="168" t="s">
        <v>11</v>
      </c>
      <c r="D671" s="168" t="s">
        <v>12</v>
      </c>
      <c r="E671" s="169">
        <v>41954</v>
      </c>
      <c r="F671" s="170">
        <v>152.28506400000001</v>
      </c>
      <c r="G671" s="171" t="s">
        <v>16</v>
      </c>
      <c r="H671" s="168" t="s">
        <v>14</v>
      </c>
      <c r="I671" s="171">
        <v>1</v>
      </c>
      <c r="J671" s="171" t="s">
        <v>15</v>
      </c>
      <c r="K671" s="171" t="s">
        <v>76</v>
      </c>
      <c r="L671" s="168" t="s">
        <v>77</v>
      </c>
    </row>
    <row r="672" spans="1:12" x14ac:dyDescent="0.2">
      <c r="A672" s="168" t="s">
        <v>74</v>
      </c>
      <c r="B672" s="168" t="s">
        <v>75</v>
      </c>
      <c r="C672" s="168" t="s">
        <v>11</v>
      </c>
      <c r="D672" s="168" t="s">
        <v>78</v>
      </c>
      <c r="E672" s="169">
        <v>41954</v>
      </c>
      <c r="F672" s="170">
        <v>18.260000000000002</v>
      </c>
      <c r="G672" s="171" t="s">
        <v>13</v>
      </c>
      <c r="H672" s="168" t="s">
        <v>18</v>
      </c>
      <c r="I672" s="171">
        <v>1</v>
      </c>
      <c r="J672" s="171" t="s">
        <v>15</v>
      </c>
      <c r="K672" s="171" t="s">
        <v>76</v>
      </c>
      <c r="L672" s="168" t="s">
        <v>77</v>
      </c>
    </row>
    <row r="673" spans="1:12" x14ac:dyDescent="0.2">
      <c r="A673" s="168" t="s">
        <v>74</v>
      </c>
      <c r="B673" s="168" t="s">
        <v>75</v>
      </c>
      <c r="C673" s="168" t="s">
        <v>11</v>
      </c>
      <c r="D673" s="168" t="s">
        <v>78</v>
      </c>
      <c r="E673" s="169">
        <v>41954</v>
      </c>
      <c r="F673" s="170">
        <v>145.43542199999999</v>
      </c>
      <c r="G673" s="171" t="s">
        <v>16</v>
      </c>
      <c r="H673" s="168" t="s">
        <v>18</v>
      </c>
      <c r="I673" s="171">
        <v>1</v>
      </c>
      <c r="J673" s="171" t="s">
        <v>15</v>
      </c>
      <c r="K673" s="171" t="s">
        <v>76</v>
      </c>
      <c r="L673" s="168" t="s">
        <v>77</v>
      </c>
    </row>
    <row r="674" spans="1:12" x14ac:dyDescent="0.2">
      <c r="A674" s="168" t="s">
        <v>74</v>
      </c>
      <c r="B674" s="168" t="s">
        <v>75</v>
      </c>
      <c r="C674" s="168" t="s">
        <v>11</v>
      </c>
      <c r="D674" s="168" t="s">
        <v>12</v>
      </c>
      <c r="E674" s="169">
        <v>41947</v>
      </c>
      <c r="F674" s="170">
        <v>26.11</v>
      </c>
      <c r="G674" s="171" t="s">
        <v>13</v>
      </c>
      <c r="H674" s="168" t="s">
        <v>14</v>
      </c>
      <c r="I674" s="171">
        <v>1</v>
      </c>
      <c r="J674" s="171" t="s">
        <v>15</v>
      </c>
      <c r="K674" s="171" t="s">
        <v>76</v>
      </c>
      <c r="L674" s="168" t="s">
        <v>77</v>
      </c>
    </row>
    <row r="675" spans="1:12" x14ac:dyDescent="0.2">
      <c r="A675" s="168" t="s">
        <v>74</v>
      </c>
      <c r="B675" s="168" t="s">
        <v>75</v>
      </c>
      <c r="C675" s="168" t="s">
        <v>11</v>
      </c>
      <c r="D675" s="168" t="s">
        <v>12</v>
      </c>
      <c r="E675" s="169">
        <v>41947</v>
      </c>
      <c r="F675" s="170">
        <v>202.51438200000001</v>
      </c>
      <c r="G675" s="171" t="s">
        <v>16</v>
      </c>
      <c r="H675" s="168" t="s">
        <v>14</v>
      </c>
      <c r="I675" s="171">
        <v>1</v>
      </c>
      <c r="J675" s="171" t="s">
        <v>15</v>
      </c>
      <c r="K675" s="171" t="s">
        <v>76</v>
      </c>
      <c r="L675" s="168" t="s">
        <v>77</v>
      </c>
    </row>
    <row r="676" spans="1:12" x14ac:dyDescent="0.2">
      <c r="A676" s="168" t="s">
        <v>74</v>
      </c>
      <c r="B676" s="168" t="s">
        <v>75</v>
      </c>
      <c r="C676" s="168" t="s">
        <v>11</v>
      </c>
      <c r="D676" s="168" t="s">
        <v>78</v>
      </c>
      <c r="E676" s="169">
        <v>41947</v>
      </c>
      <c r="F676" s="170">
        <v>13.27</v>
      </c>
      <c r="G676" s="171" t="s">
        <v>13</v>
      </c>
      <c r="H676" s="168" t="s">
        <v>18</v>
      </c>
      <c r="I676" s="171">
        <v>1</v>
      </c>
      <c r="J676" s="171" t="s">
        <v>15</v>
      </c>
      <c r="K676" s="171" t="s">
        <v>76</v>
      </c>
      <c r="L676" s="168" t="s">
        <v>77</v>
      </c>
    </row>
    <row r="677" spans="1:12" x14ac:dyDescent="0.2">
      <c r="A677" s="168" t="s">
        <v>74</v>
      </c>
      <c r="B677" s="168" t="s">
        <v>75</v>
      </c>
      <c r="C677" s="168" t="s">
        <v>11</v>
      </c>
      <c r="D677" s="168" t="s">
        <v>78</v>
      </c>
      <c r="E677" s="169">
        <v>41947</v>
      </c>
      <c r="F677" s="170">
        <v>102.924774</v>
      </c>
      <c r="G677" s="171" t="s">
        <v>16</v>
      </c>
      <c r="H677" s="168" t="s">
        <v>18</v>
      </c>
      <c r="I677" s="171">
        <v>1</v>
      </c>
      <c r="J677" s="171" t="s">
        <v>15</v>
      </c>
      <c r="K677" s="171" t="s">
        <v>76</v>
      </c>
      <c r="L677" s="168" t="s">
        <v>77</v>
      </c>
    </row>
    <row r="678" spans="1:12" x14ac:dyDescent="0.2">
      <c r="A678" s="168" t="s">
        <v>74</v>
      </c>
      <c r="B678" s="168" t="s">
        <v>75</v>
      </c>
      <c r="C678" s="168" t="s">
        <v>11</v>
      </c>
      <c r="D678" s="168" t="s">
        <v>12</v>
      </c>
      <c r="E678" s="169">
        <v>41940</v>
      </c>
      <c r="F678" s="170">
        <v>24.58</v>
      </c>
      <c r="G678" s="171" t="s">
        <v>13</v>
      </c>
      <c r="H678" s="168" t="s">
        <v>14</v>
      </c>
      <c r="I678" s="171">
        <v>1</v>
      </c>
      <c r="J678" s="171" t="s">
        <v>15</v>
      </c>
      <c r="K678" s="171" t="s">
        <v>76</v>
      </c>
      <c r="L678" s="168" t="s">
        <v>77</v>
      </c>
    </row>
    <row r="679" spans="1:12" x14ac:dyDescent="0.2">
      <c r="A679" s="168" t="s">
        <v>74</v>
      </c>
      <c r="B679" s="168" t="s">
        <v>75</v>
      </c>
      <c r="C679" s="168" t="s">
        <v>11</v>
      </c>
      <c r="D679" s="168" t="s">
        <v>12</v>
      </c>
      <c r="E679" s="169">
        <v>41940</v>
      </c>
      <c r="F679" s="170">
        <v>204.17721119999999</v>
      </c>
      <c r="G679" s="171" t="s">
        <v>16</v>
      </c>
      <c r="H679" s="168" t="s">
        <v>14</v>
      </c>
      <c r="I679" s="171">
        <v>1</v>
      </c>
      <c r="J679" s="171" t="s">
        <v>15</v>
      </c>
      <c r="K679" s="171" t="s">
        <v>76</v>
      </c>
      <c r="L679" s="168" t="s">
        <v>77</v>
      </c>
    </row>
    <row r="680" spans="1:12" x14ac:dyDescent="0.2">
      <c r="A680" s="168" t="s">
        <v>74</v>
      </c>
      <c r="B680" s="168" t="s">
        <v>75</v>
      </c>
      <c r="C680" s="168" t="s">
        <v>11</v>
      </c>
      <c r="D680" s="168" t="s">
        <v>78</v>
      </c>
      <c r="E680" s="169">
        <v>41940</v>
      </c>
      <c r="F680" s="170">
        <v>18.989999999999998</v>
      </c>
      <c r="G680" s="171" t="s">
        <v>13</v>
      </c>
      <c r="H680" s="168" t="s">
        <v>18</v>
      </c>
      <c r="I680" s="171">
        <v>1</v>
      </c>
      <c r="J680" s="171" t="s">
        <v>15</v>
      </c>
      <c r="K680" s="171" t="s">
        <v>76</v>
      </c>
      <c r="L680" s="168" t="s">
        <v>77</v>
      </c>
    </row>
    <row r="681" spans="1:12" x14ac:dyDescent="0.2">
      <c r="A681" s="168" t="s">
        <v>74</v>
      </c>
      <c r="B681" s="168" t="s">
        <v>75</v>
      </c>
      <c r="C681" s="168" t="s">
        <v>11</v>
      </c>
      <c r="D681" s="168" t="s">
        <v>78</v>
      </c>
      <c r="E681" s="169">
        <v>41940</v>
      </c>
      <c r="F681" s="170">
        <v>157.74309360000001</v>
      </c>
      <c r="G681" s="171" t="s">
        <v>16</v>
      </c>
      <c r="H681" s="168" t="s">
        <v>18</v>
      </c>
      <c r="I681" s="171">
        <v>1</v>
      </c>
      <c r="J681" s="171" t="s">
        <v>15</v>
      </c>
      <c r="K681" s="171" t="s">
        <v>76</v>
      </c>
      <c r="L681" s="168" t="s">
        <v>77</v>
      </c>
    </row>
    <row r="682" spans="1:12" x14ac:dyDescent="0.2">
      <c r="A682" s="168" t="s">
        <v>74</v>
      </c>
      <c r="B682" s="168" t="s">
        <v>75</v>
      </c>
      <c r="C682" s="168" t="s">
        <v>11</v>
      </c>
      <c r="D682" s="168" t="s">
        <v>12</v>
      </c>
      <c r="E682" s="169">
        <v>41933</v>
      </c>
      <c r="F682" s="170">
        <v>21.92</v>
      </c>
      <c r="G682" s="171" t="s">
        <v>13</v>
      </c>
      <c r="H682" s="168" t="s">
        <v>14</v>
      </c>
      <c r="I682" s="171">
        <v>1</v>
      </c>
      <c r="J682" s="171" t="s">
        <v>15</v>
      </c>
      <c r="K682" s="171" t="s">
        <v>76</v>
      </c>
      <c r="L682" s="168" t="s">
        <v>77</v>
      </c>
    </row>
    <row r="683" spans="1:12" x14ac:dyDescent="0.2">
      <c r="A683" s="168" t="s">
        <v>74</v>
      </c>
      <c r="B683" s="168" t="s">
        <v>75</v>
      </c>
      <c r="C683" s="168" t="s">
        <v>11</v>
      </c>
      <c r="D683" s="168" t="s">
        <v>12</v>
      </c>
      <c r="E683" s="169">
        <v>41933</v>
      </c>
      <c r="F683" s="170">
        <v>184.27530239999999</v>
      </c>
      <c r="G683" s="171" t="s">
        <v>16</v>
      </c>
      <c r="H683" s="168" t="s">
        <v>14</v>
      </c>
      <c r="I683" s="171">
        <v>1</v>
      </c>
      <c r="J683" s="171" t="s">
        <v>15</v>
      </c>
      <c r="K683" s="171" t="s">
        <v>76</v>
      </c>
      <c r="L683" s="168" t="s">
        <v>77</v>
      </c>
    </row>
    <row r="684" spans="1:12" x14ac:dyDescent="0.2">
      <c r="A684" s="168" t="s">
        <v>74</v>
      </c>
      <c r="B684" s="168" t="s">
        <v>75</v>
      </c>
      <c r="C684" s="168" t="s">
        <v>11</v>
      </c>
      <c r="D684" s="168" t="s">
        <v>78</v>
      </c>
      <c r="E684" s="169">
        <v>41933</v>
      </c>
      <c r="F684" s="170">
        <v>19</v>
      </c>
      <c r="G684" s="171" t="s">
        <v>13</v>
      </c>
      <c r="H684" s="168" t="s">
        <v>18</v>
      </c>
      <c r="I684" s="171">
        <v>1</v>
      </c>
      <c r="J684" s="171" t="s">
        <v>15</v>
      </c>
      <c r="K684" s="171" t="s">
        <v>76</v>
      </c>
      <c r="L684" s="168" t="s">
        <v>77</v>
      </c>
    </row>
    <row r="685" spans="1:12" x14ac:dyDescent="0.2">
      <c r="A685" s="168" t="s">
        <v>74</v>
      </c>
      <c r="B685" s="168" t="s">
        <v>75</v>
      </c>
      <c r="C685" s="168" t="s">
        <v>11</v>
      </c>
      <c r="D685" s="168" t="s">
        <v>78</v>
      </c>
      <c r="E685" s="169">
        <v>41933</v>
      </c>
      <c r="F685" s="170">
        <v>159.72767999999999</v>
      </c>
      <c r="G685" s="171" t="s">
        <v>16</v>
      </c>
      <c r="H685" s="168" t="s">
        <v>18</v>
      </c>
      <c r="I685" s="171">
        <v>1</v>
      </c>
      <c r="J685" s="171" t="s">
        <v>15</v>
      </c>
      <c r="K685" s="171" t="s">
        <v>76</v>
      </c>
      <c r="L685" s="168" t="s">
        <v>77</v>
      </c>
    </row>
    <row r="686" spans="1:12" x14ac:dyDescent="0.2">
      <c r="A686" s="168" t="s">
        <v>74</v>
      </c>
      <c r="B686" s="168" t="s">
        <v>75</v>
      </c>
      <c r="C686" s="168" t="s">
        <v>11</v>
      </c>
      <c r="D686" s="168" t="s">
        <v>12</v>
      </c>
      <c r="E686" s="169">
        <v>41926</v>
      </c>
      <c r="F686" s="170">
        <v>22.74</v>
      </c>
      <c r="G686" s="171" t="s">
        <v>13</v>
      </c>
      <c r="H686" s="168" t="s">
        <v>14</v>
      </c>
      <c r="I686" s="171">
        <v>1</v>
      </c>
      <c r="J686" s="171" t="s">
        <v>15</v>
      </c>
      <c r="K686" s="171" t="s">
        <v>76</v>
      </c>
      <c r="L686" s="168" t="s">
        <v>77</v>
      </c>
    </row>
    <row r="687" spans="1:12" x14ac:dyDescent="0.2">
      <c r="A687" s="168" t="s">
        <v>74</v>
      </c>
      <c r="B687" s="168" t="s">
        <v>75</v>
      </c>
      <c r="C687" s="168" t="s">
        <v>11</v>
      </c>
      <c r="D687" s="168" t="s">
        <v>12</v>
      </c>
      <c r="E687" s="169">
        <v>41926</v>
      </c>
      <c r="F687" s="170">
        <v>204.25477319999999</v>
      </c>
      <c r="G687" s="171" t="s">
        <v>16</v>
      </c>
      <c r="H687" s="168" t="s">
        <v>14</v>
      </c>
      <c r="I687" s="171">
        <v>1</v>
      </c>
      <c r="J687" s="171" t="s">
        <v>15</v>
      </c>
      <c r="K687" s="171" t="s">
        <v>76</v>
      </c>
      <c r="L687" s="168" t="s">
        <v>77</v>
      </c>
    </row>
    <row r="688" spans="1:12" x14ac:dyDescent="0.2">
      <c r="A688" s="168" t="s">
        <v>74</v>
      </c>
      <c r="B688" s="168" t="s">
        <v>75</v>
      </c>
      <c r="C688" s="168" t="s">
        <v>11</v>
      </c>
      <c r="D688" s="168" t="s">
        <v>78</v>
      </c>
      <c r="E688" s="169">
        <v>41926</v>
      </c>
      <c r="F688" s="170">
        <v>15.23</v>
      </c>
      <c r="G688" s="171" t="s">
        <v>13</v>
      </c>
      <c r="H688" s="168" t="s">
        <v>18</v>
      </c>
      <c r="I688" s="171">
        <v>1</v>
      </c>
      <c r="J688" s="171" t="s">
        <v>15</v>
      </c>
      <c r="K688" s="171" t="s">
        <v>76</v>
      </c>
      <c r="L688" s="168" t="s">
        <v>77</v>
      </c>
    </row>
    <row r="689" spans="1:12" x14ac:dyDescent="0.2">
      <c r="A689" s="168" t="s">
        <v>74</v>
      </c>
      <c r="B689" s="168" t="s">
        <v>75</v>
      </c>
      <c r="C689" s="168" t="s">
        <v>11</v>
      </c>
      <c r="D689" s="168" t="s">
        <v>78</v>
      </c>
      <c r="E689" s="169">
        <v>41926</v>
      </c>
      <c r="F689" s="170">
        <v>136.7986014</v>
      </c>
      <c r="G689" s="171" t="s">
        <v>16</v>
      </c>
      <c r="H689" s="168" t="s">
        <v>18</v>
      </c>
      <c r="I689" s="171">
        <v>1</v>
      </c>
      <c r="J689" s="171" t="s">
        <v>15</v>
      </c>
      <c r="K689" s="171" t="s">
        <v>76</v>
      </c>
      <c r="L689" s="168" t="s">
        <v>77</v>
      </c>
    </row>
    <row r="690" spans="1:12" x14ac:dyDescent="0.2">
      <c r="A690" s="168" t="s">
        <v>74</v>
      </c>
      <c r="B690" s="168" t="s">
        <v>75</v>
      </c>
      <c r="C690" s="168" t="s">
        <v>11</v>
      </c>
      <c r="D690" s="168" t="s">
        <v>12</v>
      </c>
      <c r="E690" s="169">
        <v>41919</v>
      </c>
      <c r="F690" s="170">
        <v>19.36</v>
      </c>
      <c r="G690" s="171" t="s">
        <v>13</v>
      </c>
      <c r="H690" s="168" t="s">
        <v>14</v>
      </c>
      <c r="I690" s="171">
        <v>1</v>
      </c>
      <c r="J690" s="171" t="s">
        <v>15</v>
      </c>
      <c r="K690" s="171" t="s">
        <v>76</v>
      </c>
      <c r="L690" s="168" t="s">
        <v>77</v>
      </c>
    </row>
    <row r="691" spans="1:12" x14ac:dyDescent="0.2">
      <c r="A691" s="168" t="s">
        <v>74</v>
      </c>
      <c r="B691" s="168" t="s">
        <v>75</v>
      </c>
      <c r="C691" s="168" t="s">
        <v>11</v>
      </c>
      <c r="D691" s="168" t="s">
        <v>12</v>
      </c>
      <c r="E691" s="169">
        <v>41919</v>
      </c>
      <c r="F691" s="170">
        <v>160.00923839999999</v>
      </c>
      <c r="G691" s="171" t="s">
        <v>16</v>
      </c>
      <c r="H691" s="168" t="s">
        <v>14</v>
      </c>
      <c r="I691" s="171">
        <v>1</v>
      </c>
      <c r="J691" s="171" t="s">
        <v>15</v>
      </c>
      <c r="K691" s="171" t="s">
        <v>76</v>
      </c>
      <c r="L691" s="168" t="s">
        <v>77</v>
      </c>
    </row>
    <row r="692" spans="1:12" x14ac:dyDescent="0.2">
      <c r="A692" s="168" t="s">
        <v>74</v>
      </c>
      <c r="B692" s="168" t="s">
        <v>75</v>
      </c>
      <c r="C692" s="168" t="s">
        <v>11</v>
      </c>
      <c r="D692" s="168" t="s">
        <v>78</v>
      </c>
      <c r="E692" s="169">
        <v>41919</v>
      </c>
      <c r="F692" s="170">
        <v>16.239999999999998</v>
      </c>
      <c r="G692" s="171" t="s">
        <v>13</v>
      </c>
      <c r="H692" s="168" t="s">
        <v>18</v>
      </c>
      <c r="I692" s="171">
        <v>1</v>
      </c>
      <c r="J692" s="171" t="s">
        <v>15</v>
      </c>
      <c r="K692" s="171" t="s">
        <v>76</v>
      </c>
      <c r="L692" s="168" t="s">
        <v>77</v>
      </c>
    </row>
    <row r="693" spans="1:12" x14ac:dyDescent="0.2">
      <c r="A693" s="168" t="s">
        <v>74</v>
      </c>
      <c r="B693" s="168" t="s">
        <v>75</v>
      </c>
      <c r="C693" s="168" t="s">
        <v>11</v>
      </c>
      <c r="D693" s="168" t="s">
        <v>78</v>
      </c>
      <c r="E693" s="169">
        <v>41919</v>
      </c>
      <c r="F693" s="170">
        <v>134.22262559999999</v>
      </c>
      <c r="G693" s="171" t="s">
        <v>16</v>
      </c>
      <c r="H693" s="168" t="s">
        <v>18</v>
      </c>
      <c r="I693" s="171">
        <v>1</v>
      </c>
      <c r="J693" s="171" t="s">
        <v>15</v>
      </c>
      <c r="K693" s="171" t="s">
        <v>76</v>
      </c>
      <c r="L693" s="168" t="s">
        <v>77</v>
      </c>
    </row>
    <row r="694" spans="1:12" x14ac:dyDescent="0.2">
      <c r="A694" s="168" t="s">
        <v>74</v>
      </c>
      <c r="B694" s="168" t="s">
        <v>75</v>
      </c>
      <c r="C694" s="168" t="s">
        <v>19</v>
      </c>
      <c r="D694" s="168" t="s">
        <v>12</v>
      </c>
      <c r="E694" s="169">
        <v>43207</v>
      </c>
      <c r="F694" s="170">
        <v>3.44</v>
      </c>
      <c r="G694" s="171" t="s">
        <v>13</v>
      </c>
      <c r="H694" s="168" t="s">
        <v>14</v>
      </c>
      <c r="I694" s="171">
        <v>1</v>
      </c>
      <c r="J694" s="171" t="s">
        <v>15</v>
      </c>
      <c r="K694" s="171" t="s">
        <v>76</v>
      </c>
      <c r="L694" s="168" t="s">
        <v>77</v>
      </c>
    </row>
    <row r="695" spans="1:12" x14ac:dyDescent="0.2">
      <c r="A695" s="168" t="s">
        <v>74</v>
      </c>
      <c r="B695" s="168" t="s">
        <v>75</v>
      </c>
      <c r="C695" s="168" t="s">
        <v>19</v>
      </c>
      <c r="D695" s="168" t="s">
        <v>12</v>
      </c>
      <c r="E695" s="169">
        <v>43207</v>
      </c>
      <c r="F695" s="170">
        <v>69.830486399999998</v>
      </c>
      <c r="G695" s="171" t="s">
        <v>16</v>
      </c>
      <c r="H695" s="168" t="s">
        <v>14</v>
      </c>
      <c r="I695" s="171">
        <v>1</v>
      </c>
      <c r="J695" s="171" t="s">
        <v>15</v>
      </c>
      <c r="K695" s="171" t="s">
        <v>76</v>
      </c>
      <c r="L695" s="168" t="s">
        <v>77</v>
      </c>
    </row>
    <row r="696" spans="1:12" x14ac:dyDescent="0.2">
      <c r="A696" s="168" t="s">
        <v>74</v>
      </c>
      <c r="B696" s="168" t="s">
        <v>75</v>
      </c>
      <c r="C696" s="168" t="s">
        <v>19</v>
      </c>
      <c r="D696" s="168" t="s">
        <v>12</v>
      </c>
      <c r="E696" s="169">
        <v>43207</v>
      </c>
      <c r="F696" s="170">
        <v>1.87</v>
      </c>
      <c r="G696" s="171" t="s">
        <v>13</v>
      </c>
      <c r="H696" s="168" t="s">
        <v>18</v>
      </c>
      <c r="I696" s="171">
        <v>1</v>
      </c>
      <c r="J696" s="171" t="s">
        <v>15</v>
      </c>
      <c r="K696" s="171" t="s">
        <v>76</v>
      </c>
      <c r="L696" s="168" t="s">
        <v>77</v>
      </c>
    </row>
    <row r="697" spans="1:12" x14ac:dyDescent="0.2">
      <c r="A697" s="168" t="s">
        <v>74</v>
      </c>
      <c r="B697" s="168" t="s">
        <v>75</v>
      </c>
      <c r="C697" s="168" t="s">
        <v>19</v>
      </c>
      <c r="D697" s="168" t="s">
        <v>12</v>
      </c>
      <c r="E697" s="169">
        <v>43207</v>
      </c>
      <c r="F697" s="170">
        <v>37.960177199999997</v>
      </c>
      <c r="G697" s="171" t="s">
        <v>16</v>
      </c>
      <c r="H697" s="168" t="s">
        <v>18</v>
      </c>
      <c r="I697" s="171">
        <v>1</v>
      </c>
      <c r="J697" s="171" t="s">
        <v>15</v>
      </c>
      <c r="K697" s="171" t="s">
        <v>76</v>
      </c>
      <c r="L697" s="168" t="s">
        <v>77</v>
      </c>
    </row>
    <row r="698" spans="1:12" x14ac:dyDescent="0.2">
      <c r="A698" s="168" t="s">
        <v>74</v>
      </c>
      <c r="B698" s="168" t="s">
        <v>75</v>
      </c>
      <c r="C698" s="168" t="s">
        <v>19</v>
      </c>
      <c r="D698" s="168" t="s">
        <v>12</v>
      </c>
      <c r="E698" s="169">
        <v>43200</v>
      </c>
      <c r="F698" s="170">
        <v>5.31</v>
      </c>
      <c r="G698" s="171" t="s">
        <v>13</v>
      </c>
      <c r="H698" s="168" t="s">
        <v>14</v>
      </c>
      <c r="I698" s="171">
        <v>1</v>
      </c>
      <c r="J698" s="171" t="s">
        <v>15</v>
      </c>
      <c r="K698" s="171" t="s">
        <v>76</v>
      </c>
      <c r="L698" s="168" t="s">
        <v>77</v>
      </c>
    </row>
    <row r="699" spans="1:12" x14ac:dyDescent="0.2">
      <c r="A699" s="168" t="s">
        <v>74</v>
      </c>
      <c r="B699" s="168" t="s">
        <v>75</v>
      </c>
      <c r="C699" s="168" t="s">
        <v>19</v>
      </c>
      <c r="D699" s="168" t="s">
        <v>12</v>
      </c>
      <c r="E699" s="169">
        <v>43200</v>
      </c>
      <c r="F699" s="170">
        <v>70.236644400000003</v>
      </c>
      <c r="G699" s="171" t="s">
        <v>16</v>
      </c>
      <c r="H699" s="168" t="s">
        <v>14</v>
      </c>
      <c r="I699" s="171">
        <v>1</v>
      </c>
      <c r="J699" s="171" t="s">
        <v>15</v>
      </c>
      <c r="K699" s="171" t="s">
        <v>76</v>
      </c>
      <c r="L699" s="168" t="s">
        <v>77</v>
      </c>
    </row>
    <row r="700" spans="1:12" x14ac:dyDescent="0.2">
      <c r="A700" s="168" t="s">
        <v>74</v>
      </c>
      <c r="B700" s="168" t="s">
        <v>75</v>
      </c>
      <c r="C700" s="168" t="s">
        <v>19</v>
      </c>
      <c r="D700" s="168" t="s">
        <v>12</v>
      </c>
      <c r="E700" s="169">
        <v>43200</v>
      </c>
      <c r="F700" s="170">
        <v>3.13</v>
      </c>
      <c r="G700" s="171" t="s">
        <v>13</v>
      </c>
      <c r="H700" s="168" t="s">
        <v>18</v>
      </c>
      <c r="I700" s="171">
        <v>1</v>
      </c>
      <c r="J700" s="171" t="s">
        <v>15</v>
      </c>
      <c r="K700" s="171" t="s">
        <v>76</v>
      </c>
      <c r="L700" s="168" t="s">
        <v>77</v>
      </c>
    </row>
    <row r="701" spans="1:12" x14ac:dyDescent="0.2">
      <c r="A701" s="168" t="s">
        <v>74</v>
      </c>
      <c r="B701" s="168" t="s">
        <v>75</v>
      </c>
      <c r="C701" s="168" t="s">
        <v>19</v>
      </c>
      <c r="D701" s="168" t="s">
        <v>12</v>
      </c>
      <c r="E701" s="169">
        <v>43200</v>
      </c>
      <c r="F701" s="170">
        <v>41.4012612</v>
      </c>
      <c r="G701" s="171" t="s">
        <v>16</v>
      </c>
      <c r="H701" s="168" t="s">
        <v>18</v>
      </c>
      <c r="I701" s="171">
        <v>1</v>
      </c>
      <c r="J701" s="171" t="s">
        <v>15</v>
      </c>
      <c r="K701" s="171" t="s">
        <v>76</v>
      </c>
      <c r="L701" s="168" t="s">
        <v>77</v>
      </c>
    </row>
    <row r="702" spans="1:12" x14ac:dyDescent="0.2">
      <c r="A702" s="168" t="s">
        <v>74</v>
      </c>
      <c r="B702" s="168" t="s">
        <v>75</v>
      </c>
      <c r="C702" s="168" t="s">
        <v>19</v>
      </c>
      <c r="D702" s="168" t="s">
        <v>12</v>
      </c>
      <c r="E702" s="169">
        <v>43193</v>
      </c>
      <c r="F702" s="170">
        <v>4.74</v>
      </c>
      <c r="G702" s="171" t="s">
        <v>13</v>
      </c>
      <c r="H702" s="168" t="s">
        <v>14</v>
      </c>
      <c r="I702" s="171">
        <v>1</v>
      </c>
      <c r="J702" s="171" t="s">
        <v>15</v>
      </c>
      <c r="K702" s="171" t="s">
        <v>76</v>
      </c>
      <c r="L702" s="168" t="s">
        <v>77</v>
      </c>
    </row>
    <row r="703" spans="1:12" x14ac:dyDescent="0.2">
      <c r="A703" s="168" t="s">
        <v>74</v>
      </c>
      <c r="B703" s="168" t="s">
        <v>75</v>
      </c>
      <c r="C703" s="168" t="s">
        <v>19</v>
      </c>
      <c r="D703" s="168" t="s">
        <v>12</v>
      </c>
      <c r="E703" s="169">
        <v>43193</v>
      </c>
      <c r="F703" s="170">
        <v>65.582924399999996</v>
      </c>
      <c r="G703" s="171" t="s">
        <v>16</v>
      </c>
      <c r="H703" s="168" t="s">
        <v>14</v>
      </c>
      <c r="I703" s="171">
        <v>1</v>
      </c>
      <c r="J703" s="171" t="s">
        <v>15</v>
      </c>
      <c r="K703" s="171" t="s">
        <v>76</v>
      </c>
      <c r="L703" s="168" t="s">
        <v>77</v>
      </c>
    </row>
    <row r="704" spans="1:12" x14ac:dyDescent="0.2">
      <c r="A704" s="168" t="s">
        <v>74</v>
      </c>
      <c r="B704" s="168" t="s">
        <v>75</v>
      </c>
      <c r="C704" s="168" t="s">
        <v>19</v>
      </c>
      <c r="D704" s="168" t="s">
        <v>12</v>
      </c>
      <c r="E704" s="169">
        <v>43193</v>
      </c>
      <c r="F704" s="170">
        <v>2.41</v>
      </c>
      <c r="G704" s="171" t="s">
        <v>13</v>
      </c>
      <c r="H704" s="168" t="s">
        <v>18</v>
      </c>
      <c r="I704" s="171">
        <v>1</v>
      </c>
      <c r="J704" s="171" t="s">
        <v>15</v>
      </c>
      <c r="K704" s="171" t="s">
        <v>76</v>
      </c>
      <c r="L704" s="168" t="s">
        <v>77</v>
      </c>
    </row>
    <row r="705" spans="1:12" x14ac:dyDescent="0.2">
      <c r="A705" s="168" t="s">
        <v>74</v>
      </c>
      <c r="B705" s="168" t="s">
        <v>75</v>
      </c>
      <c r="C705" s="168" t="s">
        <v>19</v>
      </c>
      <c r="D705" s="168" t="s">
        <v>12</v>
      </c>
      <c r="E705" s="169">
        <v>43193</v>
      </c>
      <c r="F705" s="170">
        <v>33.3449046</v>
      </c>
      <c r="G705" s="171" t="s">
        <v>16</v>
      </c>
      <c r="H705" s="168" t="s">
        <v>18</v>
      </c>
      <c r="I705" s="171">
        <v>1</v>
      </c>
      <c r="J705" s="171" t="s">
        <v>15</v>
      </c>
      <c r="K705" s="171" t="s">
        <v>76</v>
      </c>
      <c r="L705" s="168" t="s">
        <v>77</v>
      </c>
    </row>
    <row r="706" spans="1:12" x14ac:dyDescent="0.2">
      <c r="A706" s="168" t="s">
        <v>74</v>
      </c>
      <c r="B706" s="168" t="s">
        <v>75</v>
      </c>
      <c r="C706" s="168" t="s">
        <v>19</v>
      </c>
      <c r="D706" s="168" t="s">
        <v>12</v>
      </c>
      <c r="E706" s="169">
        <v>43186</v>
      </c>
      <c r="F706" s="170">
        <v>5.25</v>
      </c>
      <c r="G706" s="171" t="s">
        <v>13</v>
      </c>
      <c r="H706" s="168" t="s">
        <v>14</v>
      </c>
      <c r="I706" s="171">
        <v>1</v>
      </c>
      <c r="J706" s="171" t="s">
        <v>15</v>
      </c>
      <c r="K706" s="171" t="s">
        <v>76</v>
      </c>
      <c r="L706" s="168" t="s">
        <v>77</v>
      </c>
    </row>
    <row r="707" spans="1:12" x14ac:dyDescent="0.2">
      <c r="A707" s="168" t="s">
        <v>74</v>
      </c>
      <c r="B707" s="168" t="s">
        <v>75</v>
      </c>
      <c r="C707" s="168" t="s">
        <v>19</v>
      </c>
      <c r="D707" s="168" t="s">
        <v>12</v>
      </c>
      <c r="E707" s="169">
        <v>43186</v>
      </c>
      <c r="F707" s="170">
        <v>68.085674999999995</v>
      </c>
      <c r="G707" s="171" t="s">
        <v>16</v>
      </c>
      <c r="H707" s="168" t="s">
        <v>14</v>
      </c>
      <c r="I707" s="171">
        <v>1</v>
      </c>
      <c r="J707" s="171" t="s">
        <v>15</v>
      </c>
      <c r="K707" s="171" t="s">
        <v>76</v>
      </c>
      <c r="L707" s="168" t="s">
        <v>77</v>
      </c>
    </row>
    <row r="708" spans="1:12" x14ac:dyDescent="0.2">
      <c r="A708" s="168" t="s">
        <v>74</v>
      </c>
      <c r="B708" s="168" t="s">
        <v>75</v>
      </c>
      <c r="C708" s="168" t="s">
        <v>19</v>
      </c>
      <c r="D708" s="168" t="s">
        <v>12</v>
      </c>
      <c r="E708" s="169">
        <v>43186</v>
      </c>
      <c r="F708" s="170">
        <v>4.29</v>
      </c>
      <c r="G708" s="171" t="s">
        <v>13</v>
      </c>
      <c r="H708" s="168" t="s">
        <v>18</v>
      </c>
      <c r="I708" s="171">
        <v>1</v>
      </c>
      <c r="J708" s="171" t="s">
        <v>15</v>
      </c>
      <c r="K708" s="171" t="s">
        <v>76</v>
      </c>
      <c r="L708" s="168" t="s">
        <v>77</v>
      </c>
    </row>
    <row r="709" spans="1:12" x14ac:dyDescent="0.2">
      <c r="A709" s="168" t="s">
        <v>74</v>
      </c>
      <c r="B709" s="168" t="s">
        <v>75</v>
      </c>
      <c r="C709" s="168" t="s">
        <v>19</v>
      </c>
      <c r="D709" s="168" t="s">
        <v>12</v>
      </c>
      <c r="E709" s="169">
        <v>43186</v>
      </c>
      <c r="F709" s="170">
        <v>55.635722999999999</v>
      </c>
      <c r="G709" s="171" t="s">
        <v>16</v>
      </c>
      <c r="H709" s="168" t="s">
        <v>18</v>
      </c>
      <c r="I709" s="171">
        <v>1</v>
      </c>
      <c r="J709" s="171" t="s">
        <v>15</v>
      </c>
      <c r="K709" s="171" t="s">
        <v>76</v>
      </c>
      <c r="L709" s="168" t="s">
        <v>77</v>
      </c>
    </row>
    <row r="710" spans="1:12" x14ac:dyDescent="0.2">
      <c r="A710" s="168" t="s">
        <v>74</v>
      </c>
      <c r="B710" s="168" t="s">
        <v>75</v>
      </c>
      <c r="C710" s="168" t="s">
        <v>19</v>
      </c>
      <c r="D710" s="168" t="s">
        <v>12</v>
      </c>
      <c r="E710" s="169">
        <v>43179</v>
      </c>
      <c r="F710" s="170">
        <v>7.69</v>
      </c>
      <c r="G710" s="171" t="s">
        <v>13</v>
      </c>
      <c r="H710" s="168" t="s">
        <v>14</v>
      </c>
      <c r="I710" s="171">
        <v>1</v>
      </c>
      <c r="J710" s="171" t="s">
        <v>15</v>
      </c>
      <c r="K710" s="171" t="s">
        <v>76</v>
      </c>
      <c r="L710" s="168" t="s">
        <v>77</v>
      </c>
    </row>
    <row r="711" spans="1:12" x14ac:dyDescent="0.2">
      <c r="A711" s="168" t="s">
        <v>74</v>
      </c>
      <c r="B711" s="168" t="s">
        <v>75</v>
      </c>
      <c r="C711" s="168" t="s">
        <v>19</v>
      </c>
      <c r="D711" s="168" t="s">
        <v>12</v>
      </c>
      <c r="E711" s="169">
        <v>43179</v>
      </c>
      <c r="F711" s="170">
        <v>85.491421799999998</v>
      </c>
      <c r="G711" s="171" t="s">
        <v>16</v>
      </c>
      <c r="H711" s="168" t="s">
        <v>14</v>
      </c>
      <c r="I711" s="171">
        <v>1</v>
      </c>
      <c r="J711" s="171" t="s">
        <v>15</v>
      </c>
      <c r="K711" s="171" t="s">
        <v>76</v>
      </c>
      <c r="L711" s="168" t="s">
        <v>77</v>
      </c>
    </row>
    <row r="712" spans="1:12" x14ac:dyDescent="0.2">
      <c r="A712" s="168" t="s">
        <v>74</v>
      </c>
      <c r="B712" s="168" t="s">
        <v>75</v>
      </c>
      <c r="C712" s="168" t="s">
        <v>19</v>
      </c>
      <c r="D712" s="168" t="s">
        <v>12</v>
      </c>
      <c r="E712" s="169">
        <v>43179</v>
      </c>
      <c r="F712" s="170">
        <v>4.0599999999999996</v>
      </c>
      <c r="G712" s="171" t="s">
        <v>13</v>
      </c>
      <c r="H712" s="168" t="s">
        <v>18</v>
      </c>
      <c r="I712" s="171">
        <v>1</v>
      </c>
      <c r="J712" s="171" t="s">
        <v>15</v>
      </c>
      <c r="K712" s="171" t="s">
        <v>76</v>
      </c>
      <c r="L712" s="168" t="s">
        <v>77</v>
      </c>
    </row>
    <row r="713" spans="1:12" x14ac:dyDescent="0.2">
      <c r="A713" s="168" t="s">
        <v>74</v>
      </c>
      <c r="B713" s="168" t="s">
        <v>75</v>
      </c>
      <c r="C713" s="168" t="s">
        <v>19</v>
      </c>
      <c r="D713" s="168" t="s">
        <v>12</v>
      </c>
      <c r="E713" s="169">
        <v>43179</v>
      </c>
      <c r="F713" s="170">
        <v>45.135913199999997</v>
      </c>
      <c r="G713" s="171" t="s">
        <v>16</v>
      </c>
      <c r="H713" s="168" t="s">
        <v>18</v>
      </c>
      <c r="I713" s="171">
        <v>1</v>
      </c>
      <c r="J713" s="171" t="s">
        <v>15</v>
      </c>
      <c r="K713" s="171" t="s">
        <v>76</v>
      </c>
      <c r="L713" s="168" t="s">
        <v>77</v>
      </c>
    </row>
    <row r="714" spans="1:12" x14ac:dyDescent="0.2">
      <c r="A714" s="168" t="s">
        <v>74</v>
      </c>
      <c r="B714" s="168" t="s">
        <v>75</v>
      </c>
      <c r="C714" s="168" t="s">
        <v>19</v>
      </c>
      <c r="D714" s="168" t="s">
        <v>12</v>
      </c>
      <c r="E714" s="169">
        <v>43172</v>
      </c>
      <c r="F714" s="170">
        <v>4.76</v>
      </c>
      <c r="G714" s="171" t="s">
        <v>13</v>
      </c>
      <c r="H714" s="168" t="s">
        <v>14</v>
      </c>
      <c r="I714" s="171">
        <v>1</v>
      </c>
      <c r="J714" s="171" t="s">
        <v>15</v>
      </c>
      <c r="K714" s="171" t="s">
        <v>76</v>
      </c>
      <c r="L714" s="168" t="s">
        <v>77</v>
      </c>
    </row>
    <row r="715" spans="1:12" x14ac:dyDescent="0.2">
      <c r="A715" s="168" t="s">
        <v>74</v>
      </c>
      <c r="B715" s="168" t="s">
        <v>75</v>
      </c>
      <c r="C715" s="168" t="s">
        <v>19</v>
      </c>
      <c r="D715" s="168" t="s">
        <v>12</v>
      </c>
      <c r="E715" s="169">
        <v>43172</v>
      </c>
      <c r="F715" s="170">
        <v>56.967204000000002</v>
      </c>
      <c r="G715" s="171" t="s">
        <v>16</v>
      </c>
      <c r="H715" s="168" t="s">
        <v>14</v>
      </c>
      <c r="I715" s="171">
        <v>1</v>
      </c>
      <c r="J715" s="171" t="s">
        <v>15</v>
      </c>
      <c r="K715" s="171" t="s">
        <v>76</v>
      </c>
      <c r="L715" s="168" t="s">
        <v>77</v>
      </c>
    </row>
    <row r="716" spans="1:12" x14ac:dyDescent="0.2">
      <c r="A716" s="168" t="s">
        <v>74</v>
      </c>
      <c r="B716" s="168" t="s">
        <v>75</v>
      </c>
      <c r="C716" s="168" t="s">
        <v>19</v>
      </c>
      <c r="D716" s="168" t="s">
        <v>12</v>
      </c>
      <c r="E716" s="169">
        <v>43172</v>
      </c>
      <c r="F716" s="170">
        <v>2.46</v>
      </c>
      <c r="G716" s="171" t="s">
        <v>13</v>
      </c>
      <c r="H716" s="168" t="s">
        <v>18</v>
      </c>
      <c r="I716" s="171">
        <v>1</v>
      </c>
      <c r="J716" s="171" t="s">
        <v>15</v>
      </c>
      <c r="K716" s="171" t="s">
        <v>76</v>
      </c>
      <c r="L716" s="168" t="s">
        <v>77</v>
      </c>
    </row>
    <row r="717" spans="1:12" x14ac:dyDescent="0.2">
      <c r="A717" s="168" t="s">
        <v>74</v>
      </c>
      <c r="B717" s="168" t="s">
        <v>75</v>
      </c>
      <c r="C717" s="168" t="s">
        <v>19</v>
      </c>
      <c r="D717" s="168" t="s">
        <v>12</v>
      </c>
      <c r="E717" s="169">
        <v>43172</v>
      </c>
      <c r="F717" s="170">
        <v>29.441033999999998</v>
      </c>
      <c r="G717" s="171" t="s">
        <v>16</v>
      </c>
      <c r="H717" s="168" t="s">
        <v>18</v>
      </c>
      <c r="I717" s="171">
        <v>1</v>
      </c>
      <c r="J717" s="171" t="s">
        <v>15</v>
      </c>
      <c r="K717" s="171" t="s">
        <v>76</v>
      </c>
      <c r="L717" s="168" t="s">
        <v>77</v>
      </c>
    </row>
    <row r="718" spans="1:12" x14ac:dyDescent="0.2">
      <c r="A718" s="168" t="s">
        <v>74</v>
      </c>
      <c r="B718" s="168" t="s">
        <v>75</v>
      </c>
      <c r="C718" s="168" t="s">
        <v>19</v>
      </c>
      <c r="D718" s="168" t="s">
        <v>12</v>
      </c>
      <c r="E718" s="169">
        <v>43165</v>
      </c>
      <c r="F718" s="170">
        <v>4.7699999999999996</v>
      </c>
      <c r="G718" s="171" t="s">
        <v>13</v>
      </c>
      <c r="H718" s="168" t="s">
        <v>14</v>
      </c>
      <c r="I718" s="171">
        <v>1</v>
      </c>
      <c r="J718" s="171" t="s">
        <v>15</v>
      </c>
      <c r="K718" s="171" t="s">
        <v>76</v>
      </c>
      <c r="L718" s="168" t="s">
        <v>77</v>
      </c>
    </row>
    <row r="719" spans="1:12" x14ac:dyDescent="0.2">
      <c r="A719" s="168" t="s">
        <v>74</v>
      </c>
      <c r="B719" s="168" t="s">
        <v>75</v>
      </c>
      <c r="C719" s="168" t="s">
        <v>19</v>
      </c>
      <c r="D719" s="168" t="s">
        <v>12</v>
      </c>
      <c r="E719" s="169">
        <v>43165</v>
      </c>
      <c r="F719" s="170">
        <v>52.790448599999998</v>
      </c>
      <c r="G719" s="171" t="s">
        <v>16</v>
      </c>
      <c r="H719" s="168" t="s">
        <v>14</v>
      </c>
      <c r="I719" s="171">
        <v>1</v>
      </c>
      <c r="J719" s="171" t="s">
        <v>15</v>
      </c>
      <c r="K719" s="171" t="s">
        <v>76</v>
      </c>
      <c r="L719" s="168" t="s">
        <v>77</v>
      </c>
    </row>
    <row r="720" spans="1:12" x14ac:dyDescent="0.2">
      <c r="A720" s="168" t="s">
        <v>74</v>
      </c>
      <c r="B720" s="168" t="s">
        <v>75</v>
      </c>
      <c r="C720" s="168" t="s">
        <v>19</v>
      </c>
      <c r="D720" s="168" t="s">
        <v>12</v>
      </c>
      <c r="E720" s="169">
        <v>43165</v>
      </c>
      <c r="F720" s="170">
        <v>2.72</v>
      </c>
      <c r="G720" s="171" t="s">
        <v>13</v>
      </c>
      <c r="H720" s="168" t="s">
        <v>18</v>
      </c>
      <c r="I720" s="171">
        <v>1</v>
      </c>
      <c r="J720" s="171" t="s">
        <v>15</v>
      </c>
      <c r="K720" s="171" t="s">
        <v>76</v>
      </c>
      <c r="L720" s="168" t="s">
        <v>77</v>
      </c>
    </row>
    <row r="721" spans="1:12" x14ac:dyDescent="0.2">
      <c r="A721" s="168" t="s">
        <v>74</v>
      </c>
      <c r="B721" s="168" t="s">
        <v>75</v>
      </c>
      <c r="C721" s="168" t="s">
        <v>19</v>
      </c>
      <c r="D721" s="168" t="s">
        <v>12</v>
      </c>
      <c r="E721" s="169">
        <v>43165</v>
      </c>
      <c r="F721" s="170">
        <v>30.1027296</v>
      </c>
      <c r="G721" s="171" t="s">
        <v>16</v>
      </c>
      <c r="H721" s="168" t="s">
        <v>18</v>
      </c>
      <c r="I721" s="171">
        <v>1</v>
      </c>
      <c r="J721" s="171" t="s">
        <v>15</v>
      </c>
      <c r="K721" s="171" t="s">
        <v>76</v>
      </c>
      <c r="L721" s="168" t="s">
        <v>77</v>
      </c>
    </row>
    <row r="722" spans="1:12" x14ac:dyDescent="0.2">
      <c r="A722" s="168" t="s">
        <v>74</v>
      </c>
      <c r="B722" s="168" t="s">
        <v>75</v>
      </c>
      <c r="C722" s="168" t="s">
        <v>19</v>
      </c>
      <c r="D722" s="168" t="s">
        <v>12</v>
      </c>
      <c r="E722" s="169">
        <v>43158</v>
      </c>
      <c r="F722" s="170">
        <v>6.66</v>
      </c>
      <c r="G722" s="171" t="s">
        <v>13</v>
      </c>
      <c r="H722" s="168" t="s">
        <v>14</v>
      </c>
      <c r="I722" s="171">
        <v>1</v>
      </c>
      <c r="J722" s="171" t="s">
        <v>15</v>
      </c>
      <c r="K722" s="171" t="s">
        <v>76</v>
      </c>
      <c r="L722" s="168" t="s">
        <v>77</v>
      </c>
    </row>
    <row r="723" spans="1:12" x14ac:dyDescent="0.2">
      <c r="A723" s="168" t="s">
        <v>74</v>
      </c>
      <c r="B723" s="168" t="s">
        <v>75</v>
      </c>
      <c r="C723" s="168" t="s">
        <v>19</v>
      </c>
      <c r="D723" s="168" t="s">
        <v>12</v>
      </c>
      <c r="E723" s="169">
        <v>43158</v>
      </c>
      <c r="F723" s="170">
        <v>91.870437600000002</v>
      </c>
      <c r="G723" s="171" t="s">
        <v>16</v>
      </c>
      <c r="H723" s="168" t="s">
        <v>14</v>
      </c>
      <c r="I723" s="171">
        <v>1</v>
      </c>
      <c r="J723" s="171" t="s">
        <v>15</v>
      </c>
      <c r="K723" s="171" t="s">
        <v>76</v>
      </c>
      <c r="L723" s="168" t="s">
        <v>77</v>
      </c>
    </row>
    <row r="724" spans="1:12" x14ac:dyDescent="0.2">
      <c r="A724" s="168" t="s">
        <v>74</v>
      </c>
      <c r="B724" s="168" t="s">
        <v>75</v>
      </c>
      <c r="C724" s="168" t="s">
        <v>19</v>
      </c>
      <c r="D724" s="168" t="s">
        <v>12</v>
      </c>
      <c r="E724" s="169">
        <v>43158</v>
      </c>
      <c r="F724" s="170">
        <v>4.21</v>
      </c>
      <c r="G724" s="171" t="s">
        <v>13</v>
      </c>
      <c r="H724" s="168" t="s">
        <v>18</v>
      </c>
      <c r="I724" s="171">
        <v>1</v>
      </c>
      <c r="J724" s="171" t="s">
        <v>15</v>
      </c>
      <c r="K724" s="171" t="s">
        <v>76</v>
      </c>
      <c r="L724" s="168" t="s">
        <v>77</v>
      </c>
    </row>
    <row r="725" spans="1:12" x14ac:dyDescent="0.2">
      <c r="A725" s="168" t="s">
        <v>74</v>
      </c>
      <c r="B725" s="168" t="s">
        <v>75</v>
      </c>
      <c r="C725" s="168" t="s">
        <v>19</v>
      </c>
      <c r="D725" s="168" t="s">
        <v>12</v>
      </c>
      <c r="E725" s="169">
        <v>43158</v>
      </c>
      <c r="F725" s="170">
        <v>58.074255600000001</v>
      </c>
      <c r="G725" s="171" t="s">
        <v>16</v>
      </c>
      <c r="H725" s="168" t="s">
        <v>18</v>
      </c>
      <c r="I725" s="171">
        <v>1</v>
      </c>
      <c r="J725" s="171" t="s">
        <v>15</v>
      </c>
      <c r="K725" s="171" t="s">
        <v>76</v>
      </c>
      <c r="L725" s="168" t="s">
        <v>77</v>
      </c>
    </row>
    <row r="726" spans="1:12" x14ac:dyDescent="0.2">
      <c r="A726" s="168" t="s">
        <v>74</v>
      </c>
      <c r="B726" s="168" t="s">
        <v>75</v>
      </c>
      <c r="C726" s="168" t="s">
        <v>19</v>
      </c>
      <c r="D726" s="168" t="s">
        <v>12</v>
      </c>
      <c r="E726" s="169">
        <v>43151</v>
      </c>
      <c r="F726" s="170">
        <v>5.16</v>
      </c>
      <c r="G726" s="171" t="s">
        <v>13</v>
      </c>
      <c r="H726" s="168" t="s">
        <v>14</v>
      </c>
      <c r="I726" s="171">
        <v>1</v>
      </c>
      <c r="J726" s="171" t="s">
        <v>15</v>
      </c>
      <c r="K726" s="171" t="s">
        <v>76</v>
      </c>
      <c r="L726" s="168" t="s">
        <v>77</v>
      </c>
    </row>
    <row r="727" spans="1:12" x14ac:dyDescent="0.2">
      <c r="A727" s="168" t="s">
        <v>74</v>
      </c>
      <c r="B727" s="168" t="s">
        <v>75</v>
      </c>
      <c r="C727" s="168" t="s">
        <v>19</v>
      </c>
      <c r="D727" s="168" t="s">
        <v>12</v>
      </c>
      <c r="E727" s="169">
        <v>43151</v>
      </c>
      <c r="F727" s="170">
        <v>56.762373599999997</v>
      </c>
      <c r="G727" s="171" t="s">
        <v>16</v>
      </c>
      <c r="H727" s="168" t="s">
        <v>14</v>
      </c>
      <c r="I727" s="171">
        <v>1</v>
      </c>
      <c r="J727" s="171" t="s">
        <v>15</v>
      </c>
      <c r="K727" s="171" t="s">
        <v>76</v>
      </c>
      <c r="L727" s="168" t="s">
        <v>77</v>
      </c>
    </row>
    <row r="728" spans="1:12" x14ac:dyDescent="0.2">
      <c r="A728" s="168" t="s">
        <v>74</v>
      </c>
      <c r="B728" s="168" t="s">
        <v>75</v>
      </c>
      <c r="C728" s="168" t="s">
        <v>19</v>
      </c>
      <c r="D728" s="168" t="s">
        <v>12</v>
      </c>
      <c r="E728" s="169">
        <v>43151</v>
      </c>
      <c r="F728" s="170">
        <v>3.14</v>
      </c>
      <c r="G728" s="171" t="s">
        <v>13</v>
      </c>
      <c r="H728" s="168" t="s">
        <v>18</v>
      </c>
      <c r="I728" s="171">
        <v>1</v>
      </c>
      <c r="J728" s="171" t="s">
        <v>15</v>
      </c>
      <c r="K728" s="171" t="s">
        <v>76</v>
      </c>
      <c r="L728" s="168" t="s">
        <v>77</v>
      </c>
    </row>
    <row r="729" spans="1:12" x14ac:dyDescent="0.2">
      <c r="A729" s="168" t="s">
        <v>74</v>
      </c>
      <c r="B729" s="168" t="s">
        <v>75</v>
      </c>
      <c r="C729" s="168" t="s">
        <v>19</v>
      </c>
      <c r="D729" s="168" t="s">
        <v>12</v>
      </c>
      <c r="E729" s="169">
        <v>43151</v>
      </c>
      <c r="F729" s="170">
        <v>34.541444400000003</v>
      </c>
      <c r="G729" s="171" t="s">
        <v>16</v>
      </c>
      <c r="H729" s="168" t="s">
        <v>18</v>
      </c>
      <c r="I729" s="171">
        <v>1</v>
      </c>
      <c r="J729" s="171" t="s">
        <v>15</v>
      </c>
      <c r="K729" s="171" t="s">
        <v>76</v>
      </c>
      <c r="L729" s="168" t="s">
        <v>77</v>
      </c>
    </row>
    <row r="730" spans="1:12" x14ac:dyDescent="0.2">
      <c r="A730" s="168" t="s">
        <v>74</v>
      </c>
      <c r="B730" s="168" t="s">
        <v>75</v>
      </c>
      <c r="C730" s="168" t="s">
        <v>19</v>
      </c>
      <c r="D730" s="168" t="s">
        <v>12</v>
      </c>
      <c r="E730" s="169">
        <v>43144</v>
      </c>
      <c r="F730" s="170">
        <v>6.02</v>
      </c>
      <c r="G730" s="171" t="s">
        <v>13</v>
      </c>
      <c r="H730" s="168" t="s">
        <v>14</v>
      </c>
      <c r="I730" s="171">
        <v>1</v>
      </c>
      <c r="J730" s="171" t="s">
        <v>15</v>
      </c>
      <c r="K730" s="171" t="s">
        <v>76</v>
      </c>
      <c r="L730" s="168" t="s">
        <v>77</v>
      </c>
    </row>
    <row r="731" spans="1:12" x14ac:dyDescent="0.2">
      <c r="A731" s="168" t="s">
        <v>74</v>
      </c>
      <c r="B731" s="168" t="s">
        <v>75</v>
      </c>
      <c r="C731" s="168" t="s">
        <v>19</v>
      </c>
      <c r="D731" s="168" t="s">
        <v>12</v>
      </c>
      <c r="E731" s="169">
        <v>43144</v>
      </c>
      <c r="F731" s="170">
        <v>66.775043999999994</v>
      </c>
      <c r="G731" s="171" t="s">
        <v>16</v>
      </c>
      <c r="H731" s="168" t="s">
        <v>14</v>
      </c>
      <c r="I731" s="171">
        <v>1</v>
      </c>
      <c r="J731" s="171" t="s">
        <v>15</v>
      </c>
      <c r="K731" s="171" t="s">
        <v>76</v>
      </c>
      <c r="L731" s="168" t="s">
        <v>77</v>
      </c>
    </row>
    <row r="732" spans="1:12" x14ac:dyDescent="0.2">
      <c r="A732" s="168" t="s">
        <v>74</v>
      </c>
      <c r="B732" s="168" t="s">
        <v>75</v>
      </c>
      <c r="C732" s="168" t="s">
        <v>19</v>
      </c>
      <c r="D732" s="168" t="s">
        <v>12</v>
      </c>
      <c r="E732" s="169">
        <v>43144</v>
      </c>
      <c r="F732" s="170">
        <v>4.45</v>
      </c>
      <c r="G732" s="171" t="s">
        <v>13</v>
      </c>
      <c r="H732" s="168" t="s">
        <v>18</v>
      </c>
      <c r="I732" s="171">
        <v>1</v>
      </c>
      <c r="J732" s="171" t="s">
        <v>15</v>
      </c>
      <c r="K732" s="171" t="s">
        <v>76</v>
      </c>
      <c r="L732" s="168" t="s">
        <v>77</v>
      </c>
    </row>
    <row r="733" spans="1:12" x14ac:dyDescent="0.2">
      <c r="A733" s="168" t="s">
        <v>74</v>
      </c>
      <c r="B733" s="168" t="s">
        <v>75</v>
      </c>
      <c r="C733" s="168" t="s">
        <v>19</v>
      </c>
      <c r="D733" s="168" t="s">
        <v>12</v>
      </c>
      <c r="E733" s="169">
        <v>43144</v>
      </c>
      <c r="F733" s="170">
        <v>49.360289999999999</v>
      </c>
      <c r="G733" s="171" t="s">
        <v>16</v>
      </c>
      <c r="H733" s="168" t="s">
        <v>18</v>
      </c>
      <c r="I733" s="171">
        <v>1</v>
      </c>
      <c r="J733" s="171" t="s">
        <v>15</v>
      </c>
      <c r="K733" s="171" t="s">
        <v>76</v>
      </c>
      <c r="L733" s="168" t="s">
        <v>77</v>
      </c>
    </row>
    <row r="734" spans="1:12" x14ac:dyDescent="0.2">
      <c r="A734" s="168" t="s">
        <v>74</v>
      </c>
      <c r="B734" s="168" t="s">
        <v>75</v>
      </c>
      <c r="C734" s="168" t="s">
        <v>19</v>
      </c>
      <c r="D734" s="168" t="s">
        <v>12</v>
      </c>
      <c r="E734" s="169">
        <v>43137</v>
      </c>
      <c r="F734" s="170">
        <v>6.13</v>
      </c>
      <c r="G734" s="171" t="s">
        <v>13</v>
      </c>
      <c r="H734" s="168" t="s">
        <v>14</v>
      </c>
      <c r="I734" s="171">
        <v>1</v>
      </c>
      <c r="J734" s="171" t="s">
        <v>15</v>
      </c>
      <c r="K734" s="171" t="s">
        <v>76</v>
      </c>
      <c r="L734" s="168" t="s">
        <v>77</v>
      </c>
    </row>
    <row r="735" spans="1:12" x14ac:dyDescent="0.2">
      <c r="A735" s="168" t="s">
        <v>74</v>
      </c>
      <c r="B735" s="168" t="s">
        <v>75</v>
      </c>
      <c r="C735" s="168" t="s">
        <v>19</v>
      </c>
      <c r="D735" s="168" t="s">
        <v>12</v>
      </c>
      <c r="E735" s="169">
        <v>43137</v>
      </c>
      <c r="F735" s="170">
        <v>66.410335799999999</v>
      </c>
      <c r="G735" s="171" t="s">
        <v>16</v>
      </c>
      <c r="H735" s="168" t="s">
        <v>14</v>
      </c>
      <c r="I735" s="171">
        <v>1</v>
      </c>
      <c r="J735" s="171" t="s">
        <v>15</v>
      </c>
      <c r="K735" s="171" t="s">
        <v>76</v>
      </c>
      <c r="L735" s="168" t="s">
        <v>77</v>
      </c>
    </row>
    <row r="736" spans="1:12" x14ac:dyDescent="0.2">
      <c r="A736" s="168" t="s">
        <v>74</v>
      </c>
      <c r="B736" s="168" t="s">
        <v>75</v>
      </c>
      <c r="C736" s="168" t="s">
        <v>19</v>
      </c>
      <c r="D736" s="168" t="s">
        <v>12</v>
      </c>
      <c r="E736" s="169">
        <v>43137</v>
      </c>
      <c r="F736" s="170">
        <v>4.05</v>
      </c>
      <c r="G736" s="171" t="s">
        <v>13</v>
      </c>
      <c r="H736" s="168" t="s">
        <v>18</v>
      </c>
      <c r="I736" s="171">
        <v>1</v>
      </c>
      <c r="J736" s="171" t="s">
        <v>15</v>
      </c>
      <c r="K736" s="171" t="s">
        <v>76</v>
      </c>
      <c r="L736" s="168" t="s">
        <v>77</v>
      </c>
    </row>
    <row r="737" spans="1:13" x14ac:dyDescent="0.2">
      <c r="A737" s="168" t="s">
        <v>74</v>
      </c>
      <c r="B737" s="168" t="s">
        <v>75</v>
      </c>
      <c r="C737" s="168" t="s">
        <v>19</v>
      </c>
      <c r="D737" s="168" t="s">
        <v>12</v>
      </c>
      <c r="E737" s="169">
        <v>43137</v>
      </c>
      <c r="F737" s="170">
        <v>43.876322999999999</v>
      </c>
      <c r="G737" s="171" t="s">
        <v>16</v>
      </c>
      <c r="H737" s="168" t="s">
        <v>18</v>
      </c>
      <c r="I737" s="171">
        <v>1</v>
      </c>
      <c r="J737" s="171" t="s">
        <v>15</v>
      </c>
      <c r="K737" s="171" t="s">
        <v>76</v>
      </c>
      <c r="L737" s="168" t="s">
        <v>77</v>
      </c>
    </row>
    <row r="738" spans="1:13" x14ac:dyDescent="0.2">
      <c r="A738" s="168" t="s">
        <v>74</v>
      </c>
      <c r="B738" s="168" t="s">
        <v>75</v>
      </c>
      <c r="C738" s="168" t="s">
        <v>19</v>
      </c>
      <c r="D738" s="168" t="s">
        <v>12</v>
      </c>
      <c r="E738" s="169">
        <v>43130</v>
      </c>
      <c r="F738" s="170">
        <v>6.96</v>
      </c>
      <c r="G738" s="171" t="s">
        <v>13</v>
      </c>
      <c r="H738" s="168" t="s">
        <v>14</v>
      </c>
      <c r="I738" s="171">
        <v>1</v>
      </c>
      <c r="J738" s="171" t="s">
        <v>15</v>
      </c>
      <c r="K738" s="171" t="s">
        <v>80</v>
      </c>
      <c r="L738" s="168" t="s">
        <v>77</v>
      </c>
      <c r="M738" s="168" t="s">
        <v>14</v>
      </c>
    </row>
    <row r="739" spans="1:13" x14ac:dyDescent="0.2">
      <c r="A739" s="168" t="s">
        <v>74</v>
      </c>
      <c r="B739" s="168" t="s">
        <v>75</v>
      </c>
      <c r="C739" s="168" t="s">
        <v>19</v>
      </c>
      <c r="D739" s="168" t="s">
        <v>12</v>
      </c>
      <c r="E739" s="169">
        <v>43130</v>
      </c>
      <c r="F739" s="170">
        <v>78.768964800000006</v>
      </c>
      <c r="G739" s="171" t="s">
        <v>16</v>
      </c>
      <c r="H739" s="168" t="s">
        <v>14</v>
      </c>
      <c r="I739" s="171">
        <v>1</v>
      </c>
      <c r="J739" s="171" t="s">
        <v>15</v>
      </c>
      <c r="K739" s="171" t="s">
        <v>80</v>
      </c>
      <c r="L739" s="168" t="s">
        <v>77</v>
      </c>
      <c r="M739" s="168" t="s">
        <v>14</v>
      </c>
    </row>
    <row r="740" spans="1:13" x14ac:dyDescent="0.2">
      <c r="A740" s="168" t="s">
        <v>74</v>
      </c>
      <c r="B740" s="168" t="s">
        <v>75</v>
      </c>
      <c r="C740" s="168" t="s">
        <v>19</v>
      </c>
      <c r="D740" s="168" t="s">
        <v>12</v>
      </c>
      <c r="E740" s="169">
        <v>43130</v>
      </c>
      <c r="F740" s="170">
        <v>4.29</v>
      </c>
      <c r="G740" s="171" t="s">
        <v>13</v>
      </c>
      <c r="H740" s="168" t="s">
        <v>18</v>
      </c>
      <c r="I740" s="171">
        <v>1</v>
      </c>
      <c r="J740" s="171" t="s">
        <v>15</v>
      </c>
      <c r="K740" s="171" t="s">
        <v>80</v>
      </c>
      <c r="L740" s="168" t="s">
        <v>77</v>
      </c>
      <c r="M740" s="168" t="s">
        <v>18</v>
      </c>
    </row>
    <row r="741" spans="1:13" x14ac:dyDescent="0.2">
      <c r="A741" s="168" t="s">
        <v>74</v>
      </c>
      <c r="B741" s="168" t="s">
        <v>75</v>
      </c>
      <c r="C741" s="168" t="s">
        <v>19</v>
      </c>
      <c r="D741" s="168" t="s">
        <v>12</v>
      </c>
      <c r="E741" s="169">
        <v>43130</v>
      </c>
      <c r="F741" s="170">
        <v>48.551560199999997</v>
      </c>
      <c r="G741" s="171" t="s">
        <v>16</v>
      </c>
      <c r="H741" s="168" t="s">
        <v>18</v>
      </c>
      <c r="I741" s="171">
        <v>1</v>
      </c>
      <c r="J741" s="171" t="s">
        <v>15</v>
      </c>
      <c r="K741" s="171" t="s">
        <v>80</v>
      </c>
      <c r="L741" s="168" t="s">
        <v>77</v>
      </c>
      <c r="M741" s="168" t="s">
        <v>18</v>
      </c>
    </row>
    <row r="742" spans="1:13" x14ac:dyDescent="0.2">
      <c r="A742" s="168" t="s">
        <v>74</v>
      </c>
      <c r="B742" s="168" t="s">
        <v>75</v>
      </c>
      <c r="C742" s="168" t="s">
        <v>19</v>
      </c>
      <c r="D742" s="168" t="s">
        <v>12</v>
      </c>
      <c r="E742" s="169">
        <v>43123</v>
      </c>
      <c r="F742" s="170">
        <v>6.15</v>
      </c>
      <c r="G742" s="171" t="s">
        <v>13</v>
      </c>
      <c r="H742" s="168" t="s">
        <v>14</v>
      </c>
      <c r="I742" s="171">
        <v>1</v>
      </c>
      <c r="J742" s="171" t="s">
        <v>15</v>
      </c>
      <c r="K742" s="171" t="s">
        <v>80</v>
      </c>
      <c r="L742" s="168" t="s">
        <v>77</v>
      </c>
      <c r="M742" s="168" t="s">
        <v>14</v>
      </c>
    </row>
    <row r="743" spans="1:13" x14ac:dyDescent="0.2">
      <c r="A743" s="168" t="s">
        <v>74</v>
      </c>
      <c r="B743" s="168" t="s">
        <v>75</v>
      </c>
      <c r="C743" s="168" t="s">
        <v>19</v>
      </c>
      <c r="D743" s="168" t="s">
        <v>12</v>
      </c>
      <c r="E743" s="169">
        <v>43123</v>
      </c>
      <c r="F743" s="170">
        <v>73.140966000000006</v>
      </c>
      <c r="G743" s="171" t="s">
        <v>16</v>
      </c>
      <c r="H743" s="168" t="s">
        <v>14</v>
      </c>
      <c r="I743" s="171">
        <v>1</v>
      </c>
      <c r="J743" s="171" t="s">
        <v>15</v>
      </c>
      <c r="K743" s="171" t="s">
        <v>80</v>
      </c>
      <c r="L743" s="168" t="s">
        <v>77</v>
      </c>
      <c r="M743" s="168" t="s">
        <v>14</v>
      </c>
    </row>
    <row r="744" spans="1:13" x14ac:dyDescent="0.2">
      <c r="A744" s="168" t="s">
        <v>74</v>
      </c>
      <c r="B744" s="168" t="s">
        <v>75</v>
      </c>
      <c r="C744" s="168" t="s">
        <v>19</v>
      </c>
      <c r="D744" s="168" t="s">
        <v>12</v>
      </c>
      <c r="E744" s="169">
        <v>43123</v>
      </c>
      <c r="F744" s="170">
        <v>3.2</v>
      </c>
      <c r="G744" s="171" t="s">
        <v>13</v>
      </c>
      <c r="H744" s="168" t="s">
        <v>18</v>
      </c>
      <c r="I744" s="171">
        <v>1</v>
      </c>
      <c r="J744" s="171" t="s">
        <v>15</v>
      </c>
      <c r="K744" s="171" t="s">
        <v>80</v>
      </c>
      <c r="L744" s="168" t="s">
        <v>77</v>
      </c>
      <c r="M744" s="168" t="s">
        <v>18</v>
      </c>
    </row>
    <row r="745" spans="1:13" x14ac:dyDescent="0.2">
      <c r="A745" s="168" t="s">
        <v>74</v>
      </c>
      <c r="B745" s="168" t="s">
        <v>75</v>
      </c>
      <c r="C745" s="168" t="s">
        <v>19</v>
      </c>
      <c r="D745" s="168" t="s">
        <v>12</v>
      </c>
      <c r="E745" s="169">
        <v>43123</v>
      </c>
      <c r="F745" s="170">
        <v>38.057088</v>
      </c>
      <c r="G745" s="171" t="s">
        <v>16</v>
      </c>
      <c r="H745" s="168" t="s">
        <v>18</v>
      </c>
      <c r="I745" s="171">
        <v>1</v>
      </c>
      <c r="J745" s="171" t="s">
        <v>15</v>
      </c>
      <c r="K745" s="171" t="s">
        <v>80</v>
      </c>
      <c r="L745" s="168" t="s">
        <v>77</v>
      </c>
      <c r="M745" s="168" t="s">
        <v>18</v>
      </c>
    </row>
    <row r="746" spans="1:13" x14ac:dyDescent="0.2">
      <c r="A746" s="168" t="s">
        <v>74</v>
      </c>
      <c r="B746" s="168" t="s">
        <v>75</v>
      </c>
      <c r="C746" s="168" t="s">
        <v>19</v>
      </c>
      <c r="D746" s="168" t="s">
        <v>12</v>
      </c>
      <c r="E746" s="169">
        <v>43116</v>
      </c>
      <c r="F746" s="170">
        <v>6.94</v>
      </c>
      <c r="G746" s="171" t="s">
        <v>13</v>
      </c>
      <c r="H746" s="168" t="s">
        <v>14</v>
      </c>
      <c r="I746" s="171">
        <v>1</v>
      </c>
      <c r="J746" s="171" t="s">
        <v>15</v>
      </c>
      <c r="K746" s="171" t="s">
        <v>80</v>
      </c>
      <c r="L746" s="168" t="s">
        <v>77</v>
      </c>
      <c r="M746" s="168" t="s">
        <v>14</v>
      </c>
    </row>
    <row r="747" spans="1:13" x14ac:dyDescent="0.2">
      <c r="A747" s="168" t="s">
        <v>74</v>
      </c>
      <c r="B747" s="168" t="s">
        <v>75</v>
      </c>
      <c r="C747" s="168" t="s">
        <v>19</v>
      </c>
      <c r="D747" s="168" t="s">
        <v>12</v>
      </c>
      <c r="E747" s="169">
        <v>43116</v>
      </c>
      <c r="F747" s="170">
        <v>76.864108799999997</v>
      </c>
      <c r="G747" s="171" t="s">
        <v>16</v>
      </c>
      <c r="H747" s="168" t="s">
        <v>14</v>
      </c>
      <c r="I747" s="171">
        <v>1</v>
      </c>
      <c r="J747" s="171" t="s">
        <v>15</v>
      </c>
      <c r="K747" s="171" t="s">
        <v>80</v>
      </c>
      <c r="L747" s="168" t="s">
        <v>77</v>
      </c>
      <c r="M747" s="168" t="s">
        <v>14</v>
      </c>
    </row>
    <row r="748" spans="1:13" x14ac:dyDescent="0.2">
      <c r="A748" s="168" t="s">
        <v>74</v>
      </c>
      <c r="B748" s="168" t="s">
        <v>75</v>
      </c>
      <c r="C748" s="168" t="s">
        <v>19</v>
      </c>
      <c r="D748" s="168" t="s">
        <v>12</v>
      </c>
      <c r="E748" s="169">
        <v>43116</v>
      </c>
      <c r="F748" s="170">
        <v>4.49</v>
      </c>
      <c r="G748" s="171" t="s">
        <v>13</v>
      </c>
      <c r="H748" s="168" t="s">
        <v>18</v>
      </c>
      <c r="I748" s="171">
        <v>1</v>
      </c>
      <c r="J748" s="171" t="s">
        <v>15</v>
      </c>
      <c r="K748" s="171" t="s">
        <v>80</v>
      </c>
      <c r="L748" s="168" t="s">
        <v>77</v>
      </c>
      <c r="M748" s="168" t="s">
        <v>18</v>
      </c>
    </row>
    <row r="749" spans="1:13" x14ac:dyDescent="0.2">
      <c r="A749" s="168" t="s">
        <v>74</v>
      </c>
      <c r="B749" s="168" t="s">
        <v>75</v>
      </c>
      <c r="C749" s="168" t="s">
        <v>19</v>
      </c>
      <c r="D749" s="168" t="s">
        <v>12</v>
      </c>
      <c r="E749" s="169">
        <v>43116</v>
      </c>
      <c r="F749" s="170">
        <v>49.729084800000003</v>
      </c>
      <c r="G749" s="171" t="s">
        <v>16</v>
      </c>
      <c r="H749" s="168" t="s">
        <v>18</v>
      </c>
      <c r="I749" s="171">
        <v>1</v>
      </c>
      <c r="J749" s="171" t="s">
        <v>15</v>
      </c>
      <c r="K749" s="171" t="s">
        <v>80</v>
      </c>
      <c r="L749" s="168" t="s">
        <v>77</v>
      </c>
      <c r="M749" s="168" t="s">
        <v>18</v>
      </c>
    </row>
    <row r="750" spans="1:13" x14ac:dyDescent="0.2">
      <c r="A750" s="168" t="s">
        <v>74</v>
      </c>
      <c r="B750" s="168" t="s">
        <v>75</v>
      </c>
      <c r="C750" s="168" t="s">
        <v>19</v>
      </c>
      <c r="D750" s="168" t="s">
        <v>12</v>
      </c>
      <c r="E750" s="169">
        <v>43109</v>
      </c>
      <c r="F750" s="170">
        <v>7.95</v>
      </c>
      <c r="G750" s="171" t="s">
        <v>13</v>
      </c>
      <c r="H750" s="168" t="s">
        <v>14</v>
      </c>
      <c r="I750" s="171">
        <v>1</v>
      </c>
      <c r="J750" s="171" t="s">
        <v>15</v>
      </c>
      <c r="K750" s="171" t="s">
        <v>80</v>
      </c>
      <c r="L750" s="168" t="s">
        <v>77</v>
      </c>
      <c r="M750" s="168" t="s">
        <v>14</v>
      </c>
    </row>
    <row r="751" spans="1:13" x14ac:dyDescent="0.2">
      <c r="A751" s="168" t="s">
        <v>74</v>
      </c>
      <c r="B751" s="168" t="s">
        <v>75</v>
      </c>
      <c r="C751" s="168" t="s">
        <v>19</v>
      </c>
      <c r="D751" s="168" t="s">
        <v>12</v>
      </c>
      <c r="E751" s="169">
        <v>43109</v>
      </c>
      <c r="F751" s="170">
        <v>90.967715999999996</v>
      </c>
      <c r="G751" s="171" t="s">
        <v>16</v>
      </c>
      <c r="H751" s="168" t="s">
        <v>14</v>
      </c>
      <c r="I751" s="171">
        <v>1</v>
      </c>
      <c r="J751" s="171" t="s">
        <v>15</v>
      </c>
      <c r="K751" s="171" t="s">
        <v>80</v>
      </c>
      <c r="L751" s="168" t="s">
        <v>77</v>
      </c>
      <c r="M751" s="168" t="s">
        <v>14</v>
      </c>
    </row>
    <row r="752" spans="1:13" x14ac:dyDescent="0.2">
      <c r="A752" s="168" t="s">
        <v>74</v>
      </c>
      <c r="B752" s="168" t="s">
        <v>75</v>
      </c>
      <c r="C752" s="168" t="s">
        <v>19</v>
      </c>
      <c r="D752" s="168" t="s">
        <v>12</v>
      </c>
      <c r="E752" s="169">
        <v>43109</v>
      </c>
      <c r="F752" s="170">
        <v>5.27</v>
      </c>
      <c r="G752" s="171" t="s">
        <v>13</v>
      </c>
      <c r="H752" s="168" t="s">
        <v>18</v>
      </c>
      <c r="I752" s="171">
        <v>1</v>
      </c>
      <c r="J752" s="171" t="s">
        <v>15</v>
      </c>
      <c r="K752" s="171" t="s">
        <v>80</v>
      </c>
      <c r="L752" s="168" t="s">
        <v>77</v>
      </c>
      <c r="M752" s="168" t="s">
        <v>18</v>
      </c>
    </row>
    <row r="753" spans="1:13" x14ac:dyDescent="0.2">
      <c r="A753" s="168" t="s">
        <v>74</v>
      </c>
      <c r="B753" s="168" t="s">
        <v>75</v>
      </c>
      <c r="C753" s="168" t="s">
        <v>19</v>
      </c>
      <c r="D753" s="168" t="s">
        <v>12</v>
      </c>
      <c r="E753" s="169">
        <v>43109</v>
      </c>
      <c r="F753" s="170">
        <v>60.301869600000003</v>
      </c>
      <c r="G753" s="171" t="s">
        <v>16</v>
      </c>
      <c r="H753" s="168" t="s">
        <v>18</v>
      </c>
      <c r="I753" s="171">
        <v>1</v>
      </c>
      <c r="J753" s="171" t="s">
        <v>15</v>
      </c>
      <c r="K753" s="171" t="s">
        <v>80</v>
      </c>
      <c r="L753" s="168" t="s">
        <v>77</v>
      </c>
      <c r="M753" s="168" t="s">
        <v>18</v>
      </c>
    </row>
    <row r="754" spans="1:13" x14ac:dyDescent="0.2">
      <c r="A754" s="168" t="s">
        <v>74</v>
      </c>
      <c r="B754" s="168" t="s">
        <v>75</v>
      </c>
      <c r="C754" s="168" t="s">
        <v>19</v>
      </c>
      <c r="D754" s="168" t="s">
        <v>12</v>
      </c>
      <c r="E754" s="169">
        <v>43102</v>
      </c>
      <c r="F754" s="170">
        <v>6.88</v>
      </c>
      <c r="G754" s="171" t="s">
        <v>13</v>
      </c>
      <c r="H754" s="168" t="s">
        <v>14</v>
      </c>
      <c r="I754" s="171">
        <v>1</v>
      </c>
      <c r="J754" s="171" t="s">
        <v>15</v>
      </c>
      <c r="K754" s="171" t="s">
        <v>80</v>
      </c>
      <c r="L754" s="168" t="s">
        <v>77</v>
      </c>
      <c r="M754" s="168" t="s">
        <v>14</v>
      </c>
    </row>
    <row r="755" spans="1:13" x14ac:dyDescent="0.2">
      <c r="A755" s="168" t="s">
        <v>74</v>
      </c>
      <c r="B755" s="168" t="s">
        <v>75</v>
      </c>
      <c r="C755" s="168" t="s">
        <v>19</v>
      </c>
      <c r="D755" s="168" t="s">
        <v>12</v>
      </c>
      <c r="E755" s="169">
        <v>43102</v>
      </c>
      <c r="F755" s="170">
        <v>87.159004800000005</v>
      </c>
      <c r="G755" s="171" t="s">
        <v>16</v>
      </c>
      <c r="H755" s="168" t="s">
        <v>14</v>
      </c>
      <c r="I755" s="171">
        <v>1</v>
      </c>
      <c r="J755" s="171" t="s">
        <v>15</v>
      </c>
      <c r="K755" s="171" t="s">
        <v>80</v>
      </c>
      <c r="L755" s="168" t="s">
        <v>77</v>
      </c>
      <c r="M755" s="168" t="s">
        <v>14</v>
      </c>
    </row>
    <row r="756" spans="1:13" x14ac:dyDescent="0.2">
      <c r="A756" s="168" t="s">
        <v>74</v>
      </c>
      <c r="B756" s="168" t="s">
        <v>75</v>
      </c>
      <c r="C756" s="168" t="s">
        <v>19</v>
      </c>
      <c r="D756" s="168" t="s">
        <v>12</v>
      </c>
      <c r="E756" s="169">
        <v>43102</v>
      </c>
      <c r="F756" s="170">
        <v>4.05</v>
      </c>
      <c r="G756" s="171" t="s">
        <v>13</v>
      </c>
      <c r="H756" s="168" t="s">
        <v>18</v>
      </c>
      <c r="I756" s="171">
        <v>1</v>
      </c>
      <c r="J756" s="171" t="s">
        <v>15</v>
      </c>
      <c r="K756" s="171" t="s">
        <v>80</v>
      </c>
      <c r="L756" s="168" t="s">
        <v>77</v>
      </c>
      <c r="M756" s="168" t="s">
        <v>18</v>
      </c>
    </row>
    <row r="757" spans="1:13" x14ac:dyDescent="0.2">
      <c r="A757" s="168" t="s">
        <v>74</v>
      </c>
      <c r="B757" s="168" t="s">
        <v>75</v>
      </c>
      <c r="C757" s="168" t="s">
        <v>19</v>
      </c>
      <c r="D757" s="168" t="s">
        <v>12</v>
      </c>
      <c r="E757" s="169">
        <v>43102</v>
      </c>
      <c r="F757" s="170">
        <v>51.307262999999999</v>
      </c>
      <c r="G757" s="171" t="s">
        <v>16</v>
      </c>
      <c r="H757" s="168" t="s">
        <v>18</v>
      </c>
      <c r="I757" s="171">
        <v>1</v>
      </c>
      <c r="J757" s="171" t="s">
        <v>15</v>
      </c>
      <c r="K757" s="171" t="s">
        <v>80</v>
      </c>
      <c r="L757" s="168" t="s">
        <v>77</v>
      </c>
      <c r="M757" s="168" t="s">
        <v>18</v>
      </c>
    </row>
    <row r="758" spans="1:13" x14ac:dyDescent="0.2">
      <c r="A758" s="168" t="s">
        <v>74</v>
      </c>
      <c r="B758" s="168" t="s">
        <v>75</v>
      </c>
      <c r="C758" s="168" t="s">
        <v>19</v>
      </c>
      <c r="D758" s="168" t="s">
        <v>12</v>
      </c>
      <c r="E758" s="169">
        <v>43095</v>
      </c>
      <c r="F758" s="170">
        <v>9.07</v>
      </c>
      <c r="G758" s="171" t="s">
        <v>13</v>
      </c>
      <c r="H758" s="168" t="s">
        <v>14</v>
      </c>
      <c r="I758" s="171">
        <v>1</v>
      </c>
      <c r="J758" s="171" t="s">
        <v>15</v>
      </c>
      <c r="K758" s="171" t="s">
        <v>80</v>
      </c>
      <c r="L758" s="168" t="s">
        <v>77</v>
      </c>
      <c r="M758" s="168" t="s">
        <v>14</v>
      </c>
    </row>
    <row r="759" spans="1:13" x14ac:dyDescent="0.2">
      <c r="A759" s="168" t="s">
        <v>74</v>
      </c>
      <c r="B759" s="168" t="s">
        <v>75</v>
      </c>
      <c r="C759" s="168" t="s">
        <v>19</v>
      </c>
      <c r="D759" s="168" t="s">
        <v>12</v>
      </c>
      <c r="E759" s="169">
        <v>43095</v>
      </c>
      <c r="F759" s="170">
        <v>97.429214400000006</v>
      </c>
      <c r="G759" s="171" t="s">
        <v>16</v>
      </c>
      <c r="H759" s="168" t="s">
        <v>14</v>
      </c>
      <c r="I759" s="171">
        <v>1</v>
      </c>
      <c r="J759" s="171" t="s">
        <v>15</v>
      </c>
      <c r="K759" s="171" t="s">
        <v>80</v>
      </c>
      <c r="L759" s="168" t="s">
        <v>77</v>
      </c>
      <c r="M759" s="168" t="s">
        <v>14</v>
      </c>
    </row>
    <row r="760" spans="1:13" x14ac:dyDescent="0.2">
      <c r="A760" s="168" t="s">
        <v>74</v>
      </c>
      <c r="B760" s="168" t="s">
        <v>75</v>
      </c>
      <c r="C760" s="168" t="s">
        <v>19</v>
      </c>
      <c r="D760" s="168" t="s">
        <v>12</v>
      </c>
      <c r="E760" s="169">
        <v>43095</v>
      </c>
      <c r="F760" s="170">
        <v>4.87</v>
      </c>
      <c r="G760" s="171" t="s">
        <v>13</v>
      </c>
      <c r="H760" s="168" t="s">
        <v>18</v>
      </c>
      <c r="I760" s="171">
        <v>1</v>
      </c>
      <c r="J760" s="171" t="s">
        <v>15</v>
      </c>
      <c r="K760" s="171" t="s">
        <v>80</v>
      </c>
      <c r="L760" s="168" t="s">
        <v>77</v>
      </c>
      <c r="M760" s="168" t="s">
        <v>18</v>
      </c>
    </row>
    <row r="761" spans="1:13" x14ac:dyDescent="0.2">
      <c r="A761" s="168" t="s">
        <v>74</v>
      </c>
      <c r="B761" s="168" t="s">
        <v>75</v>
      </c>
      <c r="C761" s="168" t="s">
        <v>19</v>
      </c>
      <c r="D761" s="168" t="s">
        <v>12</v>
      </c>
      <c r="E761" s="169">
        <v>43095</v>
      </c>
      <c r="F761" s="170">
        <v>52.313150399999998</v>
      </c>
      <c r="G761" s="171" t="s">
        <v>16</v>
      </c>
      <c r="H761" s="168" t="s">
        <v>18</v>
      </c>
      <c r="I761" s="171">
        <v>1</v>
      </c>
      <c r="J761" s="171" t="s">
        <v>15</v>
      </c>
      <c r="K761" s="171" t="s">
        <v>80</v>
      </c>
      <c r="L761" s="168" t="s">
        <v>77</v>
      </c>
      <c r="M761" s="168" t="s">
        <v>18</v>
      </c>
    </row>
    <row r="762" spans="1:13" x14ac:dyDescent="0.2">
      <c r="A762" s="168" t="s">
        <v>74</v>
      </c>
      <c r="B762" s="168" t="s">
        <v>75</v>
      </c>
      <c r="C762" s="168" t="s">
        <v>19</v>
      </c>
      <c r="D762" s="168" t="s">
        <v>12</v>
      </c>
      <c r="E762" s="169">
        <v>43088</v>
      </c>
      <c r="F762" s="170">
        <v>10.1</v>
      </c>
      <c r="G762" s="171" t="s">
        <v>13</v>
      </c>
      <c r="H762" s="168" t="s">
        <v>14</v>
      </c>
      <c r="I762" s="171">
        <v>1</v>
      </c>
      <c r="J762" s="171" t="s">
        <v>15</v>
      </c>
      <c r="K762" s="171" t="s">
        <v>80</v>
      </c>
      <c r="L762" s="168" t="s">
        <v>77</v>
      </c>
      <c r="M762" s="168" t="s">
        <v>14</v>
      </c>
    </row>
    <row r="763" spans="1:13" x14ac:dyDescent="0.2">
      <c r="A763" s="168" t="s">
        <v>74</v>
      </c>
      <c r="B763" s="168" t="s">
        <v>75</v>
      </c>
      <c r="C763" s="168" t="s">
        <v>19</v>
      </c>
      <c r="D763" s="168" t="s">
        <v>12</v>
      </c>
      <c r="E763" s="169">
        <v>43088</v>
      </c>
      <c r="F763" s="170">
        <v>118.938408</v>
      </c>
      <c r="G763" s="171" t="s">
        <v>16</v>
      </c>
      <c r="H763" s="168" t="s">
        <v>14</v>
      </c>
      <c r="I763" s="171">
        <v>1</v>
      </c>
      <c r="J763" s="171" t="s">
        <v>15</v>
      </c>
      <c r="K763" s="171" t="s">
        <v>80</v>
      </c>
      <c r="L763" s="168" t="s">
        <v>77</v>
      </c>
      <c r="M763" s="168" t="s">
        <v>14</v>
      </c>
    </row>
    <row r="764" spans="1:13" x14ac:dyDescent="0.2">
      <c r="A764" s="168" t="s">
        <v>74</v>
      </c>
      <c r="B764" s="168" t="s">
        <v>75</v>
      </c>
      <c r="C764" s="168" t="s">
        <v>19</v>
      </c>
      <c r="D764" s="168" t="s">
        <v>12</v>
      </c>
      <c r="E764" s="169">
        <v>43088</v>
      </c>
      <c r="F764" s="170">
        <v>4.7699999999999996</v>
      </c>
      <c r="G764" s="171" t="s">
        <v>13</v>
      </c>
      <c r="H764" s="168" t="s">
        <v>18</v>
      </c>
      <c r="I764" s="171">
        <v>1</v>
      </c>
      <c r="J764" s="171" t="s">
        <v>15</v>
      </c>
      <c r="K764" s="171" t="s">
        <v>80</v>
      </c>
      <c r="L764" s="168" t="s">
        <v>77</v>
      </c>
      <c r="M764" s="168" t="s">
        <v>18</v>
      </c>
    </row>
    <row r="765" spans="1:13" x14ac:dyDescent="0.2">
      <c r="A765" s="168" t="s">
        <v>74</v>
      </c>
      <c r="B765" s="168" t="s">
        <v>75</v>
      </c>
      <c r="C765" s="168" t="s">
        <v>19</v>
      </c>
      <c r="D765" s="168" t="s">
        <v>12</v>
      </c>
      <c r="E765" s="169">
        <v>43088</v>
      </c>
      <c r="F765" s="170">
        <v>56.171901599999998</v>
      </c>
      <c r="G765" s="171" t="s">
        <v>16</v>
      </c>
      <c r="H765" s="168" t="s">
        <v>18</v>
      </c>
      <c r="I765" s="171">
        <v>1</v>
      </c>
      <c r="J765" s="171" t="s">
        <v>15</v>
      </c>
      <c r="K765" s="171" t="s">
        <v>80</v>
      </c>
      <c r="L765" s="168" t="s">
        <v>77</v>
      </c>
      <c r="M765" s="168" t="s">
        <v>18</v>
      </c>
    </row>
    <row r="766" spans="1:13" x14ac:dyDescent="0.2">
      <c r="A766" s="168" t="s">
        <v>74</v>
      </c>
      <c r="B766" s="168" t="s">
        <v>75</v>
      </c>
      <c r="C766" s="168" t="s">
        <v>19</v>
      </c>
      <c r="D766" s="168" t="s">
        <v>12</v>
      </c>
      <c r="E766" s="169">
        <v>43081</v>
      </c>
      <c r="F766" s="170">
        <v>7.21</v>
      </c>
      <c r="G766" s="171" t="s">
        <v>13</v>
      </c>
      <c r="H766" s="168" t="s">
        <v>14</v>
      </c>
      <c r="I766" s="171">
        <v>1</v>
      </c>
      <c r="J766" s="171" t="s">
        <v>15</v>
      </c>
      <c r="K766" s="171" t="s">
        <v>80</v>
      </c>
      <c r="L766" s="168" t="s">
        <v>77</v>
      </c>
      <c r="M766" s="168" t="s">
        <v>14</v>
      </c>
    </row>
    <row r="767" spans="1:13" x14ac:dyDescent="0.2">
      <c r="A767" s="168" t="s">
        <v>74</v>
      </c>
      <c r="B767" s="168" t="s">
        <v>75</v>
      </c>
      <c r="C767" s="168" t="s">
        <v>19</v>
      </c>
      <c r="D767" s="168" t="s">
        <v>12</v>
      </c>
      <c r="E767" s="169">
        <v>43081</v>
      </c>
      <c r="F767" s="170">
        <v>84.003565800000004</v>
      </c>
      <c r="G767" s="171" t="s">
        <v>16</v>
      </c>
      <c r="H767" s="168" t="s">
        <v>14</v>
      </c>
      <c r="I767" s="171">
        <v>1</v>
      </c>
      <c r="J767" s="171" t="s">
        <v>15</v>
      </c>
      <c r="K767" s="171" t="s">
        <v>80</v>
      </c>
      <c r="L767" s="168" t="s">
        <v>77</v>
      </c>
      <c r="M767" s="168" t="s">
        <v>14</v>
      </c>
    </row>
    <row r="768" spans="1:13" x14ac:dyDescent="0.2">
      <c r="A768" s="168" t="s">
        <v>74</v>
      </c>
      <c r="B768" s="168" t="s">
        <v>75</v>
      </c>
      <c r="C768" s="168" t="s">
        <v>19</v>
      </c>
      <c r="D768" s="168" t="s">
        <v>12</v>
      </c>
      <c r="E768" s="169">
        <v>43081</v>
      </c>
      <c r="F768" s="170">
        <v>4.5</v>
      </c>
      <c r="G768" s="171" t="s">
        <v>13</v>
      </c>
      <c r="H768" s="168" t="s">
        <v>18</v>
      </c>
      <c r="I768" s="171">
        <v>1</v>
      </c>
      <c r="J768" s="171" t="s">
        <v>15</v>
      </c>
      <c r="K768" s="171" t="s">
        <v>80</v>
      </c>
      <c r="L768" s="168" t="s">
        <v>77</v>
      </c>
      <c r="M768" s="168" t="s">
        <v>18</v>
      </c>
    </row>
    <row r="769" spans="1:13" x14ac:dyDescent="0.2">
      <c r="A769" s="168" t="s">
        <v>74</v>
      </c>
      <c r="B769" s="168" t="s">
        <v>75</v>
      </c>
      <c r="C769" s="168" t="s">
        <v>19</v>
      </c>
      <c r="D769" s="168" t="s">
        <v>12</v>
      </c>
      <c r="E769" s="169">
        <v>43081</v>
      </c>
      <c r="F769" s="170">
        <v>52.429409999999997</v>
      </c>
      <c r="G769" s="171" t="s">
        <v>16</v>
      </c>
      <c r="H769" s="168" t="s">
        <v>18</v>
      </c>
      <c r="I769" s="171">
        <v>1</v>
      </c>
      <c r="J769" s="171" t="s">
        <v>15</v>
      </c>
      <c r="K769" s="171" t="s">
        <v>80</v>
      </c>
      <c r="L769" s="168" t="s">
        <v>77</v>
      </c>
      <c r="M769" s="168" t="s">
        <v>18</v>
      </c>
    </row>
    <row r="770" spans="1:13" x14ac:dyDescent="0.2">
      <c r="A770" s="168" t="s">
        <v>74</v>
      </c>
      <c r="B770" s="168" t="s">
        <v>75</v>
      </c>
      <c r="C770" s="168" t="s">
        <v>19</v>
      </c>
      <c r="D770" s="168" t="s">
        <v>12</v>
      </c>
      <c r="E770" s="169">
        <v>43074</v>
      </c>
      <c r="F770" s="170">
        <v>7.94</v>
      </c>
      <c r="G770" s="171" t="s">
        <v>13</v>
      </c>
      <c r="H770" s="168" t="s">
        <v>14</v>
      </c>
      <c r="I770" s="171">
        <v>1</v>
      </c>
      <c r="J770" s="171" t="s">
        <v>15</v>
      </c>
      <c r="K770" s="171" t="s">
        <v>80</v>
      </c>
      <c r="L770" s="168" t="s">
        <v>77</v>
      </c>
      <c r="M770" s="168" t="s">
        <v>14</v>
      </c>
    </row>
    <row r="771" spans="1:13" x14ac:dyDescent="0.2">
      <c r="A771" s="168" t="s">
        <v>74</v>
      </c>
      <c r="B771" s="168" t="s">
        <v>75</v>
      </c>
      <c r="C771" s="168" t="s">
        <v>19</v>
      </c>
      <c r="D771" s="168" t="s">
        <v>12</v>
      </c>
      <c r="E771" s="169">
        <v>43074</v>
      </c>
      <c r="F771" s="170">
        <v>93.104757599999999</v>
      </c>
      <c r="G771" s="171" t="s">
        <v>16</v>
      </c>
      <c r="H771" s="168" t="s">
        <v>14</v>
      </c>
      <c r="I771" s="171">
        <v>1</v>
      </c>
      <c r="J771" s="171" t="s">
        <v>15</v>
      </c>
      <c r="K771" s="171" t="s">
        <v>80</v>
      </c>
      <c r="L771" s="168" t="s">
        <v>77</v>
      </c>
      <c r="M771" s="168" t="s">
        <v>14</v>
      </c>
    </row>
    <row r="772" spans="1:13" x14ac:dyDescent="0.2">
      <c r="A772" s="168" t="s">
        <v>74</v>
      </c>
      <c r="B772" s="168" t="s">
        <v>75</v>
      </c>
      <c r="C772" s="168" t="s">
        <v>19</v>
      </c>
      <c r="D772" s="168" t="s">
        <v>12</v>
      </c>
      <c r="E772" s="169">
        <v>43074</v>
      </c>
      <c r="F772" s="170">
        <v>4.67</v>
      </c>
      <c r="G772" s="171" t="s">
        <v>13</v>
      </c>
      <c r="H772" s="168" t="s">
        <v>18</v>
      </c>
      <c r="I772" s="171">
        <v>1</v>
      </c>
      <c r="J772" s="171" t="s">
        <v>15</v>
      </c>
      <c r="K772" s="171" t="s">
        <v>80</v>
      </c>
      <c r="L772" s="168" t="s">
        <v>77</v>
      </c>
      <c r="M772" s="168" t="s">
        <v>18</v>
      </c>
    </row>
    <row r="773" spans="1:13" x14ac:dyDescent="0.2">
      <c r="A773" s="168" t="s">
        <v>74</v>
      </c>
      <c r="B773" s="168" t="s">
        <v>75</v>
      </c>
      <c r="C773" s="168" t="s">
        <v>19</v>
      </c>
      <c r="D773" s="168" t="s">
        <v>12</v>
      </c>
      <c r="E773" s="169">
        <v>43074</v>
      </c>
      <c r="F773" s="170">
        <v>54.760606799999998</v>
      </c>
      <c r="G773" s="171" t="s">
        <v>16</v>
      </c>
      <c r="H773" s="168" t="s">
        <v>18</v>
      </c>
      <c r="I773" s="171">
        <v>1</v>
      </c>
      <c r="J773" s="171" t="s">
        <v>15</v>
      </c>
      <c r="K773" s="171" t="s">
        <v>80</v>
      </c>
      <c r="L773" s="168" t="s">
        <v>77</v>
      </c>
      <c r="M773" s="168" t="s">
        <v>18</v>
      </c>
    </row>
    <row r="774" spans="1:13" x14ac:dyDescent="0.2">
      <c r="A774" s="168" t="s">
        <v>74</v>
      </c>
      <c r="B774" s="168" t="s">
        <v>75</v>
      </c>
      <c r="C774" s="168" t="s">
        <v>19</v>
      </c>
      <c r="D774" s="168" t="s">
        <v>12</v>
      </c>
      <c r="E774" s="169">
        <v>43067</v>
      </c>
      <c r="F774" s="170">
        <v>6.56</v>
      </c>
      <c r="G774" s="171" t="s">
        <v>13</v>
      </c>
      <c r="H774" s="168" t="s">
        <v>14</v>
      </c>
      <c r="I774" s="171">
        <v>1</v>
      </c>
      <c r="J774" s="171" t="s">
        <v>15</v>
      </c>
      <c r="K774" s="171" t="s">
        <v>80</v>
      </c>
      <c r="L774" s="168" t="s">
        <v>77</v>
      </c>
      <c r="M774" s="168" t="s">
        <v>14</v>
      </c>
    </row>
    <row r="775" spans="1:13" x14ac:dyDescent="0.2">
      <c r="A775" s="168" t="s">
        <v>74</v>
      </c>
      <c r="B775" s="168" t="s">
        <v>75</v>
      </c>
      <c r="C775" s="168" t="s">
        <v>19</v>
      </c>
      <c r="D775" s="168" t="s">
        <v>12</v>
      </c>
      <c r="E775" s="169">
        <v>43067</v>
      </c>
      <c r="F775" s="170">
        <v>75.719193599999997</v>
      </c>
      <c r="G775" s="171" t="s">
        <v>16</v>
      </c>
      <c r="H775" s="168" t="s">
        <v>14</v>
      </c>
      <c r="I775" s="171">
        <v>1</v>
      </c>
      <c r="J775" s="171" t="s">
        <v>15</v>
      </c>
      <c r="K775" s="171" t="s">
        <v>80</v>
      </c>
      <c r="L775" s="168" t="s">
        <v>77</v>
      </c>
      <c r="M775" s="168" t="s">
        <v>14</v>
      </c>
    </row>
    <row r="776" spans="1:13" x14ac:dyDescent="0.2">
      <c r="A776" s="168" t="s">
        <v>74</v>
      </c>
      <c r="B776" s="168" t="s">
        <v>75</v>
      </c>
      <c r="C776" s="168" t="s">
        <v>19</v>
      </c>
      <c r="D776" s="168" t="s">
        <v>12</v>
      </c>
      <c r="E776" s="169">
        <v>43067</v>
      </c>
      <c r="F776" s="170">
        <v>4.82</v>
      </c>
      <c r="G776" s="171" t="s">
        <v>13</v>
      </c>
      <c r="H776" s="168" t="s">
        <v>18</v>
      </c>
      <c r="I776" s="171">
        <v>1</v>
      </c>
      <c r="J776" s="171" t="s">
        <v>15</v>
      </c>
      <c r="K776" s="171" t="s">
        <v>80</v>
      </c>
      <c r="L776" s="168" t="s">
        <v>77</v>
      </c>
      <c r="M776" s="168" t="s">
        <v>18</v>
      </c>
    </row>
    <row r="777" spans="1:13" x14ac:dyDescent="0.2">
      <c r="A777" s="168" t="s">
        <v>74</v>
      </c>
      <c r="B777" s="168" t="s">
        <v>75</v>
      </c>
      <c r="C777" s="168" t="s">
        <v>19</v>
      </c>
      <c r="D777" s="168" t="s">
        <v>12</v>
      </c>
      <c r="E777" s="169">
        <v>43067</v>
      </c>
      <c r="F777" s="170">
        <v>55.635139199999998</v>
      </c>
      <c r="G777" s="171" t="s">
        <v>16</v>
      </c>
      <c r="H777" s="168" t="s">
        <v>18</v>
      </c>
      <c r="I777" s="171">
        <v>1</v>
      </c>
      <c r="J777" s="171" t="s">
        <v>15</v>
      </c>
      <c r="K777" s="171" t="s">
        <v>80</v>
      </c>
      <c r="L777" s="168" t="s">
        <v>77</v>
      </c>
      <c r="M777" s="168" t="s">
        <v>18</v>
      </c>
    </row>
    <row r="778" spans="1:13" x14ac:dyDescent="0.2">
      <c r="A778" s="168" t="s">
        <v>74</v>
      </c>
      <c r="B778" s="168" t="s">
        <v>75</v>
      </c>
      <c r="C778" s="168" t="s">
        <v>19</v>
      </c>
      <c r="D778" s="168" t="s">
        <v>12</v>
      </c>
      <c r="E778" s="169">
        <v>43059</v>
      </c>
      <c r="F778" s="170">
        <v>6.17</v>
      </c>
      <c r="G778" s="171" t="s">
        <v>13</v>
      </c>
      <c r="H778" s="168" t="s">
        <v>14</v>
      </c>
      <c r="I778" s="171">
        <v>1</v>
      </c>
      <c r="J778" s="171" t="s">
        <v>15</v>
      </c>
      <c r="K778" s="171" t="s">
        <v>80</v>
      </c>
      <c r="L778" s="168" t="s">
        <v>77</v>
      </c>
      <c r="M778" s="168" t="s">
        <v>14</v>
      </c>
    </row>
    <row r="779" spans="1:13" x14ac:dyDescent="0.2">
      <c r="A779" s="168" t="s">
        <v>74</v>
      </c>
      <c r="B779" s="168" t="s">
        <v>75</v>
      </c>
      <c r="C779" s="168" t="s">
        <v>19</v>
      </c>
      <c r="D779" s="168" t="s">
        <v>12</v>
      </c>
      <c r="E779" s="169">
        <v>43059</v>
      </c>
      <c r="F779" s="170">
        <v>75.900255000000001</v>
      </c>
      <c r="G779" s="171" t="s">
        <v>16</v>
      </c>
      <c r="H779" s="168" t="s">
        <v>14</v>
      </c>
      <c r="I779" s="171">
        <v>1</v>
      </c>
      <c r="J779" s="171" t="s">
        <v>15</v>
      </c>
      <c r="K779" s="171" t="s">
        <v>80</v>
      </c>
      <c r="L779" s="168" t="s">
        <v>77</v>
      </c>
      <c r="M779" s="168" t="s">
        <v>14</v>
      </c>
    </row>
    <row r="780" spans="1:13" x14ac:dyDescent="0.2">
      <c r="A780" s="168" t="s">
        <v>74</v>
      </c>
      <c r="B780" s="168" t="s">
        <v>75</v>
      </c>
      <c r="C780" s="168" t="s">
        <v>19</v>
      </c>
      <c r="D780" s="168" t="s">
        <v>12</v>
      </c>
      <c r="E780" s="169">
        <v>43059</v>
      </c>
      <c r="F780" s="170">
        <v>4.5199999999999996</v>
      </c>
      <c r="G780" s="171" t="s">
        <v>13</v>
      </c>
      <c r="H780" s="168" t="s">
        <v>18</v>
      </c>
      <c r="I780" s="171">
        <v>1</v>
      </c>
      <c r="J780" s="171" t="s">
        <v>15</v>
      </c>
      <c r="K780" s="171" t="s">
        <v>80</v>
      </c>
      <c r="L780" s="168" t="s">
        <v>77</v>
      </c>
      <c r="M780" s="168" t="s">
        <v>18</v>
      </c>
    </row>
    <row r="781" spans="1:13" x14ac:dyDescent="0.2">
      <c r="A781" s="168" t="s">
        <v>74</v>
      </c>
      <c r="B781" s="168" t="s">
        <v>75</v>
      </c>
      <c r="C781" s="168" t="s">
        <v>19</v>
      </c>
      <c r="D781" s="168" t="s">
        <v>12</v>
      </c>
      <c r="E781" s="169">
        <v>43059</v>
      </c>
      <c r="F781" s="170">
        <v>55.602780000000003</v>
      </c>
      <c r="G781" s="171" t="s">
        <v>16</v>
      </c>
      <c r="H781" s="168" t="s">
        <v>18</v>
      </c>
      <c r="I781" s="171">
        <v>1</v>
      </c>
      <c r="J781" s="171" t="s">
        <v>15</v>
      </c>
      <c r="K781" s="171" t="s">
        <v>80</v>
      </c>
      <c r="L781" s="168" t="s">
        <v>77</v>
      </c>
      <c r="M781" s="168" t="s">
        <v>18</v>
      </c>
    </row>
    <row r="782" spans="1:13" x14ac:dyDescent="0.2">
      <c r="A782" s="168" t="s">
        <v>74</v>
      </c>
      <c r="B782" s="168" t="s">
        <v>75</v>
      </c>
      <c r="C782" s="168" t="s">
        <v>19</v>
      </c>
      <c r="D782" s="168" t="s">
        <v>12</v>
      </c>
      <c r="E782" s="169">
        <v>43053</v>
      </c>
      <c r="F782" s="170">
        <v>8.65</v>
      </c>
      <c r="G782" s="171" t="s">
        <v>13</v>
      </c>
      <c r="H782" s="168" t="s">
        <v>14</v>
      </c>
      <c r="I782" s="171">
        <v>1</v>
      </c>
      <c r="J782" s="171" t="s">
        <v>15</v>
      </c>
      <c r="K782" s="171" t="s">
        <v>80</v>
      </c>
      <c r="L782" s="168" t="s">
        <v>77</v>
      </c>
      <c r="M782" s="168" t="s">
        <v>14</v>
      </c>
    </row>
    <row r="783" spans="1:13" x14ac:dyDescent="0.2">
      <c r="A783" s="168" t="s">
        <v>74</v>
      </c>
      <c r="B783" s="168" t="s">
        <v>75</v>
      </c>
      <c r="C783" s="168" t="s">
        <v>19</v>
      </c>
      <c r="D783" s="168" t="s">
        <v>12</v>
      </c>
      <c r="E783" s="169">
        <v>43053</v>
      </c>
      <c r="F783" s="170">
        <v>103.88303999999999</v>
      </c>
      <c r="G783" s="171" t="s">
        <v>16</v>
      </c>
      <c r="H783" s="168" t="s">
        <v>14</v>
      </c>
      <c r="I783" s="171">
        <v>1</v>
      </c>
      <c r="J783" s="171" t="s">
        <v>15</v>
      </c>
      <c r="K783" s="171" t="s">
        <v>80</v>
      </c>
      <c r="L783" s="168" t="s">
        <v>77</v>
      </c>
      <c r="M783" s="168" t="s">
        <v>14</v>
      </c>
    </row>
    <row r="784" spans="1:13" x14ac:dyDescent="0.2">
      <c r="A784" s="168" t="s">
        <v>74</v>
      </c>
      <c r="B784" s="168" t="s">
        <v>75</v>
      </c>
      <c r="C784" s="168" t="s">
        <v>19</v>
      </c>
      <c r="D784" s="168" t="s">
        <v>12</v>
      </c>
      <c r="E784" s="169">
        <v>43053</v>
      </c>
      <c r="F784" s="170">
        <v>5.01</v>
      </c>
      <c r="G784" s="171" t="s">
        <v>13</v>
      </c>
      <c r="H784" s="168" t="s">
        <v>18</v>
      </c>
      <c r="I784" s="171">
        <v>1</v>
      </c>
      <c r="J784" s="171" t="s">
        <v>15</v>
      </c>
      <c r="K784" s="171" t="s">
        <v>80</v>
      </c>
      <c r="L784" s="168" t="s">
        <v>77</v>
      </c>
      <c r="M784" s="168" t="s">
        <v>18</v>
      </c>
    </row>
    <row r="785" spans="1:13" x14ac:dyDescent="0.2">
      <c r="A785" s="168" t="s">
        <v>74</v>
      </c>
      <c r="B785" s="168" t="s">
        <v>75</v>
      </c>
      <c r="C785" s="168" t="s">
        <v>19</v>
      </c>
      <c r="D785" s="168" t="s">
        <v>12</v>
      </c>
      <c r="E785" s="169">
        <v>43053</v>
      </c>
      <c r="F785" s="170">
        <v>60.168095999999998</v>
      </c>
      <c r="G785" s="171" t="s">
        <v>16</v>
      </c>
      <c r="H785" s="168" t="s">
        <v>18</v>
      </c>
      <c r="I785" s="171">
        <v>1</v>
      </c>
      <c r="J785" s="171" t="s">
        <v>15</v>
      </c>
      <c r="K785" s="171" t="s">
        <v>80</v>
      </c>
      <c r="L785" s="168" t="s">
        <v>77</v>
      </c>
      <c r="M785" s="168" t="s">
        <v>18</v>
      </c>
    </row>
    <row r="786" spans="1:13" x14ac:dyDescent="0.2">
      <c r="A786" s="168" t="s">
        <v>74</v>
      </c>
      <c r="B786" s="168" t="s">
        <v>75</v>
      </c>
      <c r="C786" s="168" t="s">
        <v>19</v>
      </c>
      <c r="D786" s="168" t="s">
        <v>12</v>
      </c>
      <c r="E786" s="169">
        <v>43046</v>
      </c>
      <c r="F786" s="170">
        <v>5.81</v>
      </c>
      <c r="G786" s="171" t="s">
        <v>13</v>
      </c>
      <c r="H786" s="168" t="s">
        <v>14</v>
      </c>
      <c r="I786" s="171">
        <v>1</v>
      </c>
      <c r="J786" s="171" t="s">
        <v>15</v>
      </c>
      <c r="K786" s="171" t="s">
        <v>80</v>
      </c>
      <c r="L786" s="168" t="s">
        <v>77</v>
      </c>
      <c r="M786" s="168" t="s">
        <v>14</v>
      </c>
    </row>
    <row r="787" spans="1:13" x14ac:dyDescent="0.2">
      <c r="A787" s="168" t="s">
        <v>74</v>
      </c>
      <c r="B787" s="168" t="s">
        <v>75</v>
      </c>
      <c r="C787" s="168" t="s">
        <v>19</v>
      </c>
      <c r="D787" s="168" t="s">
        <v>12</v>
      </c>
      <c r="E787" s="169">
        <v>43046</v>
      </c>
      <c r="F787" s="170">
        <v>72.053179799999995</v>
      </c>
      <c r="G787" s="171" t="s">
        <v>16</v>
      </c>
      <c r="H787" s="168" t="s">
        <v>14</v>
      </c>
      <c r="I787" s="171">
        <v>1</v>
      </c>
      <c r="J787" s="171" t="s">
        <v>15</v>
      </c>
      <c r="K787" s="171" t="s">
        <v>80</v>
      </c>
      <c r="L787" s="168" t="s">
        <v>77</v>
      </c>
      <c r="M787" s="168" t="s">
        <v>14</v>
      </c>
    </row>
    <row r="788" spans="1:13" x14ac:dyDescent="0.2">
      <c r="A788" s="168" t="s">
        <v>74</v>
      </c>
      <c r="B788" s="168" t="s">
        <v>75</v>
      </c>
      <c r="C788" s="168" t="s">
        <v>19</v>
      </c>
      <c r="D788" s="168" t="s">
        <v>12</v>
      </c>
      <c r="E788" s="169">
        <v>43046</v>
      </c>
      <c r="F788" s="170">
        <v>4.22</v>
      </c>
      <c r="G788" s="171" t="s">
        <v>13</v>
      </c>
      <c r="H788" s="168" t="s">
        <v>18</v>
      </c>
      <c r="I788" s="171">
        <v>1</v>
      </c>
      <c r="J788" s="171" t="s">
        <v>15</v>
      </c>
      <c r="K788" s="171" t="s">
        <v>80</v>
      </c>
      <c r="L788" s="168" t="s">
        <v>77</v>
      </c>
      <c r="M788" s="168" t="s">
        <v>18</v>
      </c>
    </row>
    <row r="789" spans="1:13" x14ac:dyDescent="0.2">
      <c r="A789" s="168" t="s">
        <v>74</v>
      </c>
      <c r="B789" s="168" t="s">
        <v>75</v>
      </c>
      <c r="C789" s="168" t="s">
        <v>19</v>
      </c>
      <c r="D789" s="168" t="s">
        <v>12</v>
      </c>
      <c r="E789" s="169">
        <v>43046</v>
      </c>
      <c r="F789" s="170">
        <v>52.334667600000003</v>
      </c>
      <c r="G789" s="171" t="s">
        <v>16</v>
      </c>
      <c r="H789" s="168" t="s">
        <v>18</v>
      </c>
      <c r="I789" s="171">
        <v>1</v>
      </c>
      <c r="J789" s="171" t="s">
        <v>15</v>
      </c>
      <c r="K789" s="171" t="s">
        <v>80</v>
      </c>
      <c r="L789" s="168" t="s">
        <v>77</v>
      </c>
      <c r="M789" s="168" t="s">
        <v>18</v>
      </c>
    </row>
    <row r="790" spans="1:13" x14ac:dyDescent="0.2">
      <c r="A790" s="168" t="s">
        <v>74</v>
      </c>
      <c r="B790" s="168" t="s">
        <v>75</v>
      </c>
      <c r="C790" s="168" t="s">
        <v>19</v>
      </c>
      <c r="D790" s="168" t="s">
        <v>12</v>
      </c>
      <c r="E790" s="169">
        <v>43039</v>
      </c>
      <c r="F790" s="170">
        <v>5.91</v>
      </c>
      <c r="G790" s="171" t="s">
        <v>13</v>
      </c>
      <c r="H790" s="168" t="s">
        <v>14</v>
      </c>
      <c r="I790" s="171">
        <v>1</v>
      </c>
      <c r="J790" s="171" t="s">
        <v>15</v>
      </c>
      <c r="K790" s="171" t="s">
        <v>80</v>
      </c>
      <c r="L790" s="168" t="s">
        <v>77</v>
      </c>
      <c r="M790" s="168" t="s">
        <v>14</v>
      </c>
    </row>
    <row r="791" spans="1:13" x14ac:dyDescent="0.2">
      <c r="A791" s="168" t="s">
        <v>74</v>
      </c>
      <c r="B791" s="168" t="s">
        <v>75</v>
      </c>
      <c r="C791" s="168" t="s">
        <v>19</v>
      </c>
      <c r="D791" s="168" t="s">
        <v>12</v>
      </c>
      <c r="E791" s="169">
        <v>43039</v>
      </c>
      <c r="F791" s="170">
        <v>75.708518400000003</v>
      </c>
      <c r="G791" s="171" t="s">
        <v>16</v>
      </c>
      <c r="H791" s="168" t="s">
        <v>14</v>
      </c>
      <c r="I791" s="171">
        <v>1</v>
      </c>
      <c r="J791" s="171" t="s">
        <v>15</v>
      </c>
      <c r="K791" s="171" t="s">
        <v>80</v>
      </c>
      <c r="L791" s="168" t="s">
        <v>77</v>
      </c>
      <c r="M791" s="168" t="s">
        <v>14</v>
      </c>
    </row>
    <row r="792" spans="1:13" x14ac:dyDescent="0.2">
      <c r="A792" s="168" t="s">
        <v>74</v>
      </c>
      <c r="B792" s="168" t="s">
        <v>75</v>
      </c>
      <c r="C792" s="168" t="s">
        <v>19</v>
      </c>
      <c r="D792" s="168" t="s">
        <v>12</v>
      </c>
      <c r="E792" s="169">
        <v>43039</v>
      </c>
      <c r="F792" s="170">
        <v>3.7</v>
      </c>
      <c r="G792" s="171" t="s">
        <v>13</v>
      </c>
      <c r="H792" s="168" t="s">
        <v>18</v>
      </c>
      <c r="I792" s="171">
        <v>1</v>
      </c>
      <c r="J792" s="171" t="s">
        <v>15</v>
      </c>
      <c r="K792" s="171" t="s">
        <v>80</v>
      </c>
      <c r="L792" s="168" t="s">
        <v>77</v>
      </c>
      <c r="M792" s="168" t="s">
        <v>18</v>
      </c>
    </row>
    <row r="793" spans="1:13" x14ac:dyDescent="0.2">
      <c r="A793" s="168" t="s">
        <v>74</v>
      </c>
      <c r="B793" s="168" t="s">
        <v>75</v>
      </c>
      <c r="C793" s="168" t="s">
        <v>19</v>
      </c>
      <c r="D793" s="168" t="s">
        <v>12</v>
      </c>
      <c r="E793" s="169">
        <v>43039</v>
      </c>
      <c r="F793" s="170">
        <v>47.397888000000002</v>
      </c>
      <c r="G793" s="171" t="s">
        <v>16</v>
      </c>
      <c r="H793" s="168" t="s">
        <v>18</v>
      </c>
      <c r="I793" s="171">
        <v>1</v>
      </c>
      <c r="J793" s="171" t="s">
        <v>15</v>
      </c>
      <c r="K793" s="171" t="s">
        <v>80</v>
      </c>
      <c r="L793" s="168" t="s">
        <v>77</v>
      </c>
      <c r="M793" s="168" t="s">
        <v>18</v>
      </c>
    </row>
    <row r="794" spans="1:13" x14ac:dyDescent="0.2">
      <c r="A794" s="168" t="s">
        <v>74</v>
      </c>
      <c r="B794" s="168" t="s">
        <v>75</v>
      </c>
      <c r="C794" s="168" t="s">
        <v>19</v>
      </c>
      <c r="D794" s="168" t="s">
        <v>12</v>
      </c>
      <c r="E794" s="169">
        <v>43032</v>
      </c>
      <c r="F794" s="170">
        <v>4.9400000000000004</v>
      </c>
      <c r="G794" s="171" t="s">
        <v>13</v>
      </c>
      <c r="H794" s="168" t="s">
        <v>14</v>
      </c>
      <c r="I794" s="171">
        <v>1</v>
      </c>
      <c r="J794" s="171" t="s">
        <v>15</v>
      </c>
      <c r="K794" s="171" t="s">
        <v>80</v>
      </c>
      <c r="L794" s="168" t="s">
        <v>77</v>
      </c>
      <c r="M794" s="168" t="s">
        <v>14</v>
      </c>
    </row>
    <row r="795" spans="1:13" x14ac:dyDescent="0.2">
      <c r="A795" s="168" t="s">
        <v>74</v>
      </c>
      <c r="B795" s="168" t="s">
        <v>75</v>
      </c>
      <c r="C795" s="168" t="s">
        <v>19</v>
      </c>
      <c r="D795" s="168" t="s">
        <v>12</v>
      </c>
      <c r="E795" s="169">
        <v>43032</v>
      </c>
      <c r="F795" s="170">
        <v>68.844531599999996</v>
      </c>
      <c r="G795" s="171" t="s">
        <v>16</v>
      </c>
      <c r="H795" s="168" t="s">
        <v>14</v>
      </c>
      <c r="I795" s="171">
        <v>1</v>
      </c>
      <c r="J795" s="171" t="s">
        <v>15</v>
      </c>
      <c r="K795" s="171" t="s">
        <v>80</v>
      </c>
      <c r="L795" s="168" t="s">
        <v>77</v>
      </c>
      <c r="M795" s="168" t="s">
        <v>14</v>
      </c>
    </row>
    <row r="796" spans="1:13" x14ac:dyDescent="0.2">
      <c r="A796" s="168" t="s">
        <v>74</v>
      </c>
      <c r="B796" s="168" t="s">
        <v>75</v>
      </c>
      <c r="C796" s="168" t="s">
        <v>19</v>
      </c>
      <c r="D796" s="168" t="s">
        <v>12</v>
      </c>
      <c r="E796" s="169">
        <v>43032</v>
      </c>
      <c r="F796" s="170">
        <v>3.74</v>
      </c>
      <c r="G796" s="171" t="s">
        <v>13</v>
      </c>
      <c r="H796" s="168" t="s">
        <v>18</v>
      </c>
      <c r="I796" s="171">
        <v>1</v>
      </c>
      <c r="J796" s="171" t="s">
        <v>15</v>
      </c>
      <c r="K796" s="171" t="s">
        <v>80</v>
      </c>
      <c r="L796" s="168" t="s">
        <v>77</v>
      </c>
      <c r="M796" s="168" t="s">
        <v>18</v>
      </c>
    </row>
    <row r="797" spans="1:13" x14ac:dyDescent="0.2">
      <c r="A797" s="168" t="s">
        <v>74</v>
      </c>
      <c r="B797" s="168" t="s">
        <v>75</v>
      </c>
      <c r="C797" s="168" t="s">
        <v>19</v>
      </c>
      <c r="D797" s="168" t="s">
        <v>12</v>
      </c>
      <c r="E797" s="169">
        <v>43032</v>
      </c>
      <c r="F797" s="170">
        <v>52.121163600000003</v>
      </c>
      <c r="G797" s="171" t="s">
        <v>16</v>
      </c>
      <c r="H797" s="168" t="s">
        <v>18</v>
      </c>
      <c r="I797" s="171">
        <v>1</v>
      </c>
      <c r="J797" s="171" t="s">
        <v>15</v>
      </c>
      <c r="K797" s="171" t="s">
        <v>80</v>
      </c>
      <c r="L797" s="168" t="s">
        <v>77</v>
      </c>
      <c r="M797" s="168" t="s">
        <v>18</v>
      </c>
    </row>
    <row r="798" spans="1:13" x14ac:dyDescent="0.2">
      <c r="A798" s="168" t="s">
        <v>74</v>
      </c>
      <c r="B798" s="168" t="s">
        <v>75</v>
      </c>
      <c r="C798" s="168" t="s">
        <v>19</v>
      </c>
      <c r="D798" s="168" t="s">
        <v>12</v>
      </c>
      <c r="E798" s="169">
        <v>43025</v>
      </c>
      <c r="F798" s="170">
        <v>4.9000000000000004</v>
      </c>
      <c r="G798" s="171" t="s">
        <v>13</v>
      </c>
      <c r="H798" s="168" t="s">
        <v>14</v>
      </c>
      <c r="I798" s="171">
        <v>1</v>
      </c>
      <c r="J798" s="171" t="s">
        <v>15</v>
      </c>
      <c r="K798" s="171" t="s">
        <v>80</v>
      </c>
      <c r="L798" s="168" t="s">
        <v>77</v>
      </c>
      <c r="M798" s="168" t="s">
        <v>14</v>
      </c>
    </row>
    <row r="799" spans="1:13" x14ac:dyDescent="0.2">
      <c r="A799" s="168" t="s">
        <v>74</v>
      </c>
      <c r="B799" s="168" t="s">
        <v>75</v>
      </c>
      <c r="C799" s="168" t="s">
        <v>19</v>
      </c>
      <c r="D799" s="168" t="s">
        <v>12</v>
      </c>
      <c r="E799" s="169">
        <v>43025</v>
      </c>
      <c r="F799" s="170">
        <v>67.960158000000007</v>
      </c>
      <c r="G799" s="171" t="s">
        <v>16</v>
      </c>
      <c r="H799" s="168" t="s">
        <v>14</v>
      </c>
      <c r="I799" s="171">
        <v>1</v>
      </c>
      <c r="J799" s="171" t="s">
        <v>15</v>
      </c>
      <c r="K799" s="171" t="s">
        <v>80</v>
      </c>
      <c r="L799" s="168" t="s">
        <v>77</v>
      </c>
      <c r="M799" s="168" t="s">
        <v>14</v>
      </c>
    </row>
    <row r="800" spans="1:13" x14ac:dyDescent="0.2">
      <c r="A800" s="168" t="s">
        <v>74</v>
      </c>
      <c r="B800" s="168" t="s">
        <v>75</v>
      </c>
      <c r="C800" s="168" t="s">
        <v>19</v>
      </c>
      <c r="D800" s="168" t="s">
        <v>12</v>
      </c>
      <c r="E800" s="169">
        <v>43025</v>
      </c>
      <c r="F800" s="170">
        <v>3.48</v>
      </c>
      <c r="G800" s="171" t="s">
        <v>13</v>
      </c>
      <c r="H800" s="168" t="s">
        <v>18</v>
      </c>
      <c r="I800" s="171">
        <v>1</v>
      </c>
      <c r="J800" s="171" t="s">
        <v>15</v>
      </c>
      <c r="K800" s="171" t="s">
        <v>80</v>
      </c>
      <c r="L800" s="168" t="s">
        <v>77</v>
      </c>
      <c r="M800" s="168" t="s">
        <v>18</v>
      </c>
    </row>
    <row r="801" spans="1:13" x14ac:dyDescent="0.2">
      <c r="A801" s="168" t="s">
        <v>74</v>
      </c>
      <c r="B801" s="168" t="s">
        <v>75</v>
      </c>
      <c r="C801" s="168" t="s">
        <v>19</v>
      </c>
      <c r="D801" s="168" t="s">
        <v>12</v>
      </c>
      <c r="E801" s="169">
        <v>43025</v>
      </c>
      <c r="F801" s="170">
        <v>48.265581599999997</v>
      </c>
      <c r="G801" s="171" t="s">
        <v>16</v>
      </c>
      <c r="H801" s="168" t="s">
        <v>18</v>
      </c>
      <c r="I801" s="171">
        <v>1</v>
      </c>
      <c r="J801" s="171" t="s">
        <v>15</v>
      </c>
      <c r="K801" s="171" t="s">
        <v>80</v>
      </c>
      <c r="L801" s="168" t="s">
        <v>77</v>
      </c>
      <c r="M801" s="168" t="s">
        <v>18</v>
      </c>
    </row>
    <row r="802" spans="1:13" x14ac:dyDescent="0.2">
      <c r="A802" s="168" t="s">
        <v>74</v>
      </c>
      <c r="B802" s="168" t="s">
        <v>75</v>
      </c>
      <c r="C802" s="168" t="s">
        <v>19</v>
      </c>
      <c r="D802" s="168" t="s">
        <v>12</v>
      </c>
      <c r="E802" s="169">
        <v>43018</v>
      </c>
      <c r="F802" s="170">
        <v>4.28</v>
      </c>
      <c r="G802" s="171" t="s">
        <v>13</v>
      </c>
      <c r="H802" s="168" t="s">
        <v>14</v>
      </c>
      <c r="I802" s="171">
        <v>1</v>
      </c>
      <c r="J802" s="171" t="s">
        <v>15</v>
      </c>
      <c r="K802" s="171" t="s">
        <v>80</v>
      </c>
      <c r="L802" s="168" t="s">
        <v>77</v>
      </c>
      <c r="M802" s="168" t="s">
        <v>14</v>
      </c>
    </row>
    <row r="803" spans="1:13" x14ac:dyDescent="0.2">
      <c r="A803" s="168" t="s">
        <v>74</v>
      </c>
      <c r="B803" s="168" t="s">
        <v>75</v>
      </c>
      <c r="C803" s="168" t="s">
        <v>19</v>
      </c>
      <c r="D803" s="168" t="s">
        <v>12</v>
      </c>
      <c r="E803" s="169">
        <v>43018</v>
      </c>
      <c r="F803" s="170">
        <v>64.215664799999999</v>
      </c>
      <c r="G803" s="171" t="s">
        <v>16</v>
      </c>
      <c r="H803" s="168" t="s">
        <v>14</v>
      </c>
      <c r="I803" s="171">
        <v>1</v>
      </c>
      <c r="J803" s="171" t="s">
        <v>15</v>
      </c>
      <c r="K803" s="171" t="s">
        <v>80</v>
      </c>
      <c r="L803" s="168" t="s">
        <v>77</v>
      </c>
      <c r="M803" s="168" t="s">
        <v>14</v>
      </c>
    </row>
    <row r="804" spans="1:13" x14ac:dyDescent="0.2">
      <c r="A804" s="168" t="s">
        <v>74</v>
      </c>
      <c r="B804" s="168" t="s">
        <v>75</v>
      </c>
      <c r="C804" s="168" t="s">
        <v>19</v>
      </c>
      <c r="D804" s="168" t="s">
        <v>12</v>
      </c>
      <c r="E804" s="169">
        <v>43018</v>
      </c>
      <c r="F804" s="170">
        <v>3.03</v>
      </c>
      <c r="G804" s="171" t="s">
        <v>13</v>
      </c>
      <c r="H804" s="168" t="s">
        <v>18</v>
      </c>
      <c r="I804" s="171">
        <v>1</v>
      </c>
      <c r="J804" s="171" t="s">
        <v>15</v>
      </c>
      <c r="K804" s="171" t="s">
        <v>80</v>
      </c>
      <c r="L804" s="168" t="s">
        <v>77</v>
      </c>
      <c r="M804" s="168" t="s">
        <v>18</v>
      </c>
    </row>
    <row r="805" spans="1:13" x14ac:dyDescent="0.2">
      <c r="A805" s="168" t="s">
        <v>74</v>
      </c>
      <c r="B805" s="168" t="s">
        <v>75</v>
      </c>
      <c r="C805" s="168" t="s">
        <v>19</v>
      </c>
      <c r="D805" s="168" t="s">
        <v>12</v>
      </c>
      <c r="E805" s="169">
        <v>43018</v>
      </c>
      <c r="F805" s="170">
        <v>45.461089800000003</v>
      </c>
      <c r="G805" s="171" t="s">
        <v>16</v>
      </c>
      <c r="H805" s="168" t="s">
        <v>18</v>
      </c>
      <c r="I805" s="171">
        <v>1</v>
      </c>
      <c r="J805" s="171" t="s">
        <v>15</v>
      </c>
      <c r="K805" s="171" t="s">
        <v>80</v>
      </c>
      <c r="L805" s="168" t="s">
        <v>77</v>
      </c>
      <c r="M805" s="168" t="s">
        <v>18</v>
      </c>
    </row>
    <row r="806" spans="1:13" x14ac:dyDescent="0.2">
      <c r="A806" s="168" t="s">
        <v>74</v>
      </c>
      <c r="B806" s="168" t="s">
        <v>75</v>
      </c>
      <c r="C806" s="168" t="s">
        <v>19</v>
      </c>
      <c r="D806" s="168" t="s">
        <v>12</v>
      </c>
      <c r="E806" s="169">
        <v>43011</v>
      </c>
      <c r="F806" s="170">
        <v>4.62</v>
      </c>
      <c r="G806" s="171" t="s">
        <v>13</v>
      </c>
      <c r="H806" s="168" t="s">
        <v>14</v>
      </c>
      <c r="I806" s="171">
        <v>1</v>
      </c>
      <c r="J806" s="171" t="s">
        <v>15</v>
      </c>
      <c r="K806" s="171" t="s">
        <v>80</v>
      </c>
      <c r="L806" s="168" t="s">
        <v>77</v>
      </c>
      <c r="M806" s="168" t="s">
        <v>14</v>
      </c>
    </row>
    <row r="807" spans="1:13" x14ac:dyDescent="0.2">
      <c r="A807" s="168" t="s">
        <v>74</v>
      </c>
      <c r="B807" s="168" t="s">
        <v>75</v>
      </c>
      <c r="C807" s="168" t="s">
        <v>19</v>
      </c>
      <c r="D807" s="168" t="s">
        <v>12</v>
      </c>
      <c r="E807" s="169">
        <v>43011</v>
      </c>
      <c r="F807" s="170">
        <v>58.6053468</v>
      </c>
      <c r="G807" s="171" t="s">
        <v>16</v>
      </c>
      <c r="H807" s="168" t="s">
        <v>14</v>
      </c>
      <c r="I807" s="171">
        <v>1</v>
      </c>
      <c r="J807" s="171" t="s">
        <v>15</v>
      </c>
      <c r="K807" s="171" t="s">
        <v>80</v>
      </c>
      <c r="L807" s="168" t="s">
        <v>77</v>
      </c>
      <c r="M807" s="168" t="s">
        <v>14</v>
      </c>
    </row>
    <row r="808" spans="1:13" x14ac:dyDescent="0.2">
      <c r="A808" s="168" t="s">
        <v>74</v>
      </c>
      <c r="B808" s="168" t="s">
        <v>75</v>
      </c>
      <c r="C808" s="168" t="s">
        <v>19</v>
      </c>
      <c r="D808" s="168" t="s">
        <v>12</v>
      </c>
      <c r="E808" s="169">
        <v>43011</v>
      </c>
      <c r="F808" s="170">
        <v>3.26</v>
      </c>
      <c r="G808" s="171" t="s">
        <v>13</v>
      </c>
      <c r="H808" s="168" t="s">
        <v>18</v>
      </c>
      <c r="I808" s="171">
        <v>1</v>
      </c>
      <c r="J808" s="171" t="s">
        <v>15</v>
      </c>
      <c r="K808" s="171" t="s">
        <v>80</v>
      </c>
      <c r="L808" s="168" t="s">
        <v>77</v>
      </c>
      <c r="M808" s="168" t="s">
        <v>18</v>
      </c>
    </row>
    <row r="809" spans="1:13" x14ac:dyDescent="0.2">
      <c r="A809" s="168" t="s">
        <v>74</v>
      </c>
      <c r="B809" s="168" t="s">
        <v>75</v>
      </c>
      <c r="C809" s="168" t="s">
        <v>19</v>
      </c>
      <c r="D809" s="168" t="s">
        <v>12</v>
      </c>
      <c r="E809" s="169">
        <v>43011</v>
      </c>
      <c r="F809" s="170">
        <v>41.353556400000002</v>
      </c>
      <c r="G809" s="171" t="s">
        <v>16</v>
      </c>
      <c r="H809" s="168" t="s">
        <v>18</v>
      </c>
      <c r="I809" s="171">
        <v>1</v>
      </c>
      <c r="J809" s="171" t="s">
        <v>15</v>
      </c>
      <c r="K809" s="171" t="s">
        <v>80</v>
      </c>
      <c r="L809" s="168" t="s">
        <v>77</v>
      </c>
      <c r="M809" s="168" t="s">
        <v>18</v>
      </c>
    </row>
    <row r="810" spans="1:13" x14ac:dyDescent="0.2">
      <c r="A810" s="168" t="s">
        <v>74</v>
      </c>
      <c r="B810" s="168" t="s">
        <v>75</v>
      </c>
      <c r="C810" s="168" t="s">
        <v>19</v>
      </c>
      <c r="D810" s="168" t="s">
        <v>12</v>
      </c>
      <c r="E810" s="169">
        <v>43004</v>
      </c>
      <c r="F810" s="170">
        <v>4.92</v>
      </c>
      <c r="G810" s="171" t="s">
        <v>13</v>
      </c>
      <c r="H810" s="168" t="s">
        <v>14</v>
      </c>
      <c r="I810" s="171">
        <v>1</v>
      </c>
      <c r="J810" s="171" t="s">
        <v>15</v>
      </c>
      <c r="K810" s="171" t="s">
        <v>80</v>
      </c>
      <c r="L810" s="168" t="s">
        <v>77</v>
      </c>
      <c r="M810" s="168" t="s">
        <v>14</v>
      </c>
    </row>
    <row r="811" spans="1:13" x14ac:dyDescent="0.2">
      <c r="A811" s="168" t="s">
        <v>74</v>
      </c>
      <c r="B811" s="168" t="s">
        <v>75</v>
      </c>
      <c r="C811" s="168" t="s">
        <v>19</v>
      </c>
      <c r="D811" s="168" t="s">
        <v>12</v>
      </c>
      <c r="E811" s="169">
        <v>43004</v>
      </c>
      <c r="F811" s="170">
        <v>63.929102399999998</v>
      </c>
      <c r="G811" s="171" t="s">
        <v>16</v>
      </c>
      <c r="H811" s="168" t="s">
        <v>14</v>
      </c>
      <c r="I811" s="171">
        <v>1</v>
      </c>
      <c r="J811" s="171" t="s">
        <v>15</v>
      </c>
      <c r="K811" s="171" t="s">
        <v>80</v>
      </c>
      <c r="L811" s="168" t="s">
        <v>77</v>
      </c>
      <c r="M811" s="168" t="s">
        <v>14</v>
      </c>
    </row>
    <row r="812" spans="1:13" x14ac:dyDescent="0.2">
      <c r="A812" s="168" t="s">
        <v>74</v>
      </c>
      <c r="B812" s="168" t="s">
        <v>75</v>
      </c>
      <c r="C812" s="168" t="s">
        <v>19</v>
      </c>
      <c r="D812" s="168" t="s">
        <v>12</v>
      </c>
      <c r="E812" s="169">
        <v>43004</v>
      </c>
      <c r="F812" s="170">
        <v>3.28</v>
      </c>
      <c r="G812" s="171" t="s">
        <v>13</v>
      </c>
      <c r="H812" s="168" t="s">
        <v>18</v>
      </c>
      <c r="I812" s="171">
        <v>1</v>
      </c>
      <c r="J812" s="171" t="s">
        <v>15</v>
      </c>
      <c r="K812" s="171" t="s">
        <v>80</v>
      </c>
      <c r="L812" s="168" t="s">
        <v>77</v>
      </c>
      <c r="M812" s="168" t="s">
        <v>18</v>
      </c>
    </row>
    <row r="813" spans="1:13" x14ac:dyDescent="0.2">
      <c r="A813" s="168" t="s">
        <v>74</v>
      </c>
      <c r="B813" s="168" t="s">
        <v>75</v>
      </c>
      <c r="C813" s="168" t="s">
        <v>19</v>
      </c>
      <c r="D813" s="168" t="s">
        <v>12</v>
      </c>
      <c r="E813" s="169">
        <v>43004</v>
      </c>
      <c r="F813" s="170">
        <v>42.619401600000003</v>
      </c>
      <c r="G813" s="171" t="s">
        <v>16</v>
      </c>
      <c r="H813" s="168" t="s">
        <v>18</v>
      </c>
      <c r="I813" s="171">
        <v>1</v>
      </c>
      <c r="J813" s="171" t="s">
        <v>15</v>
      </c>
      <c r="K813" s="171" t="s">
        <v>80</v>
      </c>
      <c r="L813" s="168" t="s">
        <v>77</v>
      </c>
      <c r="M813" s="168" t="s">
        <v>18</v>
      </c>
    </row>
    <row r="814" spans="1:13" x14ac:dyDescent="0.2">
      <c r="A814" s="168" t="s">
        <v>74</v>
      </c>
      <c r="B814" s="168" t="s">
        <v>75</v>
      </c>
      <c r="C814" s="168" t="s">
        <v>19</v>
      </c>
      <c r="D814" s="168" t="s">
        <v>12</v>
      </c>
      <c r="E814" s="169">
        <v>42997</v>
      </c>
      <c r="F814" s="170">
        <v>6.24</v>
      </c>
      <c r="G814" s="171" t="s">
        <v>13</v>
      </c>
      <c r="H814" s="168" t="s">
        <v>14</v>
      </c>
      <c r="I814" s="171">
        <v>1</v>
      </c>
      <c r="J814" s="171" t="s">
        <v>15</v>
      </c>
      <c r="K814" s="171" t="s">
        <v>80</v>
      </c>
      <c r="L814" s="168" t="s">
        <v>77</v>
      </c>
      <c r="M814" s="168" t="s">
        <v>14</v>
      </c>
    </row>
    <row r="815" spans="1:13" x14ac:dyDescent="0.2">
      <c r="A815" s="168" t="s">
        <v>74</v>
      </c>
      <c r="B815" s="168" t="s">
        <v>75</v>
      </c>
      <c r="C815" s="168" t="s">
        <v>19</v>
      </c>
      <c r="D815" s="168" t="s">
        <v>12</v>
      </c>
      <c r="E815" s="169">
        <v>42997</v>
      </c>
      <c r="F815" s="170">
        <v>78.114441600000006</v>
      </c>
      <c r="G815" s="171" t="s">
        <v>16</v>
      </c>
      <c r="H815" s="168" t="s">
        <v>14</v>
      </c>
      <c r="I815" s="171">
        <v>1</v>
      </c>
      <c r="J815" s="171" t="s">
        <v>15</v>
      </c>
      <c r="K815" s="171" t="s">
        <v>80</v>
      </c>
      <c r="L815" s="168" t="s">
        <v>77</v>
      </c>
      <c r="M815" s="168" t="s">
        <v>14</v>
      </c>
    </row>
    <row r="816" spans="1:13" x14ac:dyDescent="0.2">
      <c r="A816" s="168" t="s">
        <v>74</v>
      </c>
      <c r="B816" s="168" t="s">
        <v>75</v>
      </c>
      <c r="C816" s="168" t="s">
        <v>19</v>
      </c>
      <c r="D816" s="168" t="s">
        <v>12</v>
      </c>
      <c r="E816" s="169">
        <v>42997</v>
      </c>
      <c r="F816" s="170">
        <v>4.8099999999999996</v>
      </c>
      <c r="G816" s="171" t="s">
        <v>13</v>
      </c>
      <c r="H816" s="168" t="s">
        <v>18</v>
      </c>
      <c r="I816" s="171">
        <v>1</v>
      </c>
      <c r="J816" s="171" t="s">
        <v>15</v>
      </c>
      <c r="K816" s="171" t="s">
        <v>80</v>
      </c>
      <c r="L816" s="168" t="s">
        <v>77</v>
      </c>
      <c r="M816" s="168" t="s">
        <v>18</v>
      </c>
    </row>
    <row r="817" spans="1:13" x14ac:dyDescent="0.2">
      <c r="A817" s="168" t="s">
        <v>74</v>
      </c>
      <c r="B817" s="168" t="s">
        <v>75</v>
      </c>
      <c r="C817" s="168" t="s">
        <v>19</v>
      </c>
      <c r="D817" s="168" t="s">
        <v>12</v>
      </c>
      <c r="E817" s="169">
        <v>42997</v>
      </c>
      <c r="F817" s="170">
        <v>60.213215400000003</v>
      </c>
      <c r="G817" s="171" t="s">
        <v>16</v>
      </c>
      <c r="H817" s="168" t="s">
        <v>18</v>
      </c>
      <c r="I817" s="171">
        <v>1</v>
      </c>
      <c r="J817" s="171" t="s">
        <v>15</v>
      </c>
      <c r="K817" s="171" t="s">
        <v>80</v>
      </c>
      <c r="L817" s="168" t="s">
        <v>77</v>
      </c>
      <c r="M817" s="168" t="s">
        <v>18</v>
      </c>
    </row>
    <row r="818" spans="1:13" x14ac:dyDescent="0.2">
      <c r="A818" s="168" t="s">
        <v>74</v>
      </c>
      <c r="B818" s="168" t="s">
        <v>75</v>
      </c>
      <c r="C818" s="168" t="s">
        <v>19</v>
      </c>
      <c r="D818" s="168" t="s">
        <v>12</v>
      </c>
      <c r="E818" s="169">
        <v>42990</v>
      </c>
      <c r="F818" s="170">
        <v>5.85</v>
      </c>
      <c r="G818" s="171" t="s">
        <v>13</v>
      </c>
      <c r="H818" s="168" t="s">
        <v>14</v>
      </c>
      <c r="I818" s="171">
        <v>1</v>
      </c>
      <c r="J818" s="171" t="s">
        <v>15</v>
      </c>
      <c r="K818" s="171" t="s">
        <v>80</v>
      </c>
      <c r="L818" s="168" t="s">
        <v>77</v>
      </c>
      <c r="M818" s="168" t="s">
        <v>14</v>
      </c>
    </row>
    <row r="819" spans="1:13" x14ac:dyDescent="0.2">
      <c r="A819" s="168" t="s">
        <v>74</v>
      </c>
      <c r="B819" s="168" t="s">
        <v>75</v>
      </c>
      <c r="C819" s="168" t="s">
        <v>19</v>
      </c>
      <c r="D819" s="168" t="s">
        <v>12</v>
      </c>
      <c r="E819" s="169">
        <v>42990</v>
      </c>
      <c r="F819" s="170">
        <v>75.427794000000006</v>
      </c>
      <c r="G819" s="171" t="s">
        <v>16</v>
      </c>
      <c r="H819" s="168" t="s">
        <v>14</v>
      </c>
      <c r="I819" s="171">
        <v>1</v>
      </c>
      <c r="J819" s="171" t="s">
        <v>15</v>
      </c>
      <c r="K819" s="171" t="s">
        <v>80</v>
      </c>
      <c r="L819" s="168" t="s">
        <v>77</v>
      </c>
      <c r="M819" s="168" t="s">
        <v>14</v>
      </c>
    </row>
    <row r="820" spans="1:13" x14ac:dyDescent="0.2">
      <c r="A820" s="168" t="s">
        <v>74</v>
      </c>
      <c r="B820" s="168" t="s">
        <v>75</v>
      </c>
      <c r="C820" s="168" t="s">
        <v>19</v>
      </c>
      <c r="D820" s="168" t="s">
        <v>12</v>
      </c>
      <c r="E820" s="169">
        <v>42990</v>
      </c>
      <c r="F820" s="170">
        <v>4.29</v>
      </c>
      <c r="G820" s="171" t="s">
        <v>13</v>
      </c>
      <c r="H820" s="168" t="s">
        <v>18</v>
      </c>
      <c r="I820" s="171">
        <v>1</v>
      </c>
      <c r="J820" s="171" t="s">
        <v>15</v>
      </c>
      <c r="K820" s="171" t="s">
        <v>80</v>
      </c>
      <c r="L820" s="168" t="s">
        <v>77</v>
      </c>
      <c r="M820" s="168" t="s">
        <v>18</v>
      </c>
    </row>
    <row r="821" spans="1:13" x14ac:dyDescent="0.2">
      <c r="A821" s="168" t="s">
        <v>74</v>
      </c>
      <c r="B821" s="168" t="s">
        <v>75</v>
      </c>
      <c r="C821" s="168" t="s">
        <v>19</v>
      </c>
      <c r="D821" s="168" t="s">
        <v>12</v>
      </c>
      <c r="E821" s="169">
        <v>42990</v>
      </c>
      <c r="F821" s="170">
        <v>55.313715600000002</v>
      </c>
      <c r="G821" s="171" t="s">
        <v>16</v>
      </c>
      <c r="H821" s="168" t="s">
        <v>18</v>
      </c>
      <c r="I821" s="171">
        <v>1</v>
      </c>
      <c r="J821" s="171" t="s">
        <v>15</v>
      </c>
      <c r="K821" s="171" t="s">
        <v>80</v>
      </c>
      <c r="L821" s="168" t="s">
        <v>77</v>
      </c>
      <c r="M821" s="168" t="s">
        <v>18</v>
      </c>
    </row>
    <row r="822" spans="1:13" x14ac:dyDescent="0.2">
      <c r="A822" s="168" t="s">
        <v>74</v>
      </c>
      <c r="B822" s="168" t="s">
        <v>75</v>
      </c>
      <c r="C822" s="168" t="s">
        <v>19</v>
      </c>
      <c r="D822" s="168" t="s">
        <v>12</v>
      </c>
      <c r="E822" s="169">
        <v>42983</v>
      </c>
      <c r="F822" s="170">
        <v>6.72</v>
      </c>
      <c r="G822" s="171" t="s">
        <v>13</v>
      </c>
      <c r="H822" s="168" t="s">
        <v>14</v>
      </c>
      <c r="I822" s="171">
        <v>1</v>
      </c>
      <c r="J822" s="171" t="s">
        <v>15</v>
      </c>
      <c r="K822" s="171" t="s">
        <v>80</v>
      </c>
      <c r="L822" s="168" t="s">
        <v>77</v>
      </c>
      <c r="M822" s="168" t="s">
        <v>14</v>
      </c>
    </row>
    <row r="823" spans="1:13" x14ac:dyDescent="0.2">
      <c r="A823" s="168" t="s">
        <v>74</v>
      </c>
      <c r="B823" s="168" t="s">
        <v>75</v>
      </c>
      <c r="C823" s="168" t="s">
        <v>19</v>
      </c>
      <c r="D823" s="168" t="s">
        <v>12</v>
      </c>
      <c r="E823" s="169">
        <v>42983</v>
      </c>
      <c r="F823" s="170">
        <v>88.494739199999998</v>
      </c>
      <c r="G823" s="171" t="s">
        <v>16</v>
      </c>
      <c r="H823" s="168" t="s">
        <v>14</v>
      </c>
      <c r="I823" s="171">
        <v>1</v>
      </c>
      <c r="J823" s="171" t="s">
        <v>15</v>
      </c>
      <c r="K823" s="171" t="s">
        <v>80</v>
      </c>
      <c r="L823" s="168" t="s">
        <v>77</v>
      </c>
      <c r="M823" s="168" t="s">
        <v>14</v>
      </c>
    </row>
    <row r="824" spans="1:13" x14ac:dyDescent="0.2">
      <c r="A824" s="168" t="s">
        <v>74</v>
      </c>
      <c r="B824" s="168" t="s">
        <v>75</v>
      </c>
      <c r="C824" s="168" t="s">
        <v>19</v>
      </c>
      <c r="D824" s="168" t="s">
        <v>12</v>
      </c>
      <c r="E824" s="169">
        <v>42983</v>
      </c>
      <c r="F824" s="170">
        <v>4.08</v>
      </c>
      <c r="G824" s="171" t="s">
        <v>13</v>
      </c>
      <c r="H824" s="168" t="s">
        <v>18</v>
      </c>
      <c r="I824" s="171">
        <v>1</v>
      </c>
      <c r="J824" s="171" t="s">
        <v>15</v>
      </c>
      <c r="K824" s="171" t="s">
        <v>80</v>
      </c>
      <c r="L824" s="168" t="s">
        <v>77</v>
      </c>
      <c r="M824" s="168" t="s">
        <v>18</v>
      </c>
    </row>
    <row r="825" spans="1:13" x14ac:dyDescent="0.2">
      <c r="A825" s="168" t="s">
        <v>74</v>
      </c>
      <c r="B825" s="168" t="s">
        <v>75</v>
      </c>
      <c r="C825" s="168" t="s">
        <v>19</v>
      </c>
      <c r="D825" s="168" t="s">
        <v>12</v>
      </c>
      <c r="E825" s="169">
        <v>42983</v>
      </c>
      <c r="F825" s="170">
        <v>53.728948799999998</v>
      </c>
      <c r="G825" s="171" t="s">
        <v>16</v>
      </c>
      <c r="H825" s="168" t="s">
        <v>18</v>
      </c>
      <c r="I825" s="171">
        <v>1</v>
      </c>
      <c r="J825" s="171" t="s">
        <v>15</v>
      </c>
      <c r="K825" s="171" t="s">
        <v>80</v>
      </c>
      <c r="L825" s="168" t="s">
        <v>77</v>
      </c>
      <c r="M825" s="168" t="s">
        <v>18</v>
      </c>
    </row>
    <row r="826" spans="1:13" x14ac:dyDescent="0.2">
      <c r="A826" s="168" t="s">
        <v>74</v>
      </c>
      <c r="B826" s="168" t="s">
        <v>75</v>
      </c>
      <c r="C826" s="168" t="s">
        <v>19</v>
      </c>
      <c r="D826" s="168" t="s">
        <v>12</v>
      </c>
      <c r="E826" s="169">
        <v>42976</v>
      </c>
      <c r="F826" s="170">
        <v>7.89</v>
      </c>
      <c r="G826" s="171" t="s">
        <v>13</v>
      </c>
      <c r="H826" s="168" t="s">
        <v>14</v>
      </c>
      <c r="I826" s="171">
        <v>1</v>
      </c>
      <c r="J826" s="171" t="s">
        <v>15</v>
      </c>
      <c r="K826" s="171" t="s">
        <v>80</v>
      </c>
      <c r="L826" s="168" t="s">
        <v>77</v>
      </c>
      <c r="M826" s="168" t="s">
        <v>14</v>
      </c>
    </row>
    <row r="827" spans="1:13" x14ac:dyDescent="0.2">
      <c r="A827" s="168" t="s">
        <v>74</v>
      </c>
      <c r="B827" s="168" t="s">
        <v>75</v>
      </c>
      <c r="C827" s="168" t="s">
        <v>19</v>
      </c>
      <c r="D827" s="168" t="s">
        <v>12</v>
      </c>
      <c r="E827" s="169">
        <v>42976</v>
      </c>
      <c r="F827" s="170">
        <v>113.0488668</v>
      </c>
      <c r="G827" s="171" t="s">
        <v>16</v>
      </c>
      <c r="H827" s="168" t="s">
        <v>14</v>
      </c>
      <c r="I827" s="171">
        <v>1</v>
      </c>
      <c r="J827" s="171" t="s">
        <v>15</v>
      </c>
      <c r="K827" s="171" t="s">
        <v>80</v>
      </c>
      <c r="L827" s="168" t="s">
        <v>77</v>
      </c>
      <c r="M827" s="168" t="s">
        <v>14</v>
      </c>
    </row>
    <row r="828" spans="1:13" x14ac:dyDescent="0.2">
      <c r="A828" s="168" t="s">
        <v>74</v>
      </c>
      <c r="B828" s="168" t="s">
        <v>75</v>
      </c>
      <c r="C828" s="168" t="s">
        <v>19</v>
      </c>
      <c r="D828" s="168" t="s">
        <v>12</v>
      </c>
      <c r="E828" s="169">
        <v>42976</v>
      </c>
      <c r="F828" s="170">
        <v>4.34</v>
      </c>
      <c r="G828" s="171" t="s">
        <v>13</v>
      </c>
      <c r="H828" s="168" t="s">
        <v>18</v>
      </c>
      <c r="I828" s="171">
        <v>1</v>
      </c>
      <c r="J828" s="171" t="s">
        <v>15</v>
      </c>
      <c r="K828" s="171" t="s">
        <v>80</v>
      </c>
      <c r="L828" s="168" t="s">
        <v>77</v>
      </c>
      <c r="M828" s="168" t="s">
        <v>18</v>
      </c>
    </row>
    <row r="829" spans="1:13" x14ac:dyDescent="0.2">
      <c r="A829" s="168" t="s">
        <v>74</v>
      </c>
      <c r="B829" s="168" t="s">
        <v>75</v>
      </c>
      <c r="C829" s="168" t="s">
        <v>19</v>
      </c>
      <c r="D829" s="168" t="s">
        <v>12</v>
      </c>
      <c r="E829" s="169">
        <v>42976</v>
      </c>
      <c r="F829" s="170">
        <v>62.184040799999998</v>
      </c>
      <c r="G829" s="171" t="s">
        <v>16</v>
      </c>
      <c r="H829" s="168" t="s">
        <v>18</v>
      </c>
      <c r="I829" s="171">
        <v>1</v>
      </c>
      <c r="J829" s="171" t="s">
        <v>15</v>
      </c>
      <c r="K829" s="171" t="s">
        <v>80</v>
      </c>
      <c r="L829" s="168" t="s">
        <v>77</v>
      </c>
      <c r="M829" s="168" t="s">
        <v>18</v>
      </c>
    </row>
    <row r="830" spans="1:13" x14ac:dyDescent="0.2">
      <c r="A830" s="168" t="s">
        <v>74</v>
      </c>
      <c r="B830" s="168" t="s">
        <v>75</v>
      </c>
      <c r="C830" s="168" t="s">
        <v>19</v>
      </c>
      <c r="D830" s="168" t="s">
        <v>12</v>
      </c>
      <c r="E830" s="169">
        <v>42969</v>
      </c>
      <c r="F830" s="170">
        <v>5.86</v>
      </c>
      <c r="G830" s="171" t="s">
        <v>13</v>
      </c>
      <c r="H830" s="168" t="s">
        <v>14</v>
      </c>
      <c r="I830" s="171">
        <v>1</v>
      </c>
      <c r="J830" s="171" t="s">
        <v>15</v>
      </c>
      <c r="K830" s="171" t="s">
        <v>80</v>
      </c>
      <c r="L830" s="168" t="s">
        <v>77</v>
      </c>
      <c r="M830" s="168" t="s">
        <v>14</v>
      </c>
    </row>
    <row r="831" spans="1:13" x14ac:dyDescent="0.2">
      <c r="A831" s="168" t="s">
        <v>74</v>
      </c>
      <c r="B831" s="168" t="s">
        <v>75</v>
      </c>
      <c r="C831" s="168" t="s">
        <v>19</v>
      </c>
      <c r="D831" s="168" t="s">
        <v>12</v>
      </c>
      <c r="E831" s="169">
        <v>42969</v>
      </c>
      <c r="F831" s="170">
        <v>82.887590399999993</v>
      </c>
      <c r="G831" s="171" t="s">
        <v>16</v>
      </c>
      <c r="H831" s="168" t="s">
        <v>14</v>
      </c>
      <c r="I831" s="171">
        <v>1</v>
      </c>
      <c r="J831" s="171" t="s">
        <v>15</v>
      </c>
      <c r="K831" s="171" t="s">
        <v>80</v>
      </c>
      <c r="L831" s="168" t="s">
        <v>77</v>
      </c>
      <c r="M831" s="168" t="s">
        <v>14</v>
      </c>
    </row>
    <row r="832" spans="1:13" x14ac:dyDescent="0.2">
      <c r="A832" s="168" t="s">
        <v>74</v>
      </c>
      <c r="B832" s="168" t="s">
        <v>75</v>
      </c>
      <c r="C832" s="168" t="s">
        <v>19</v>
      </c>
      <c r="D832" s="168" t="s">
        <v>12</v>
      </c>
      <c r="E832" s="169">
        <v>42969</v>
      </c>
      <c r="F832" s="170">
        <v>3.51</v>
      </c>
      <c r="G832" s="171" t="s">
        <v>13</v>
      </c>
      <c r="H832" s="168" t="s">
        <v>18</v>
      </c>
      <c r="I832" s="171">
        <v>1</v>
      </c>
      <c r="J832" s="171" t="s">
        <v>15</v>
      </c>
      <c r="K832" s="171" t="s">
        <v>80</v>
      </c>
      <c r="L832" s="168" t="s">
        <v>77</v>
      </c>
      <c r="M832" s="168" t="s">
        <v>18</v>
      </c>
    </row>
    <row r="833" spans="1:13" x14ac:dyDescent="0.2">
      <c r="A833" s="168" t="s">
        <v>74</v>
      </c>
      <c r="B833" s="168" t="s">
        <v>75</v>
      </c>
      <c r="C833" s="168" t="s">
        <v>19</v>
      </c>
      <c r="D833" s="168" t="s">
        <v>12</v>
      </c>
      <c r="E833" s="169">
        <v>42969</v>
      </c>
      <c r="F833" s="170">
        <v>49.647686399999998</v>
      </c>
      <c r="G833" s="171" t="s">
        <v>16</v>
      </c>
      <c r="H833" s="168" t="s">
        <v>18</v>
      </c>
      <c r="I833" s="171">
        <v>1</v>
      </c>
      <c r="J833" s="171" t="s">
        <v>15</v>
      </c>
      <c r="K833" s="171" t="s">
        <v>80</v>
      </c>
      <c r="L833" s="168" t="s">
        <v>77</v>
      </c>
      <c r="M833" s="168" t="s">
        <v>18</v>
      </c>
    </row>
    <row r="834" spans="1:13" x14ac:dyDescent="0.2">
      <c r="A834" s="168" t="s">
        <v>74</v>
      </c>
      <c r="B834" s="168" t="s">
        <v>75</v>
      </c>
      <c r="C834" s="168" t="s">
        <v>19</v>
      </c>
      <c r="D834" s="168" t="s">
        <v>12</v>
      </c>
      <c r="E834" s="169">
        <v>42962</v>
      </c>
      <c r="F834" s="170">
        <v>5.46</v>
      </c>
      <c r="G834" s="171" t="s">
        <v>13</v>
      </c>
      <c r="H834" s="168" t="s">
        <v>14</v>
      </c>
      <c r="I834" s="171">
        <v>1</v>
      </c>
      <c r="J834" s="171" t="s">
        <v>15</v>
      </c>
      <c r="K834" s="171" t="s">
        <v>80</v>
      </c>
      <c r="L834" s="168" t="s">
        <v>77</v>
      </c>
      <c r="M834" s="168" t="s">
        <v>14</v>
      </c>
    </row>
    <row r="835" spans="1:13" x14ac:dyDescent="0.2">
      <c r="A835" s="168" t="s">
        <v>74</v>
      </c>
      <c r="B835" s="168" t="s">
        <v>75</v>
      </c>
      <c r="C835" s="168" t="s">
        <v>19</v>
      </c>
      <c r="D835" s="168" t="s">
        <v>12</v>
      </c>
      <c r="E835" s="169">
        <v>42962</v>
      </c>
      <c r="F835" s="170">
        <v>77.958316800000006</v>
      </c>
      <c r="G835" s="171" t="s">
        <v>16</v>
      </c>
      <c r="H835" s="168" t="s">
        <v>14</v>
      </c>
      <c r="I835" s="171">
        <v>1</v>
      </c>
      <c r="J835" s="171" t="s">
        <v>15</v>
      </c>
      <c r="K835" s="171" t="s">
        <v>80</v>
      </c>
      <c r="L835" s="168" t="s">
        <v>77</v>
      </c>
      <c r="M835" s="168" t="s">
        <v>14</v>
      </c>
    </row>
    <row r="836" spans="1:13" x14ac:dyDescent="0.2">
      <c r="A836" s="168" t="s">
        <v>74</v>
      </c>
      <c r="B836" s="168" t="s">
        <v>75</v>
      </c>
      <c r="C836" s="168" t="s">
        <v>19</v>
      </c>
      <c r="D836" s="168" t="s">
        <v>12</v>
      </c>
      <c r="E836" s="169">
        <v>42962</v>
      </c>
      <c r="F836" s="170">
        <v>3.59</v>
      </c>
      <c r="G836" s="171" t="s">
        <v>13</v>
      </c>
      <c r="H836" s="168" t="s">
        <v>18</v>
      </c>
      <c r="I836" s="171">
        <v>1</v>
      </c>
      <c r="J836" s="171" t="s">
        <v>15</v>
      </c>
      <c r="K836" s="171" t="s">
        <v>80</v>
      </c>
      <c r="L836" s="168" t="s">
        <v>77</v>
      </c>
      <c r="M836" s="168" t="s">
        <v>18</v>
      </c>
    </row>
    <row r="837" spans="1:13" x14ac:dyDescent="0.2">
      <c r="A837" s="168" t="s">
        <v>74</v>
      </c>
      <c r="B837" s="168" t="s">
        <v>75</v>
      </c>
      <c r="C837" s="168" t="s">
        <v>19</v>
      </c>
      <c r="D837" s="168" t="s">
        <v>12</v>
      </c>
      <c r="E837" s="169">
        <v>42962</v>
      </c>
      <c r="F837" s="170">
        <v>51.258307199999997</v>
      </c>
      <c r="G837" s="171" t="s">
        <v>16</v>
      </c>
      <c r="H837" s="168" t="s">
        <v>18</v>
      </c>
      <c r="I837" s="171">
        <v>1</v>
      </c>
      <c r="J837" s="171" t="s">
        <v>15</v>
      </c>
      <c r="K837" s="171" t="s">
        <v>80</v>
      </c>
      <c r="L837" s="168" t="s">
        <v>77</v>
      </c>
      <c r="M837" s="168" t="s">
        <v>18</v>
      </c>
    </row>
    <row r="838" spans="1:13" x14ac:dyDescent="0.2">
      <c r="A838" s="168" t="s">
        <v>74</v>
      </c>
      <c r="B838" s="168" t="s">
        <v>75</v>
      </c>
      <c r="C838" s="168" t="s">
        <v>19</v>
      </c>
      <c r="D838" s="168" t="s">
        <v>12</v>
      </c>
      <c r="E838" s="169">
        <v>42955</v>
      </c>
      <c r="F838" s="170">
        <v>3.98</v>
      </c>
      <c r="G838" s="171" t="s">
        <v>13</v>
      </c>
      <c r="H838" s="168" t="s">
        <v>14</v>
      </c>
      <c r="I838" s="171">
        <v>1</v>
      </c>
      <c r="J838" s="171" t="s">
        <v>15</v>
      </c>
      <c r="K838" s="171" t="s">
        <v>80</v>
      </c>
      <c r="L838" s="168" t="s">
        <v>77</v>
      </c>
      <c r="M838" s="168" t="s">
        <v>14</v>
      </c>
    </row>
    <row r="839" spans="1:13" x14ac:dyDescent="0.2">
      <c r="A839" s="168" t="s">
        <v>74</v>
      </c>
      <c r="B839" s="168" t="s">
        <v>75</v>
      </c>
      <c r="C839" s="168" t="s">
        <v>19</v>
      </c>
      <c r="D839" s="168" t="s">
        <v>12</v>
      </c>
      <c r="E839" s="169">
        <v>42955</v>
      </c>
      <c r="F839" s="170">
        <v>61.606579199999999</v>
      </c>
      <c r="G839" s="171" t="s">
        <v>16</v>
      </c>
      <c r="H839" s="168" t="s">
        <v>14</v>
      </c>
      <c r="I839" s="171">
        <v>1</v>
      </c>
      <c r="J839" s="171" t="s">
        <v>15</v>
      </c>
      <c r="K839" s="171" t="s">
        <v>80</v>
      </c>
      <c r="L839" s="168" t="s">
        <v>77</v>
      </c>
      <c r="M839" s="168" t="s">
        <v>14</v>
      </c>
    </row>
    <row r="840" spans="1:13" x14ac:dyDescent="0.2">
      <c r="A840" s="168" t="s">
        <v>74</v>
      </c>
      <c r="B840" s="168" t="s">
        <v>75</v>
      </c>
      <c r="C840" s="168" t="s">
        <v>19</v>
      </c>
      <c r="D840" s="168" t="s">
        <v>12</v>
      </c>
      <c r="E840" s="169">
        <v>42955</v>
      </c>
      <c r="F840" s="170">
        <v>3.06</v>
      </c>
      <c r="G840" s="171" t="s">
        <v>13</v>
      </c>
      <c r="H840" s="168" t="s">
        <v>18</v>
      </c>
      <c r="I840" s="171">
        <v>1</v>
      </c>
      <c r="J840" s="171" t="s">
        <v>15</v>
      </c>
      <c r="K840" s="171" t="s">
        <v>80</v>
      </c>
      <c r="L840" s="168" t="s">
        <v>77</v>
      </c>
      <c r="M840" s="168" t="s">
        <v>18</v>
      </c>
    </row>
    <row r="841" spans="1:13" x14ac:dyDescent="0.2">
      <c r="A841" s="168" t="s">
        <v>74</v>
      </c>
      <c r="B841" s="168" t="s">
        <v>75</v>
      </c>
      <c r="C841" s="168" t="s">
        <v>19</v>
      </c>
      <c r="D841" s="168" t="s">
        <v>12</v>
      </c>
      <c r="E841" s="169">
        <v>42955</v>
      </c>
      <c r="F841" s="170">
        <v>47.365862399999997</v>
      </c>
      <c r="G841" s="171" t="s">
        <v>16</v>
      </c>
      <c r="H841" s="168" t="s">
        <v>18</v>
      </c>
      <c r="I841" s="171">
        <v>1</v>
      </c>
      <c r="J841" s="171" t="s">
        <v>15</v>
      </c>
      <c r="K841" s="171" t="s">
        <v>80</v>
      </c>
      <c r="L841" s="168" t="s">
        <v>77</v>
      </c>
      <c r="M841" s="168" t="s">
        <v>18</v>
      </c>
    </row>
    <row r="842" spans="1:13" x14ac:dyDescent="0.2">
      <c r="A842" s="168" t="s">
        <v>74</v>
      </c>
      <c r="B842" s="168" t="s">
        <v>75</v>
      </c>
      <c r="C842" s="168" t="s">
        <v>19</v>
      </c>
      <c r="D842" s="168" t="s">
        <v>12</v>
      </c>
      <c r="E842" s="169">
        <v>42948</v>
      </c>
      <c r="F842" s="170">
        <v>3.99</v>
      </c>
      <c r="G842" s="171" t="s">
        <v>13</v>
      </c>
      <c r="H842" s="168" t="s">
        <v>14</v>
      </c>
      <c r="I842" s="171">
        <v>1</v>
      </c>
      <c r="J842" s="171" t="s">
        <v>15</v>
      </c>
      <c r="K842" s="171" t="s">
        <v>80</v>
      </c>
      <c r="L842" s="168" t="s">
        <v>77</v>
      </c>
      <c r="M842" s="168" t="s">
        <v>14</v>
      </c>
    </row>
    <row r="843" spans="1:13" x14ac:dyDescent="0.2">
      <c r="A843" s="168" t="s">
        <v>74</v>
      </c>
      <c r="B843" s="168" t="s">
        <v>75</v>
      </c>
      <c r="C843" s="168" t="s">
        <v>19</v>
      </c>
      <c r="D843" s="168" t="s">
        <v>12</v>
      </c>
      <c r="E843" s="169">
        <v>42948</v>
      </c>
      <c r="F843" s="170">
        <v>66.985795800000005</v>
      </c>
      <c r="G843" s="171" t="s">
        <v>16</v>
      </c>
      <c r="H843" s="168" t="s">
        <v>14</v>
      </c>
      <c r="I843" s="171">
        <v>1</v>
      </c>
      <c r="J843" s="171" t="s">
        <v>15</v>
      </c>
      <c r="K843" s="171" t="s">
        <v>80</v>
      </c>
      <c r="L843" s="168" t="s">
        <v>77</v>
      </c>
      <c r="M843" s="168" t="s">
        <v>14</v>
      </c>
    </row>
    <row r="844" spans="1:13" x14ac:dyDescent="0.2">
      <c r="A844" s="168" t="s">
        <v>74</v>
      </c>
      <c r="B844" s="168" t="s">
        <v>75</v>
      </c>
      <c r="C844" s="168" t="s">
        <v>19</v>
      </c>
      <c r="D844" s="168" t="s">
        <v>12</v>
      </c>
      <c r="E844" s="169">
        <v>42948</v>
      </c>
      <c r="F844" s="170">
        <v>2.95</v>
      </c>
      <c r="G844" s="171" t="s">
        <v>13</v>
      </c>
      <c r="H844" s="168" t="s">
        <v>18</v>
      </c>
      <c r="I844" s="171">
        <v>1</v>
      </c>
      <c r="J844" s="171" t="s">
        <v>15</v>
      </c>
      <c r="K844" s="171" t="s">
        <v>80</v>
      </c>
      <c r="L844" s="168" t="s">
        <v>77</v>
      </c>
      <c r="M844" s="168" t="s">
        <v>18</v>
      </c>
    </row>
    <row r="845" spans="1:13" x14ac:dyDescent="0.2">
      <c r="A845" s="168" t="s">
        <v>74</v>
      </c>
      <c r="B845" s="168" t="s">
        <v>75</v>
      </c>
      <c r="C845" s="168" t="s">
        <v>19</v>
      </c>
      <c r="D845" s="168" t="s">
        <v>12</v>
      </c>
      <c r="E845" s="169">
        <v>42948</v>
      </c>
      <c r="F845" s="170">
        <v>49.525838999999998</v>
      </c>
      <c r="G845" s="171" t="s">
        <v>16</v>
      </c>
      <c r="H845" s="168" t="s">
        <v>18</v>
      </c>
      <c r="I845" s="171">
        <v>1</v>
      </c>
      <c r="J845" s="171" t="s">
        <v>15</v>
      </c>
      <c r="K845" s="171" t="s">
        <v>80</v>
      </c>
      <c r="L845" s="168" t="s">
        <v>77</v>
      </c>
      <c r="M845" s="168" t="s">
        <v>18</v>
      </c>
    </row>
    <row r="846" spans="1:13" x14ac:dyDescent="0.2">
      <c r="A846" s="168" t="s">
        <v>74</v>
      </c>
      <c r="B846" s="168" t="s">
        <v>75</v>
      </c>
      <c r="C846" s="168" t="s">
        <v>19</v>
      </c>
      <c r="D846" s="168" t="s">
        <v>12</v>
      </c>
      <c r="E846" s="169">
        <v>42940</v>
      </c>
      <c r="F846" s="170">
        <v>2.78</v>
      </c>
      <c r="G846" s="171" t="s">
        <v>13</v>
      </c>
      <c r="H846" s="168" t="s">
        <v>14</v>
      </c>
      <c r="I846" s="171">
        <v>1</v>
      </c>
      <c r="J846" s="171" t="s">
        <v>15</v>
      </c>
      <c r="K846" s="171" t="s">
        <v>80</v>
      </c>
      <c r="L846" s="168" t="s">
        <v>77</v>
      </c>
      <c r="M846" s="168" t="s">
        <v>14</v>
      </c>
    </row>
    <row r="847" spans="1:13" x14ac:dyDescent="0.2">
      <c r="A847" s="168" t="s">
        <v>74</v>
      </c>
      <c r="B847" s="168" t="s">
        <v>75</v>
      </c>
      <c r="C847" s="168" t="s">
        <v>19</v>
      </c>
      <c r="D847" s="168" t="s">
        <v>12</v>
      </c>
      <c r="E847" s="169">
        <v>42940</v>
      </c>
      <c r="F847" s="170">
        <v>75.3055296</v>
      </c>
      <c r="G847" s="171" t="s">
        <v>16</v>
      </c>
      <c r="H847" s="168" t="s">
        <v>14</v>
      </c>
      <c r="I847" s="171">
        <v>1</v>
      </c>
      <c r="J847" s="171" t="s">
        <v>15</v>
      </c>
      <c r="K847" s="171" t="s">
        <v>80</v>
      </c>
      <c r="L847" s="168" t="s">
        <v>77</v>
      </c>
      <c r="M847" s="168" t="s">
        <v>14</v>
      </c>
    </row>
    <row r="848" spans="1:13" x14ac:dyDescent="0.2">
      <c r="A848" s="168" t="s">
        <v>74</v>
      </c>
      <c r="B848" s="168" t="s">
        <v>75</v>
      </c>
      <c r="C848" s="168" t="s">
        <v>19</v>
      </c>
      <c r="D848" s="168" t="s">
        <v>12</v>
      </c>
      <c r="E848" s="169">
        <v>42940</v>
      </c>
      <c r="F848" s="170">
        <v>1.49</v>
      </c>
      <c r="G848" s="171" t="s">
        <v>13</v>
      </c>
      <c r="H848" s="168" t="s">
        <v>18</v>
      </c>
      <c r="I848" s="171">
        <v>1</v>
      </c>
      <c r="J848" s="171" t="s">
        <v>15</v>
      </c>
      <c r="K848" s="171" t="s">
        <v>80</v>
      </c>
      <c r="L848" s="168" t="s">
        <v>77</v>
      </c>
      <c r="M848" s="168" t="s">
        <v>18</v>
      </c>
    </row>
    <row r="849" spans="1:13" x14ac:dyDescent="0.2">
      <c r="A849" s="168" t="s">
        <v>74</v>
      </c>
      <c r="B849" s="168" t="s">
        <v>75</v>
      </c>
      <c r="C849" s="168" t="s">
        <v>19</v>
      </c>
      <c r="D849" s="168" t="s">
        <v>12</v>
      </c>
      <c r="E849" s="169">
        <v>42940</v>
      </c>
      <c r="F849" s="170">
        <v>40.361596800000001</v>
      </c>
      <c r="G849" s="171" t="s">
        <v>16</v>
      </c>
      <c r="H849" s="168" t="s">
        <v>18</v>
      </c>
      <c r="I849" s="171">
        <v>1</v>
      </c>
      <c r="J849" s="171" t="s">
        <v>15</v>
      </c>
      <c r="K849" s="171" t="s">
        <v>80</v>
      </c>
      <c r="L849" s="168" t="s">
        <v>77</v>
      </c>
      <c r="M849" s="168" t="s">
        <v>18</v>
      </c>
    </row>
    <row r="850" spans="1:13" x14ac:dyDescent="0.2">
      <c r="A850" s="168" t="s">
        <v>74</v>
      </c>
      <c r="B850" s="168" t="s">
        <v>75</v>
      </c>
      <c r="C850" s="168" t="s">
        <v>19</v>
      </c>
      <c r="D850" s="168" t="s">
        <v>12</v>
      </c>
      <c r="E850" s="169">
        <v>42934</v>
      </c>
      <c r="F850" s="170">
        <v>3.9</v>
      </c>
      <c r="G850" s="171" t="s">
        <v>13</v>
      </c>
      <c r="H850" s="168" t="s">
        <v>14</v>
      </c>
      <c r="I850" s="171">
        <v>1</v>
      </c>
      <c r="J850" s="171" t="s">
        <v>15</v>
      </c>
      <c r="K850" s="171" t="s">
        <v>80</v>
      </c>
      <c r="L850" s="168" t="s">
        <v>77</v>
      </c>
      <c r="M850" s="168" t="s">
        <v>14</v>
      </c>
    </row>
    <row r="851" spans="1:13" x14ac:dyDescent="0.2">
      <c r="A851" s="168" t="s">
        <v>74</v>
      </c>
      <c r="B851" s="168" t="s">
        <v>75</v>
      </c>
      <c r="C851" s="168" t="s">
        <v>19</v>
      </c>
      <c r="D851" s="168" t="s">
        <v>12</v>
      </c>
      <c r="E851" s="169">
        <v>42934</v>
      </c>
      <c r="F851" s="170">
        <v>53.440218000000002</v>
      </c>
      <c r="G851" s="171" t="s">
        <v>16</v>
      </c>
      <c r="H851" s="168" t="s">
        <v>14</v>
      </c>
      <c r="I851" s="171">
        <v>1</v>
      </c>
      <c r="J851" s="171" t="s">
        <v>15</v>
      </c>
      <c r="K851" s="171" t="s">
        <v>80</v>
      </c>
      <c r="L851" s="168" t="s">
        <v>77</v>
      </c>
      <c r="M851" s="168" t="s">
        <v>14</v>
      </c>
    </row>
    <row r="852" spans="1:13" x14ac:dyDescent="0.2">
      <c r="A852" s="168" t="s">
        <v>74</v>
      </c>
      <c r="B852" s="168" t="s">
        <v>75</v>
      </c>
      <c r="C852" s="168" t="s">
        <v>19</v>
      </c>
      <c r="D852" s="168" t="s">
        <v>12</v>
      </c>
      <c r="E852" s="169">
        <v>42934</v>
      </c>
      <c r="F852" s="170">
        <v>2.36</v>
      </c>
      <c r="G852" s="171" t="s">
        <v>13</v>
      </c>
      <c r="H852" s="168" t="s">
        <v>18</v>
      </c>
      <c r="I852" s="171">
        <v>1</v>
      </c>
      <c r="J852" s="171" t="s">
        <v>15</v>
      </c>
      <c r="K852" s="171" t="s">
        <v>80</v>
      </c>
      <c r="L852" s="168" t="s">
        <v>77</v>
      </c>
      <c r="M852" s="168" t="s">
        <v>18</v>
      </c>
    </row>
    <row r="853" spans="1:13" x14ac:dyDescent="0.2">
      <c r="A853" s="168" t="s">
        <v>74</v>
      </c>
      <c r="B853" s="168" t="s">
        <v>75</v>
      </c>
      <c r="C853" s="168" t="s">
        <v>19</v>
      </c>
      <c r="D853" s="168" t="s">
        <v>12</v>
      </c>
      <c r="E853" s="169">
        <v>42934</v>
      </c>
      <c r="F853" s="170">
        <v>32.338183200000003</v>
      </c>
      <c r="G853" s="171" t="s">
        <v>16</v>
      </c>
      <c r="H853" s="168" t="s">
        <v>18</v>
      </c>
      <c r="I853" s="171">
        <v>1</v>
      </c>
      <c r="J853" s="171" t="s">
        <v>15</v>
      </c>
      <c r="K853" s="171" t="s">
        <v>80</v>
      </c>
      <c r="L853" s="168" t="s">
        <v>77</v>
      </c>
      <c r="M853" s="168" t="s">
        <v>18</v>
      </c>
    </row>
    <row r="854" spans="1:13" x14ac:dyDescent="0.2">
      <c r="A854" s="168" t="s">
        <v>74</v>
      </c>
      <c r="B854" s="168" t="s">
        <v>75</v>
      </c>
      <c r="C854" s="168" t="s">
        <v>19</v>
      </c>
      <c r="D854" s="168" t="s">
        <v>12</v>
      </c>
      <c r="E854" s="169">
        <v>42927</v>
      </c>
      <c r="F854" s="170">
        <v>4.26</v>
      </c>
      <c r="G854" s="171" t="s">
        <v>13</v>
      </c>
      <c r="H854" s="168" t="s">
        <v>14</v>
      </c>
      <c r="I854" s="171">
        <v>1</v>
      </c>
      <c r="J854" s="171" t="s">
        <v>15</v>
      </c>
      <c r="K854" s="171" t="s">
        <v>80</v>
      </c>
      <c r="L854" s="168" t="s">
        <v>77</v>
      </c>
      <c r="M854" s="168" t="s">
        <v>14</v>
      </c>
    </row>
    <row r="855" spans="1:13" x14ac:dyDescent="0.2">
      <c r="A855" s="168" t="s">
        <v>74</v>
      </c>
      <c r="B855" s="168" t="s">
        <v>75</v>
      </c>
      <c r="C855" s="168" t="s">
        <v>19</v>
      </c>
      <c r="D855" s="168" t="s">
        <v>12</v>
      </c>
      <c r="E855" s="169">
        <v>42927</v>
      </c>
      <c r="F855" s="170">
        <v>60.291694800000002</v>
      </c>
      <c r="G855" s="171" t="s">
        <v>16</v>
      </c>
      <c r="H855" s="168" t="s">
        <v>14</v>
      </c>
      <c r="I855" s="171">
        <v>1</v>
      </c>
      <c r="J855" s="171" t="s">
        <v>15</v>
      </c>
      <c r="K855" s="171" t="s">
        <v>80</v>
      </c>
      <c r="L855" s="168" t="s">
        <v>77</v>
      </c>
      <c r="M855" s="168" t="s">
        <v>14</v>
      </c>
    </row>
    <row r="856" spans="1:13" x14ac:dyDescent="0.2">
      <c r="A856" s="168" t="s">
        <v>74</v>
      </c>
      <c r="B856" s="168" t="s">
        <v>75</v>
      </c>
      <c r="C856" s="168" t="s">
        <v>19</v>
      </c>
      <c r="D856" s="168" t="s">
        <v>12</v>
      </c>
      <c r="E856" s="169">
        <v>42927</v>
      </c>
      <c r="F856" s="170">
        <v>2.41</v>
      </c>
      <c r="G856" s="171" t="s">
        <v>13</v>
      </c>
      <c r="H856" s="168" t="s">
        <v>18</v>
      </c>
      <c r="I856" s="171">
        <v>1</v>
      </c>
      <c r="J856" s="171" t="s">
        <v>15</v>
      </c>
      <c r="K856" s="171" t="s">
        <v>80</v>
      </c>
      <c r="L856" s="168" t="s">
        <v>77</v>
      </c>
      <c r="M856" s="168" t="s">
        <v>18</v>
      </c>
    </row>
    <row r="857" spans="1:13" x14ac:dyDescent="0.2">
      <c r="A857" s="168" t="s">
        <v>74</v>
      </c>
      <c r="B857" s="168" t="s">
        <v>75</v>
      </c>
      <c r="C857" s="168" t="s">
        <v>19</v>
      </c>
      <c r="D857" s="168" t="s">
        <v>12</v>
      </c>
      <c r="E857" s="169">
        <v>42927</v>
      </c>
      <c r="F857" s="170">
        <v>34.108681799999999</v>
      </c>
      <c r="G857" s="171" t="s">
        <v>16</v>
      </c>
      <c r="H857" s="168" t="s">
        <v>18</v>
      </c>
      <c r="I857" s="171">
        <v>1</v>
      </c>
      <c r="J857" s="171" t="s">
        <v>15</v>
      </c>
      <c r="K857" s="171" t="s">
        <v>80</v>
      </c>
      <c r="L857" s="168" t="s">
        <v>77</v>
      </c>
      <c r="M857" s="168" t="s">
        <v>18</v>
      </c>
    </row>
    <row r="858" spans="1:13" x14ac:dyDescent="0.2">
      <c r="A858" s="168" t="s">
        <v>74</v>
      </c>
      <c r="B858" s="168" t="s">
        <v>75</v>
      </c>
      <c r="C858" s="168" t="s">
        <v>19</v>
      </c>
      <c r="D858" s="168" t="s">
        <v>12</v>
      </c>
      <c r="E858" s="169">
        <v>42920</v>
      </c>
      <c r="F858" s="170">
        <v>2.99</v>
      </c>
      <c r="G858" s="171" t="s">
        <v>13</v>
      </c>
      <c r="H858" s="168" t="s">
        <v>14</v>
      </c>
      <c r="I858" s="171">
        <v>1</v>
      </c>
      <c r="J858" s="171" t="s">
        <v>15</v>
      </c>
      <c r="K858" s="171" t="s">
        <v>80</v>
      </c>
      <c r="L858" s="168" t="s">
        <v>77</v>
      </c>
      <c r="M858" s="168" t="s">
        <v>14</v>
      </c>
    </row>
    <row r="859" spans="1:13" x14ac:dyDescent="0.2">
      <c r="A859" s="168" t="s">
        <v>74</v>
      </c>
      <c r="B859" s="168" t="s">
        <v>75</v>
      </c>
      <c r="C859" s="168" t="s">
        <v>19</v>
      </c>
      <c r="D859" s="168" t="s">
        <v>12</v>
      </c>
      <c r="E859" s="169">
        <v>42920</v>
      </c>
      <c r="F859" s="170">
        <v>40.546911600000001</v>
      </c>
      <c r="G859" s="171" t="s">
        <v>16</v>
      </c>
      <c r="H859" s="168" t="s">
        <v>14</v>
      </c>
      <c r="I859" s="171">
        <v>1</v>
      </c>
      <c r="J859" s="171" t="s">
        <v>15</v>
      </c>
      <c r="K859" s="171" t="s">
        <v>80</v>
      </c>
      <c r="L859" s="168" t="s">
        <v>77</v>
      </c>
      <c r="M859" s="168" t="s">
        <v>14</v>
      </c>
    </row>
    <row r="860" spans="1:13" x14ac:dyDescent="0.2">
      <c r="A860" s="168" t="s">
        <v>74</v>
      </c>
      <c r="B860" s="168" t="s">
        <v>75</v>
      </c>
      <c r="C860" s="168" t="s">
        <v>19</v>
      </c>
      <c r="D860" s="168" t="s">
        <v>12</v>
      </c>
      <c r="E860" s="169">
        <v>42920</v>
      </c>
      <c r="F860" s="170">
        <v>1.98</v>
      </c>
      <c r="G860" s="171" t="s">
        <v>13</v>
      </c>
      <c r="H860" s="168" t="s">
        <v>18</v>
      </c>
      <c r="I860" s="171">
        <v>1</v>
      </c>
      <c r="J860" s="171" t="s">
        <v>15</v>
      </c>
      <c r="K860" s="171" t="s">
        <v>80</v>
      </c>
      <c r="L860" s="168" t="s">
        <v>77</v>
      </c>
      <c r="M860" s="168" t="s">
        <v>18</v>
      </c>
    </row>
    <row r="861" spans="1:13" x14ac:dyDescent="0.2">
      <c r="A861" s="168" t="s">
        <v>74</v>
      </c>
      <c r="B861" s="168" t="s">
        <v>75</v>
      </c>
      <c r="C861" s="168" t="s">
        <v>19</v>
      </c>
      <c r="D861" s="168" t="s">
        <v>12</v>
      </c>
      <c r="E861" s="169">
        <v>42920</v>
      </c>
      <c r="F861" s="170">
        <v>26.8504632</v>
      </c>
      <c r="G861" s="171" t="s">
        <v>16</v>
      </c>
      <c r="H861" s="168" t="s">
        <v>18</v>
      </c>
      <c r="I861" s="171">
        <v>1</v>
      </c>
      <c r="J861" s="171" t="s">
        <v>15</v>
      </c>
      <c r="K861" s="171" t="s">
        <v>80</v>
      </c>
      <c r="L861" s="168" t="s">
        <v>77</v>
      </c>
      <c r="M861" s="168" t="s">
        <v>18</v>
      </c>
    </row>
    <row r="862" spans="1:13" x14ac:dyDescent="0.2">
      <c r="A862" s="168" t="s">
        <v>74</v>
      </c>
      <c r="B862" s="168" t="s">
        <v>75</v>
      </c>
      <c r="C862" s="168" t="s">
        <v>19</v>
      </c>
      <c r="D862" s="168" t="s">
        <v>12</v>
      </c>
      <c r="E862" s="169">
        <v>42913</v>
      </c>
      <c r="F862" s="170">
        <v>2.15</v>
      </c>
      <c r="G862" s="171" t="s">
        <v>13</v>
      </c>
      <c r="H862" s="168" t="s">
        <v>14</v>
      </c>
      <c r="I862" s="171">
        <v>1</v>
      </c>
      <c r="J862" s="171" t="s">
        <v>15</v>
      </c>
      <c r="K862" s="171" t="s">
        <v>80</v>
      </c>
      <c r="L862" s="168" t="s">
        <v>77</v>
      </c>
      <c r="M862" s="168" t="s">
        <v>14</v>
      </c>
    </row>
    <row r="863" spans="1:13" x14ac:dyDescent="0.2">
      <c r="A863" s="168" t="s">
        <v>74</v>
      </c>
      <c r="B863" s="168" t="s">
        <v>75</v>
      </c>
      <c r="C863" s="168" t="s">
        <v>19</v>
      </c>
      <c r="D863" s="168" t="s">
        <v>12</v>
      </c>
      <c r="E863" s="169">
        <v>42913</v>
      </c>
      <c r="F863" s="170">
        <v>33.764073000000003</v>
      </c>
      <c r="G863" s="171" t="s">
        <v>16</v>
      </c>
      <c r="H863" s="168" t="s">
        <v>14</v>
      </c>
      <c r="I863" s="171">
        <v>1</v>
      </c>
      <c r="J863" s="171" t="s">
        <v>15</v>
      </c>
      <c r="K863" s="171" t="s">
        <v>80</v>
      </c>
      <c r="L863" s="168" t="s">
        <v>77</v>
      </c>
      <c r="M863" s="168" t="s">
        <v>14</v>
      </c>
    </row>
    <row r="864" spans="1:13" x14ac:dyDescent="0.2">
      <c r="A864" s="168" t="s">
        <v>74</v>
      </c>
      <c r="B864" s="168" t="s">
        <v>75</v>
      </c>
      <c r="C864" s="168" t="s">
        <v>19</v>
      </c>
      <c r="D864" s="168" t="s">
        <v>12</v>
      </c>
      <c r="E864" s="169">
        <v>42913</v>
      </c>
      <c r="F864" s="170">
        <v>1.52</v>
      </c>
      <c r="G864" s="171" t="s">
        <v>13</v>
      </c>
      <c r="H864" s="168" t="s">
        <v>18</v>
      </c>
      <c r="I864" s="171">
        <v>1</v>
      </c>
      <c r="J864" s="171" t="s">
        <v>15</v>
      </c>
      <c r="K864" s="171" t="s">
        <v>80</v>
      </c>
      <c r="L864" s="168" t="s">
        <v>77</v>
      </c>
      <c r="M864" s="168" t="s">
        <v>18</v>
      </c>
    </row>
    <row r="865" spans="1:13" x14ac:dyDescent="0.2">
      <c r="A865" s="168" t="s">
        <v>74</v>
      </c>
      <c r="B865" s="168" t="s">
        <v>75</v>
      </c>
      <c r="C865" s="168" t="s">
        <v>19</v>
      </c>
      <c r="D865" s="168" t="s">
        <v>12</v>
      </c>
      <c r="E865" s="169">
        <v>42913</v>
      </c>
      <c r="F865" s="170">
        <v>23.870414400000001</v>
      </c>
      <c r="G865" s="171" t="s">
        <v>16</v>
      </c>
      <c r="H865" s="168" t="s">
        <v>18</v>
      </c>
      <c r="I865" s="171">
        <v>1</v>
      </c>
      <c r="J865" s="171" t="s">
        <v>15</v>
      </c>
      <c r="K865" s="171" t="s">
        <v>80</v>
      </c>
      <c r="L865" s="168" t="s">
        <v>77</v>
      </c>
      <c r="M865" s="168" t="s">
        <v>18</v>
      </c>
    </row>
    <row r="866" spans="1:13" x14ac:dyDescent="0.2">
      <c r="A866" s="168" t="s">
        <v>74</v>
      </c>
      <c r="B866" s="168" t="s">
        <v>75</v>
      </c>
      <c r="C866" s="168" t="s">
        <v>19</v>
      </c>
      <c r="D866" s="168" t="s">
        <v>12</v>
      </c>
      <c r="E866" s="169">
        <v>42906</v>
      </c>
      <c r="F866" s="170">
        <v>3.95</v>
      </c>
      <c r="G866" s="171" t="s">
        <v>13</v>
      </c>
      <c r="H866" s="168" t="s">
        <v>14</v>
      </c>
      <c r="I866" s="171">
        <v>1</v>
      </c>
      <c r="J866" s="171" t="s">
        <v>15</v>
      </c>
      <c r="K866" s="171" t="s">
        <v>80</v>
      </c>
      <c r="L866" s="168" t="s">
        <v>77</v>
      </c>
      <c r="M866" s="168" t="s">
        <v>14</v>
      </c>
    </row>
    <row r="867" spans="1:13" x14ac:dyDescent="0.2">
      <c r="A867" s="168" t="s">
        <v>74</v>
      </c>
      <c r="B867" s="168" t="s">
        <v>75</v>
      </c>
      <c r="C867" s="168" t="s">
        <v>19</v>
      </c>
      <c r="D867" s="168" t="s">
        <v>12</v>
      </c>
      <c r="E867" s="169">
        <v>42906</v>
      </c>
      <c r="F867" s="170">
        <v>54.981867000000001</v>
      </c>
      <c r="G867" s="171" t="s">
        <v>16</v>
      </c>
      <c r="H867" s="168" t="s">
        <v>14</v>
      </c>
      <c r="I867" s="171">
        <v>1</v>
      </c>
      <c r="J867" s="171" t="s">
        <v>15</v>
      </c>
      <c r="K867" s="171" t="s">
        <v>80</v>
      </c>
      <c r="L867" s="168" t="s">
        <v>77</v>
      </c>
      <c r="M867" s="168" t="s">
        <v>14</v>
      </c>
    </row>
    <row r="868" spans="1:13" x14ac:dyDescent="0.2">
      <c r="A868" s="168" t="s">
        <v>74</v>
      </c>
      <c r="B868" s="168" t="s">
        <v>75</v>
      </c>
      <c r="C868" s="168" t="s">
        <v>19</v>
      </c>
      <c r="D868" s="168" t="s">
        <v>12</v>
      </c>
      <c r="E868" s="169">
        <v>42906</v>
      </c>
      <c r="F868" s="170">
        <v>2.65</v>
      </c>
      <c r="G868" s="171" t="s">
        <v>13</v>
      </c>
      <c r="H868" s="168" t="s">
        <v>18</v>
      </c>
      <c r="I868" s="171">
        <v>1</v>
      </c>
      <c r="J868" s="171" t="s">
        <v>15</v>
      </c>
      <c r="K868" s="171" t="s">
        <v>80</v>
      </c>
      <c r="L868" s="168" t="s">
        <v>77</v>
      </c>
      <c r="M868" s="168" t="s">
        <v>18</v>
      </c>
    </row>
    <row r="869" spans="1:13" x14ac:dyDescent="0.2">
      <c r="A869" s="168" t="s">
        <v>74</v>
      </c>
      <c r="B869" s="168" t="s">
        <v>75</v>
      </c>
      <c r="C869" s="168" t="s">
        <v>19</v>
      </c>
      <c r="D869" s="168" t="s">
        <v>12</v>
      </c>
      <c r="E869" s="169">
        <v>42906</v>
      </c>
      <c r="F869" s="170">
        <v>36.886569000000001</v>
      </c>
      <c r="G869" s="171" t="s">
        <v>16</v>
      </c>
      <c r="H869" s="168" t="s">
        <v>18</v>
      </c>
      <c r="I869" s="171">
        <v>1</v>
      </c>
      <c r="J869" s="171" t="s">
        <v>15</v>
      </c>
      <c r="K869" s="171" t="s">
        <v>80</v>
      </c>
      <c r="L869" s="168" t="s">
        <v>77</v>
      </c>
      <c r="M869" s="168" t="s">
        <v>18</v>
      </c>
    </row>
    <row r="870" spans="1:13" x14ac:dyDescent="0.2">
      <c r="A870" s="168" t="s">
        <v>74</v>
      </c>
      <c r="B870" s="168" t="s">
        <v>75</v>
      </c>
      <c r="C870" s="168" t="s">
        <v>19</v>
      </c>
      <c r="D870" s="168" t="s">
        <v>12</v>
      </c>
      <c r="E870" s="169">
        <v>42899</v>
      </c>
      <c r="F870" s="170">
        <v>3.97</v>
      </c>
      <c r="G870" s="171" t="s">
        <v>13</v>
      </c>
      <c r="H870" s="168" t="s">
        <v>14</v>
      </c>
      <c r="I870" s="171">
        <v>1</v>
      </c>
      <c r="J870" s="171" t="s">
        <v>15</v>
      </c>
      <c r="K870" s="171" t="s">
        <v>80</v>
      </c>
      <c r="L870" s="168" t="s">
        <v>77</v>
      </c>
      <c r="M870" s="168" t="s">
        <v>14</v>
      </c>
    </row>
    <row r="871" spans="1:13" x14ac:dyDescent="0.2">
      <c r="A871" s="168" t="s">
        <v>74</v>
      </c>
      <c r="B871" s="168" t="s">
        <v>75</v>
      </c>
      <c r="C871" s="168" t="s">
        <v>19</v>
      </c>
      <c r="D871" s="168" t="s">
        <v>12</v>
      </c>
      <c r="E871" s="169">
        <v>42899</v>
      </c>
      <c r="F871" s="170">
        <v>58.836114600000002</v>
      </c>
      <c r="G871" s="171" t="s">
        <v>16</v>
      </c>
      <c r="H871" s="168" t="s">
        <v>14</v>
      </c>
      <c r="I871" s="171">
        <v>1</v>
      </c>
      <c r="J871" s="171" t="s">
        <v>15</v>
      </c>
      <c r="K871" s="171" t="s">
        <v>80</v>
      </c>
      <c r="L871" s="168" t="s">
        <v>77</v>
      </c>
      <c r="M871" s="168" t="s">
        <v>14</v>
      </c>
    </row>
    <row r="872" spans="1:13" x14ac:dyDescent="0.2">
      <c r="A872" s="168" t="s">
        <v>74</v>
      </c>
      <c r="B872" s="168" t="s">
        <v>75</v>
      </c>
      <c r="C872" s="168" t="s">
        <v>19</v>
      </c>
      <c r="D872" s="168" t="s">
        <v>12</v>
      </c>
      <c r="E872" s="169">
        <v>42899</v>
      </c>
      <c r="F872" s="170">
        <v>3.12</v>
      </c>
      <c r="G872" s="171" t="s">
        <v>13</v>
      </c>
      <c r="H872" s="168" t="s">
        <v>18</v>
      </c>
      <c r="I872" s="171">
        <v>1</v>
      </c>
      <c r="J872" s="171" t="s">
        <v>15</v>
      </c>
      <c r="K872" s="171" t="s">
        <v>80</v>
      </c>
      <c r="L872" s="168" t="s">
        <v>77</v>
      </c>
      <c r="M872" s="168" t="s">
        <v>18</v>
      </c>
    </row>
    <row r="873" spans="1:13" x14ac:dyDescent="0.2">
      <c r="A873" s="168" t="s">
        <v>74</v>
      </c>
      <c r="B873" s="168" t="s">
        <v>75</v>
      </c>
      <c r="C873" s="168" t="s">
        <v>19</v>
      </c>
      <c r="D873" s="168" t="s">
        <v>12</v>
      </c>
      <c r="E873" s="169">
        <v>42899</v>
      </c>
      <c r="F873" s="170">
        <v>46.238961600000003</v>
      </c>
      <c r="G873" s="171" t="s">
        <v>16</v>
      </c>
      <c r="H873" s="168" t="s">
        <v>18</v>
      </c>
      <c r="I873" s="171">
        <v>1</v>
      </c>
      <c r="J873" s="171" t="s">
        <v>15</v>
      </c>
      <c r="K873" s="171" t="s">
        <v>80</v>
      </c>
      <c r="L873" s="168" t="s">
        <v>77</v>
      </c>
      <c r="M873" s="168" t="s">
        <v>18</v>
      </c>
    </row>
    <row r="874" spans="1:13" x14ac:dyDescent="0.2">
      <c r="A874" s="168" t="s">
        <v>74</v>
      </c>
      <c r="B874" s="168" t="s">
        <v>75</v>
      </c>
      <c r="C874" s="168" t="s">
        <v>19</v>
      </c>
      <c r="D874" s="168" t="s">
        <v>12</v>
      </c>
      <c r="E874" s="169">
        <v>42892</v>
      </c>
      <c r="F874" s="170">
        <v>4.45</v>
      </c>
      <c r="G874" s="171" t="s">
        <v>13</v>
      </c>
      <c r="H874" s="168" t="s">
        <v>14</v>
      </c>
      <c r="I874" s="171">
        <v>1</v>
      </c>
      <c r="J874" s="171" t="s">
        <v>15</v>
      </c>
      <c r="K874" s="171" t="s">
        <v>80</v>
      </c>
      <c r="L874" s="168" t="s">
        <v>77</v>
      </c>
      <c r="M874" s="168" t="s">
        <v>14</v>
      </c>
    </row>
    <row r="875" spans="1:13" x14ac:dyDescent="0.2">
      <c r="A875" s="168" t="s">
        <v>74</v>
      </c>
      <c r="B875" s="168" t="s">
        <v>75</v>
      </c>
      <c r="C875" s="168" t="s">
        <v>19</v>
      </c>
      <c r="D875" s="168" t="s">
        <v>12</v>
      </c>
      <c r="E875" s="169">
        <v>42892</v>
      </c>
      <c r="F875" s="170">
        <v>73.149722999999994</v>
      </c>
      <c r="G875" s="171" t="s">
        <v>16</v>
      </c>
      <c r="H875" s="168" t="s">
        <v>14</v>
      </c>
      <c r="I875" s="171">
        <v>1</v>
      </c>
      <c r="J875" s="171" t="s">
        <v>15</v>
      </c>
      <c r="K875" s="171" t="s">
        <v>80</v>
      </c>
      <c r="L875" s="168" t="s">
        <v>77</v>
      </c>
      <c r="M875" s="168" t="s">
        <v>14</v>
      </c>
    </row>
    <row r="876" spans="1:13" x14ac:dyDescent="0.2">
      <c r="A876" s="168" t="s">
        <v>74</v>
      </c>
      <c r="B876" s="168" t="s">
        <v>75</v>
      </c>
      <c r="C876" s="168" t="s">
        <v>19</v>
      </c>
      <c r="D876" s="168" t="s">
        <v>12</v>
      </c>
      <c r="E876" s="169">
        <v>42892</v>
      </c>
      <c r="F876" s="170">
        <v>1.99</v>
      </c>
      <c r="G876" s="171" t="s">
        <v>13</v>
      </c>
      <c r="H876" s="168" t="s">
        <v>18</v>
      </c>
      <c r="I876" s="171">
        <v>1</v>
      </c>
      <c r="J876" s="171" t="s">
        <v>15</v>
      </c>
      <c r="K876" s="171" t="s">
        <v>80</v>
      </c>
      <c r="L876" s="168" t="s">
        <v>77</v>
      </c>
      <c r="M876" s="168" t="s">
        <v>18</v>
      </c>
    </row>
    <row r="877" spans="1:13" x14ac:dyDescent="0.2">
      <c r="A877" s="168" t="s">
        <v>74</v>
      </c>
      <c r="B877" s="168" t="s">
        <v>75</v>
      </c>
      <c r="C877" s="168" t="s">
        <v>19</v>
      </c>
      <c r="D877" s="168" t="s">
        <v>12</v>
      </c>
      <c r="E877" s="169">
        <v>42892</v>
      </c>
      <c r="F877" s="170">
        <v>32.711898599999998</v>
      </c>
      <c r="G877" s="171" t="s">
        <v>16</v>
      </c>
      <c r="H877" s="168" t="s">
        <v>18</v>
      </c>
      <c r="I877" s="171">
        <v>1</v>
      </c>
      <c r="J877" s="171" t="s">
        <v>15</v>
      </c>
      <c r="K877" s="171" t="s">
        <v>80</v>
      </c>
      <c r="L877" s="168" t="s">
        <v>77</v>
      </c>
      <c r="M877" s="168" t="s">
        <v>18</v>
      </c>
    </row>
    <row r="878" spans="1:13" x14ac:dyDescent="0.2">
      <c r="A878" s="168" t="s">
        <v>74</v>
      </c>
      <c r="B878" s="168" t="s">
        <v>75</v>
      </c>
      <c r="C878" s="168" t="s">
        <v>19</v>
      </c>
      <c r="D878" s="168" t="s">
        <v>12</v>
      </c>
      <c r="E878" s="169">
        <v>42885</v>
      </c>
      <c r="F878" s="170">
        <v>2.6</v>
      </c>
      <c r="G878" s="171" t="s">
        <v>13</v>
      </c>
      <c r="H878" s="168" t="s">
        <v>14</v>
      </c>
      <c r="I878" s="171">
        <v>1</v>
      </c>
      <c r="J878" s="171" t="s">
        <v>15</v>
      </c>
      <c r="K878" s="171" t="s">
        <v>80</v>
      </c>
      <c r="L878" s="168" t="s">
        <v>77</v>
      </c>
      <c r="M878" s="168" t="s">
        <v>14</v>
      </c>
    </row>
    <row r="879" spans="1:13" x14ac:dyDescent="0.2">
      <c r="A879" s="168" t="s">
        <v>74</v>
      </c>
      <c r="B879" s="168" t="s">
        <v>75</v>
      </c>
      <c r="C879" s="168" t="s">
        <v>19</v>
      </c>
      <c r="D879" s="168" t="s">
        <v>12</v>
      </c>
      <c r="E879" s="169">
        <v>42885</v>
      </c>
      <c r="F879" s="170">
        <v>46.837440000000001</v>
      </c>
      <c r="G879" s="171" t="s">
        <v>16</v>
      </c>
      <c r="H879" s="168" t="s">
        <v>14</v>
      </c>
      <c r="I879" s="171">
        <v>1</v>
      </c>
      <c r="J879" s="171" t="s">
        <v>15</v>
      </c>
      <c r="K879" s="171" t="s">
        <v>80</v>
      </c>
      <c r="L879" s="168" t="s">
        <v>77</v>
      </c>
      <c r="M879" s="168" t="s">
        <v>14</v>
      </c>
    </row>
    <row r="880" spans="1:13" x14ac:dyDescent="0.2">
      <c r="A880" s="168" t="s">
        <v>74</v>
      </c>
      <c r="B880" s="168" t="s">
        <v>75</v>
      </c>
      <c r="C880" s="168" t="s">
        <v>19</v>
      </c>
      <c r="D880" s="168" t="s">
        <v>12</v>
      </c>
      <c r="E880" s="169">
        <v>42885</v>
      </c>
      <c r="F880" s="170">
        <v>1.74</v>
      </c>
      <c r="G880" s="171" t="s">
        <v>13</v>
      </c>
      <c r="H880" s="168" t="s">
        <v>18</v>
      </c>
      <c r="I880" s="171">
        <v>1</v>
      </c>
      <c r="J880" s="171" t="s">
        <v>15</v>
      </c>
      <c r="K880" s="171" t="s">
        <v>80</v>
      </c>
      <c r="L880" s="168" t="s">
        <v>77</v>
      </c>
      <c r="M880" s="168" t="s">
        <v>18</v>
      </c>
    </row>
    <row r="881" spans="1:13" x14ac:dyDescent="0.2">
      <c r="A881" s="168" t="s">
        <v>74</v>
      </c>
      <c r="B881" s="168" t="s">
        <v>75</v>
      </c>
      <c r="C881" s="168" t="s">
        <v>19</v>
      </c>
      <c r="D881" s="168" t="s">
        <v>12</v>
      </c>
      <c r="E881" s="169">
        <v>42885</v>
      </c>
      <c r="F881" s="170">
        <v>31.345056</v>
      </c>
      <c r="G881" s="171" t="s">
        <v>16</v>
      </c>
      <c r="H881" s="168" t="s">
        <v>18</v>
      </c>
      <c r="I881" s="171">
        <v>1</v>
      </c>
      <c r="J881" s="171" t="s">
        <v>15</v>
      </c>
      <c r="K881" s="171" t="s">
        <v>80</v>
      </c>
      <c r="L881" s="168" t="s">
        <v>77</v>
      </c>
      <c r="M881" s="168" t="s">
        <v>18</v>
      </c>
    </row>
    <row r="882" spans="1:13" x14ac:dyDescent="0.2">
      <c r="A882" s="168" t="s">
        <v>74</v>
      </c>
      <c r="B882" s="168" t="s">
        <v>75</v>
      </c>
      <c r="C882" s="168" t="s">
        <v>19</v>
      </c>
      <c r="D882" s="168" t="s">
        <v>12</v>
      </c>
      <c r="E882" s="169">
        <v>42878</v>
      </c>
      <c r="F882" s="170">
        <v>2.66</v>
      </c>
      <c r="G882" s="171" t="s">
        <v>13</v>
      </c>
      <c r="H882" s="168" t="s">
        <v>14</v>
      </c>
      <c r="I882" s="171">
        <v>1</v>
      </c>
      <c r="J882" s="171" t="s">
        <v>15</v>
      </c>
      <c r="K882" s="171" t="s">
        <v>80</v>
      </c>
      <c r="L882" s="168" t="s">
        <v>77</v>
      </c>
      <c r="M882" s="168" t="s">
        <v>14</v>
      </c>
    </row>
    <row r="883" spans="1:13" x14ac:dyDescent="0.2">
      <c r="A883" s="168" t="s">
        <v>74</v>
      </c>
      <c r="B883" s="168" t="s">
        <v>75</v>
      </c>
      <c r="C883" s="168" t="s">
        <v>19</v>
      </c>
      <c r="D883" s="168" t="s">
        <v>12</v>
      </c>
      <c r="E883" s="169">
        <v>42878</v>
      </c>
      <c r="F883" s="170">
        <v>63.580490400000002</v>
      </c>
      <c r="G883" s="171" t="s">
        <v>16</v>
      </c>
      <c r="H883" s="168" t="s">
        <v>14</v>
      </c>
      <c r="I883" s="171">
        <v>1</v>
      </c>
      <c r="J883" s="171" t="s">
        <v>15</v>
      </c>
      <c r="K883" s="171" t="s">
        <v>80</v>
      </c>
      <c r="L883" s="168" t="s">
        <v>77</v>
      </c>
      <c r="M883" s="168" t="s">
        <v>14</v>
      </c>
    </row>
    <row r="884" spans="1:13" x14ac:dyDescent="0.2">
      <c r="A884" s="168" t="s">
        <v>74</v>
      </c>
      <c r="B884" s="168" t="s">
        <v>75</v>
      </c>
      <c r="C884" s="168" t="s">
        <v>19</v>
      </c>
      <c r="D884" s="168" t="s">
        <v>12</v>
      </c>
      <c r="E884" s="169">
        <v>42878</v>
      </c>
      <c r="F884" s="170">
        <v>1.67</v>
      </c>
      <c r="G884" s="171" t="s">
        <v>13</v>
      </c>
      <c r="H884" s="168" t="s">
        <v>18</v>
      </c>
      <c r="I884" s="171">
        <v>1</v>
      </c>
      <c r="J884" s="171" t="s">
        <v>15</v>
      </c>
      <c r="K884" s="171" t="s">
        <v>80</v>
      </c>
      <c r="L884" s="168" t="s">
        <v>77</v>
      </c>
      <c r="M884" s="168" t="s">
        <v>18</v>
      </c>
    </row>
    <row r="885" spans="1:13" x14ac:dyDescent="0.2">
      <c r="A885" s="168" t="s">
        <v>74</v>
      </c>
      <c r="B885" s="168" t="s">
        <v>75</v>
      </c>
      <c r="C885" s="168" t="s">
        <v>19</v>
      </c>
      <c r="D885" s="168" t="s">
        <v>12</v>
      </c>
      <c r="E885" s="169">
        <v>42878</v>
      </c>
      <c r="F885" s="170">
        <v>39.917074800000002</v>
      </c>
      <c r="G885" s="171" t="s">
        <v>16</v>
      </c>
      <c r="H885" s="168" t="s">
        <v>18</v>
      </c>
      <c r="I885" s="171">
        <v>1</v>
      </c>
      <c r="J885" s="171" t="s">
        <v>15</v>
      </c>
      <c r="K885" s="171" t="s">
        <v>80</v>
      </c>
      <c r="L885" s="168" t="s">
        <v>77</v>
      </c>
      <c r="M885" s="168" t="s">
        <v>18</v>
      </c>
    </row>
    <row r="886" spans="1:13" x14ac:dyDescent="0.2">
      <c r="A886" s="168" t="s">
        <v>74</v>
      </c>
      <c r="B886" s="168" t="s">
        <v>75</v>
      </c>
      <c r="C886" s="168" t="s">
        <v>19</v>
      </c>
      <c r="D886" s="168" t="s">
        <v>12</v>
      </c>
      <c r="E886" s="169">
        <v>42871</v>
      </c>
      <c r="F886" s="170">
        <v>2.23</v>
      </c>
      <c r="G886" s="171" t="s">
        <v>13</v>
      </c>
      <c r="H886" s="168" t="s">
        <v>14</v>
      </c>
      <c r="I886" s="171">
        <v>1</v>
      </c>
      <c r="J886" s="171" t="s">
        <v>15</v>
      </c>
      <c r="K886" s="171" t="s">
        <v>80</v>
      </c>
      <c r="L886" s="168" t="s">
        <v>77</v>
      </c>
      <c r="M886" s="168" t="s">
        <v>14</v>
      </c>
    </row>
    <row r="887" spans="1:13" x14ac:dyDescent="0.2">
      <c r="A887" s="168" t="s">
        <v>74</v>
      </c>
      <c r="B887" s="168" t="s">
        <v>75</v>
      </c>
      <c r="C887" s="168" t="s">
        <v>19</v>
      </c>
      <c r="D887" s="168" t="s">
        <v>12</v>
      </c>
      <c r="E887" s="169">
        <v>42871</v>
      </c>
      <c r="F887" s="170">
        <v>42.8502528</v>
      </c>
      <c r="G887" s="171" t="s">
        <v>16</v>
      </c>
      <c r="H887" s="168" t="s">
        <v>14</v>
      </c>
      <c r="I887" s="171">
        <v>1</v>
      </c>
      <c r="J887" s="171" t="s">
        <v>15</v>
      </c>
      <c r="K887" s="171" t="s">
        <v>80</v>
      </c>
      <c r="L887" s="168" t="s">
        <v>77</v>
      </c>
      <c r="M887" s="168" t="s">
        <v>14</v>
      </c>
    </row>
    <row r="888" spans="1:13" x14ac:dyDescent="0.2">
      <c r="A888" s="168" t="s">
        <v>74</v>
      </c>
      <c r="B888" s="168" t="s">
        <v>75</v>
      </c>
      <c r="C888" s="168" t="s">
        <v>19</v>
      </c>
      <c r="D888" s="168" t="s">
        <v>12</v>
      </c>
      <c r="E888" s="169">
        <v>42871</v>
      </c>
      <c r="F888" s="170">
        <v>1.54</v>
      </c>
      <c r="G888" s="171" t="s">
        <v>13</v>
      </c>
      <c r="H888" s="168" t="s">
        <v>18</v>
      </c>
      <c r="I888" s="171">
        <v>1</v>
      </c>
      <c r="J888" s="171" t="s">
        <v>15</v>
      </c>
      <c r="K888" s="171" t="s">
        <v>80</v>
      </c>
      <c r="L888" s="168" t="s">
        <v>77</v>
      </c>
      <c r="M888" s="168" t="s">
        <v>18</v>
      </c>
    </row>
    <row r="889" spans="1:13" x14ac:dyDescent="0.2">
      <c r="A889" s="168" t="s">
        <v>74</v>
      </c>
      <c r="B889" s="168" t="s">
        <v>75</v>
      </c>
      <c r="C889" s="168" t="s">
        <v>19</v>
      </c>
      <c r="D889" s="168" t="s">
        <v>12</v>
      </c>
      <c r="E889" s="169">
        <v>42871</v>
      </c>
      <c r="F889" s="170">
        <v>29.591654399999999</v>
      </c>
      <c r="G889" s="171" t="s">
        <v>16</v>
      </c>
      <c r="H889" s="168" t="s">
        <v>18</v>
      </c>
      <c r="I889" s="171">
        <v>1</v>
      </c>
      <c r="J889" s="171" t="s">
        <v>15</v>
      </c>
      <c r="K889" s="171" t="s">
        <v>80</v>
      </c>
      <c r="L889" s="168" t="s">
        <v>77</v>
      </c>
      <c r="M889" s="168" t="s">
        <v>18</v>
      </c>
    </row>
    <row r="890" spans="1:13" x14ac:dyDescent="0.2">
      <c r="A890" s="168" t="s">
        <v>74</v>
      </c>
      <c r="B890" s="168" t="s">
        <v>75</v>
      </c>
      <c r="C890" s="168" t="s">
        <v>19</v>
      </c>
      <c r="D890" s="168" t="s">
        <v>12</v>
      </c>
      <c r="E890" s="169">
        <v>42864</v>
      </c>
      <c r="F890" s="170">
        <v>3.27</v>
      </c>
      <c r="G890" s="171" t="s">
        <v>13</v>
      </c>
      <c r="H890" s="168" t="s">
        <v>14</v>
      </c>
      <c r="I890" s="171">
        <v>1</v>
      </c>
      <c r="J890" s="171" t="s">
        <v>15</v>
      </c>
      <c r="K890" s="171" t="s">
        <v>80</v>
      </c>
      <c r="L890" s="168" t="s">
        <v>77</v>
      </c>
      <c r="M890" s="168" t="s">
        <v>14</v>
      </c>
    </row>
    <row r="891" spans="1:13" x14ac:dyDescent="0.2">
      <c r="A891" s="168" t="s">
        <v>74</v>
      </c>
      <c r="B891" s="168" t="s">
        <v>75</v>
      </c>
      <c r="C891" s="168" t="s">
        <v>19</v>
      </c>
      <c r="D891" s="168" t="s">
        <v>12</v>
      </c>
      <c r="E891" s="169">
        <v>42864</v>
      </c>
      <c r="F891" s="170">
        <v>61.497909</v>
      </c>
      <c r="G891" s="171" t="s">
        <v>16</v>
      </c>
      <c r="H891" s="168" t="s">
        <v>14</v>
      </c>
      <c r="I891" s="171">
        <v>1</v>
      </c>
      <c r="J891" s="171" t="s">
        <v>15</v>
      </c>
      <c r="K891" s="171" t="s">
        <v>80</v>
      </c>
      <c r="L891" s="168" t="s">
        <v>77</v>
      </c>
      <c r="M891" s="168" t="s">
        <v>14</v>
      </c>
    </row>
    <row r="892" spans="1:13" x14ac:dyDescent="0.2">
      <c r="A892" s="168" t="s">
        <v>74</v>
      </c>
      <c r="B892" s="168" t="s">
        <v>75</v>
      </c>
      <c r="C892" s="168" t="s">
        <v>19</v>
      </c>
      <c r="D892" s="168" t="s">
        <v>12</v>
      </c>
      <c r="E892" s="169">
        <v>42864</v>
      </c>
      <c r="F892" s="170">
        <v>1.92</v>
      </c>
      <c r="G892" s="171" t="s">
        <v>13</v>
      </c>
      <c r="H892" s="168" t="s">
        <v>18</v>
      </c>
      <c r="I892" s="171">
        <v>1</v>
      </c>
      <c r="J892" s="171" t="s">
        <v>15</v>
      </c>
      <c r="K892" s="171" t="s">
        <v>80</v>
      </c>
      <c r="L892" s="168" t="s">
        <v>77</v>
      </c>
      <c r="M892" s="168" t="s">
        <v>18</v>
      </c>
    </row>
    <row r="893" spans="1:13" x14ac:dyDescent="0.2">
      <c r="A893" s="168" t="s">
        <v>74</v>
      </c>
      <c r="B893" s="168" t="s">
        <v>75</v>
      </c>
      <c r="C893" s="168" t="s">
        <v>19</v>
      </c>
      <c r="D893" s="168" t="s">
        <v>12</v>
      </c>
      <c r="E893" s="169">
        <v>42864</v>
      </c>
      <c r="F893" s="170">
        <v>36.108863999999997</v>
      </c>
      <c r="G893" s="171" t="s">
        <v>16</v>
      </c>
      <c r="H893" s="168" t="s">
        <v>18</v>
      </c>
      <c r="I893" s="171">
        <v>1</v>
      </c>
      <c r="J893" s="171" t="s">
        <v>15</v>
      </c>
      <c r="K893" s="171" t="s">
        <v>80</v>
      </c>
      <c r="L893" s="168" t="s">
        <v>77</v>
      </c>
      <c r="M893" s="168" t="s">
        <v>18</v>
      </c>
    </row>
    <row r="894" spans="1:13" x14ac:dyDescent="0.2">
      <c r="A894" s="168" t="s">
        <v>74</v>
      </c>
      <c r="B894" s="168" t="s">
        <v>75</v>
      </c>
      <c r="C894" s="168" t="s">
        <v>19</v>
      </c>
      <c r="D894" s="168" t="s">
        <v>12</v>
      </c>
      <c r="E894" s="169">
        <v>42857</v>
      </c>
      <c r="F894" s="170">
        <v>3.07</v>
      </c>
      <c r="G894" s="171" t="s">
        <v>13</v>
      </c>
      <c r="H894" s="168" t="s">
        <v>14</v>
      </c>
      <c r="I894" s="171">
        <v>1</v>
      </c>
      <c r="J894" s="171" t="s">
        <v>15</v>
      </c>
      <c r="K894" s="171" t="s">
        <v>80</v>
      </c>
      <c r="L894" s="168" t="s">
        <v>77</v>
      </c>
      <c r="M894" s="168" t="s">
        <v>14</v>
      </c>
    </row>
    <row r="895" spans="1:13" x14ac:dyDescent="0.2">
      <c r="A895" s="168" t="s">
        <v>74</v>
      </c>
      <c r="B895" s="168" t="s">
        <v>75</v>
      </c>
      <c r="C895" s="168" t="s">
        <v>19</v>
      </c>
      <c r="D895" s="168" t="s">
        <v>12</v>
      </c>
      <c r="E895" s="169">
        <v>42857</v>
      </c>
      <c r="F895" s="170">
        <v>67.875673800000001</v>
      </c>
      <c r="G895" s="171" t="s">
        <v>16</v>
      </c>
      <c r="H895" s="168" t="s">
        <v>14</v>
      </c>
      <c r="I895" s="171">
        <v>1</v>
      </c>
      <c r="J895" s="171" t="s">
        <v>15</v>
      </c>
      <c r="K895" s="171" t="s">
        <v>80</v>
      </c>
      <c r="L895" s="168" t="s">
        <v>77</v>
      </c>
      <c r="M895" s="168" t="s">
        <v>14</v>
      </c>
    </row>
    <row r="896" spans="1:13" x14ac:dyDescent="0.2">
      <c r="A896" s="168" t="s">
        <v>74</v>
      </c>
      <c r="B896" s="168" t="s">
        <v>75</v>
      </c>
      <c r="C896" s="168" t="s">
        <v>19</v>
      </c>
      <c r="D896" s="168" t="s">
        <v>12</v>
      </c>
      <c r="E896" s="169">
        <v>42857</v>
      </c>
      <c r="F896" s="170">
        <v>2.1</v>
      </c>
      <c r="G896" s="171" t="s">
        <v>13</v>
      </c>
      <c r="H896" s="168" t="s">
        <v>18</v>
      </c>
      <c r="I896" s="171">
        <v>1</v>
      </c>
      <c r="J896" s="171" t="s">
        <v>15</v>
      </c>
      <c r="K896" s="171" t="s">
        <v>80</v>
      </c>
      <c r="L896" s="168" t="s">
        <v>77</v>
      </c>
      <c r="M896" s="168" t="s">
        <v>18</v>
      </c>
    </row>
    <row r="897" spans="1:13" x14ac:dyDescent="0.2">
      <c r="A897" s="168" t="s">
        <v>74</v>
      </c>
      <c r="B897" s="168" t="s">
        <v>75</v>
      </c>
      <c r="C897" s="168" t="s">
        <v>19</v>
      </c>
      <c r="D897" s="168" t="s">
        <v>12</v>
      </c>
      <c r="E897" s="169">
        <v>42857</v>
      </c>
      <c r="F897" s="170">
        <v>46.429614000000001</v>
      </c>
      <c r="G897" s="171" t="s">
        <v>16</v>
      </c>
      <c r="H897" s="168" t="s">
        <v>18</v>
      </c>
      <c r="I897" s="171">
        <v>1</v>
      </c>
      <c r="J897" s="171" t="s">
        <v>15</v>
      </c>
      <c r="K897" s="171" t="s">
        <v>80</v>
      </c>
      <c r="L897" s="168" t="s">
        <v>77</v>
      </c>
      <c r="M897" s="168" t="s">
        <v>18</v>
      </c>
    </row>
    <row r="898" spans="1:13" x14ac:dyDescent="0.2">
      <c r="A898" s="168" t="s">
        <v>74</v>
      </c>
      <c r="B898" s="168" t="s">
        <v>75</v>
      </c>
      <c r="C898" s="168" t="s">
        <v>19</v>
      </c>
      <c r="D898" s="168" t="s">
        <v>12</v>
      </c>
      <c r="E898" s="169">
        <v>42850</v>
      </c>
      <c r="F898" s="170">
        <v>2.91</v>
      </c>
      <c r="G898" s="171" t="s">
        <v>13</v>
      </c>
      <c r="H898" s="168" t="s">
        <v>14</v>
      </c>
      <c r="I898" s="171">
        <v>1</v>
      </c>
      <c r="J898" s="171" t="s">
        <v>15</v>
      </c>
      <c r="K898" s="171" t="s">
        <v>76</v>
      </c>
      <c r="L898" s="168" t="s">
        <v>77</v>
      </c>
    </row>
    <row r="899" spans="1:13" x14ac:dyDescent="0.2">
      <c r="A899" s="168" t="s">
        <v>74</v>
      </c>
      <c r="B899" s="168" t="s">
        <v>75</v>
      </c>
      <c r="C899" s="168" t="s">
        <v>19</v>
      </c>
      <c r="D899" s="168" t="s">
        <v>12</v>
      </c>
      <c r="E899" s="169">
        <v>42850</v>
      </c>
      <c r="F899" s="170">
        <v>67.080621600000001</v>
      </c>
      <c r="G899" s="171" t="s">
        <v>16</v>
      </c>
      <c r="H899" s="168" t="s">
        <v>14</v>
      </c>
      <c r="I899" s="171">
        <v>1</v>
      </c>
      <c r="J899" s="171" t="s">
        <v>15</v>
      </c>
      <c r="K899" s="171" t="s">
        <v>76</v>
      </c>
      <c r="L899" s="168" t="s">
        <v>77</v>
      </c>
    </row>
    <row r="900" spans="1:13" x14ac:dyDescent="0.2">
      <c r="A900" s="168" t="s">
        <v>74</v>
      </c>
      <c r="B900" s="168" t="s">
        <v>75</v>
      </c>
      <c r="C900" s="168" t="s">
        <v>19</v>
      </c>
      <c r="D900" s="168" t="s">
        <v>12</v>
      </c>
      <c r="E900" s="169">
        <v>42850</v>
      </c>
      <c r="F900" s="170">
        <v>1.77</v>
      </c>
      <c r="G900" s="171" t="s">
        <v>13</v>
      </c>
      <c r="H900" s="168" t="s">
        <v>18</v>
      </c>
      <c r="I900" s="171">
        <v>1</v>
      </c>
      <c r="J900" s="171" t="s">
        <v>15</v>
      </c>
      <c r="K900" s="171" t="s">
        <v>76</v>
      </c>
      <c r="L900" s="168" t="s">
        <v>77</v>
      </c>
    </row>
    <row r="901" spans="1:13" x14ac:dyDescent="0.2">
      <c r="A901" s="168" t="s">
        <v>74</v>
      </c>
      <c r="B901" s="168" t="s">
        <v>75</v>
      </c>
      <c r="C901" s="168" t="s">
        <v>19</v>
      </c>
      <c r="D901" s="168" t="s">
        <v>12</v>
      </c>
      <c r="E901" s="169">
        <v>42850</v>
      </c>
      <c r="F901" s="170">
        <v>40.801615200000001</v>
      </c>
      <c r="G901" s="171" t="s">
        <v>16</v>
      </c>
      <c r="H901" s="168" t="s">
        <v>18</v>
      </c>
      <c r="I901" s="171">
        <v>1</v>
      </c>
      <c r="J901" s="171" t="s">
        <v>15</v>
      </c>
      <c r="K901" s="171" t="s">
        <v>76</v>
      </c>
      <c r="L901" s="168" t="s">
        <v>77</v>
      </c>
    </row>
    <row r="902" spans="1:13" x14ac:dyDescent="0.2">
      <c r="A902" s="168" t="s">
        <v>74</v>
      </c>
      <c r="B902" s="168" t="s">
        <v>75</v>
      </c>
      <c r="C902" s="168" t="s">
        <v>19</v>
      </c>
      <c r="D902" s="168" t="s">
        <v>12</v>
      </c>
      <c r="E902" s="169">
        <v>42843</v>
      </c>
      <c r="F902" s="170">
        <v>2.35</v>
      </c>
      <c r="G902" s="171" t="s">
        <v>13</v>
      </c>
      <c r="H902" s="168" t="s">
        <v>14</v>
      </c>
      <c r="I902" s="171">
        <v>1</v>
      </c>
      <c r="J902" s="171" t="s">
        <v>15</v>
      </c>
      <c r="K902" s="171" t="s">
        <v>76</v>
      </c>
      <c r="L902" s="168" t="s">
        <v>77</v>
      </c>
    </row>
    <row r="903" spans="1:13" x14ac:dyDescent="0.2">
      <c r="A903" s="168" t="s">
        <v>74</v>
      </c>
      <c r="B903" s="168" t="s">
        <v>75</v>
      </c>
      <c r="C903" s="168" t="s">
        <v>19</v>
      </c>
      <c r="D903" s="168" t="s">
        <v>12</v>
      </c>
      <c r="E903" s="169">
        <v>42843</v>
      </c>
      <c r="F903" s="170">
        <v>52.152939000000003</v>
      </c>
      <c r="G903" s="171" t="s">
        <v>16</v>
      </c>
      <c r="H903" s="168" t="s">
        <v>14</v>
      </c>
      <c r="I903" s="171">
        <v>1</v>
      </c>
      <c r="J903" s="171" t="s">
        <v>15</v>
      </c>
      <c r="K903" s="171" t="s">
        <v>76</v>
      </c>
      <c r="L903" s="168" t="s">
        <v>77</v>
      </c>
    </row>
    <row r="904" spans="1:13" x14ac:dyDescent="0.2">
      <c r="A904" s="168" t="s">
        <v>74</v>
      </c>
      <c r="B904" s="168" t="s">
        <v>75</v>
      </c>
      <c r="C904" s="168" t="s">
        <v>19</v>
      </c>
      <c r="D904" s="168" t="s">
        <v>12</v>
      </c>
      <c r="E904" s="169">
        <v>42843</v>
      </c>
      <c r="F904" s="170">
        <v>1.44</v>
      </c>
      <c r="G904" s="171" t="s">
        <v>13</v>
      </c>
      <c r="H904" s="168" t="s">
        <v>18</v>
      </c>
      <c r="I904" s="171">
        <v>1</v>
      </c>
      <c r="J904" s="171" t="s">
        <v>15</v>
      </c>
      <c r="K904" s="171" t="s">
        <v>76</v>
      </c>
      <c r="L904" s="168" t="s">
        <v>77</v>
      </c>
    </row>
    <row r="905" spans="1:13" x14ac:dyDescent="0.2">
      <c r="A905" s="168" t="s">
        <v>74</v>
      </c>
      <c r="B905" s="168" t="s">
        <v>75</v>
      </c>
      <c r="C905" s="168" t="s">
        <v>19</v>
      </c>
      <c r="D905" s="168" t="s">
        <v>12</v>
      </c>
      <c r="E905" s="169">
        <v>42843</v>
      </c>
      <c r="F905" s="170">
        <v>31.9575456</v>
      </c>
      <c r="G905" s="171" t="s">
        <v>16</v>
      </c>
      <c r="H905" s="168" t="s">
        <v>18</v>
      </c>
      <c r="I905" s="171">
        <v>1</v>
      </c>
      <c r="J905" s="171" t="s">
        <v>15</v>
      </c>
      <c r="K905" s="171" t="s">
        <v>76</v>
      </c>
      <c r="L905" s="168" t="s">
        <v>77</v>
      </c>
    </row>
    <row r="906" spans="1:13" x14ac:dyDescent="0.2">
      <c r="A906" s="168" t="s">
        <v>74</v>
      </c>
      <c r="B906" s="168" t="s">
        <v>75</v>
      </c>
      <c r="C906" s="168" t="s">
        <v>19</v>
      </c>
      <c r="D906" s="168" t="s">
        <v>12</v>
      </c>
      <c r="E906" s="169">
        <v>42836</v>
      </c>
      <c r="F906" s="170">
        <v>3.02</v>
      </c>
      <c r="G906" s="171" t="s">
        <v>13</v>
      </c>
      <c r="H906" s="168" t="s">
        <v>14</v>
      </c>
      <c r="I906" s="171">
        <v>1</v>
      </c>
      <c r="J906" s="171" t="s">
        <v>15</v>
      </c>
      <c r="K906" s="171" t="s">
        <v>76</v>
      </c>
      <c r="L906" s="168" t="s">
        <v>77</v>
      </c>
    </row>
    <row r="907" spans="1:13" x14ac:dyDescent="0.2">
      <c r="A907" s="168" t="s">
        <v>74</v>
      </c>
      <c r="B907" s="168" t="s">
        <v>75</v>
      </c>
      <c r="C907" s="168" t="s">
        <v>19</v>
      </c>
      <c r="D907" s="168" t="s">
        <v>12</v>
      </c>
      <c r="E907" s="169">
        <v>42836</v>
      </c>
      <c r="F907" s="170">
        <v>61.732846799999997</v>
      </c>
      <c r="G907" s="171" t="s">
        <v>16</v>
      </c>
      <c r="H907" s="168" t="s">
        <v>14</v>
      </c>
      <c r="I907" s="171">
        <v>1</v>
      </c>
      <c r="J907" s="171" t="s">
        <v>15</v>
      </c>
      <c r="K907" s="171" t="s">
        <v>76</v>
      </c>
      <c r="L907" s="168" t="s">
        <v>77</v>
      </c>
    </row>
    <row r="908" spans="1:13" x14ac:dyDescent="0.2">
      <c r="A908" s="168" t="s">
        <v>74</v>
      </c>
      <c r="B908" s="168" t="s">
        <v>75</v>
      </c>
      <c r="C908" s="168" t="s">
        <v>19</v>
      </c>
      <c r="D908" s="168" t="s">
        <v>12</v>
      </c>
      <c r="E908" s="169">
        <v>42836</v>
      </c>
      <c r="F908" s="170">
        <v>1.51</v>
      </c>
      <c r="G908" s="171" t="s">
        <v>13</v>
      </c>
      <c r="H908" s="168" t="s">
        <v>18</v>
      </c>
      <c r="I908" s="171">
        <v>1</v>
      </c>
      <c r="J908" s="171" t="s">
        <v>15</v>
      </c>
      <c r="K908" s="171" t="s">
        <v>76</v>
      </c>
      <c r="L908" s="168" t="s">
        <v>77</v>
      </c>
    </row>
    <row r="909" spans="1:13" x14ac:dyDescent="0.2">
      <c r="A909" s="168" t="s">
        <v>74</v>
      </c>
      <c r="B909" s="168" t="s">
        <v>75</v>
      </c>
      <c r="C909" s="168" t="s">
        <v>19</v>
      </c>
      <c r="D909" s="168" t="s">
        <v>12</v>
      </c>
      <c r="E909" s="169">
        <v>42836</v>
      </c>
      <c r="F909" s="170">
        <v>30.866423399999999</v>
      </c>
      <c r="G909" s="171" t="s">
        <v>16</v>
      </c>
      <c r="H909" s="168" t="s">
        <v>18</v>
      </c>
      <c r="I909" s="171">
        <v>1</v>
      </c>
      <c r="J909" s="171" t="s">
        <v>15</v>
      </c>
      <c r="K909" s="171" t="s">
        <v>76</v>
      </c>
      <c r="L909" s="168" t="s">
        <v>77</v>
      </c>
    </row>
    <row r="910" spans="1:13" x14ac:dyDescent="0.2">
      <c r="A910" s="168" t="s">
        <v>74</v>
      </c>
      <c r="B910" s="168" t="s">
        <v>75</v>
      </c>
      <c r="C910" s="168" t="s">
        <v>19</v>
      </c>
      <c r="D910" s="168" t="s">
        <v>12</v>
      </c>
      <c r="E910" s="169">
        <v>42829</v>
      </c>
      <c r="F910" s="170">
        <v>2.15</v>
      </c>
      <c r="G910" s="171" t="s">
        <v>13</v>
      </c>
      <c r="H910" s="168" t="s">
        <v>14</v>
      </c>
      <c r="I910" s="171">
        <v>1</v>
      </c>
      <c r="J910" s="171" t="s">
        <v>15</v>
      </c>
      <c r="K910" s="171" t="s">
        <v>76</v>
      </c>
      <c r="L910" s="168" t="s">
        <v>77</v>
      </c>
    </row>
    <row r="911" spans="1:13" x14ac:dyDescent="0.2">
      <c r="A911" s="168" t="s">
        <v>74</v>
      </c>
      <c r="B911" s="168" t="s">
        <v>75</v>
      </c>
      <c r="C911" s="168" t="s">
        <v>19</v>
      </c>
      <c r="D911" s="168" t="s">
        <v>12</v>
      </c>
      <c r="E911" s="169">
        <v>42829</v>
      </c>
      <c r="F911" s="170">
        <v>59.477127000000003</v>
      </c>
      <c r="G911" s="171" t="s">
        <v>16</v>
      </c>
      <c r="H911" s="168" t="s">
        <v>14</v>
      </c>
      <c r="I911" s="171">
        <v>1</v>
      </c>
      <c r="J911" s="171" t="s">
        <v>15</v>
      </c>
      <c r="K911" s="171" t="s">
        <v>76</v>
      </c>
      <c r="L911" s="168" t="s">
        <v>77</v>
      </c>
    </row>
    <row r="912" spans="1:13" x14ac:dyDescent="0.2">
      <c r="A912" s="168" t="s">
        <v>74</v>
      </c>
      <c r="B912" s="168" t="s">
        <v>75</v>
      </c>
      <c r="C912" s="168" t="s">
        <v>19</v>
      </c>
      <c r="D912" s="168" t="s">
        <v>12</v>
      </c>
      <c r="E912" s="169">
        <v>42829</v>
      </c>
      <c r="F912" s="170">
        <v>1.2</v>
      </c>
      <c r="G912" s="171" t="s">
        <v>13</v>
      </c>
      <c r="H912" s="168" t="s">
        <v>18</v>
      </c>
      <c r="I912" s="171">
        <v>1</v>
      </c>
      <c r="J912" s="171" t="s">
        <v>15</v>
      </c>
      <c r="K912" s="171" t="s">
        <v>76</v>
      </c>
      <c r="L912" s="168" t="s">
        <v>77</v>
      </c>
    </row>
    <row r="913" spans="1:12" x14ac:dyDescent="0.2">
      <c r="A913" s="168" t="s">
        <v>74</v>
      </c>
      <c r="B913" s="168" t="s">
        <v>75</v>
      </c>
      <c r="C913" s="168" t="s">
        <v>19</v>
      </c>
      <c r="D913" s="168" t="s">
        <v>12</v>
      </c>
      <c r="E913" s="169">
        <v>42829</v>
      </c>
      <c r="F913" s="170">
        <v>33.196536000000002</v>
      </c>
      <c r="G913" s="171" t="s">
        <v>16</v>
      </c>
      <c r="H913" s="168" t="s">
        <v>18</v>
      </c>
      <c r="I913" s="171">
        <v>1</v>
      </c>
      <c r="J913" s="171" t="s">
        <v>15</v>
      </c>
      <c r="K913" s="171" t="s">
        <v>76</v>
      </c>
      <c r="L913" s="168" t="s">
        <v>77</v>
      </c>
    </row>
    <row r="914" spans="1:12" x14ac:dyDescent="0.2">
      <c r="A914" s="168" t="s">
        <v>74</v>
      </c>
      <c r="B914" s="168" t="s">
        <v>75</v>
      </c>
      <c r="C914" s="168" t="s">
        <v>19</v>
      </c>
      <c r="D914" s="168" t="s">
        <v>12</v>
      </c>
      <c r="E914" s="169">
        <v>42822</v>
      </c>
      <c r="F914" s="170">
        <v>1.89</v>
      </c>
      <c r="G914" s="171" t="s">
        <v>13</v>
      </c>
      <c r="H914" s="168" t="s">
        <v>14</v>
      </c>
      <c r="I914" s="171">
        <v>1</v>
      </c>
      <c r="J914" s="171" t="s">
        <v>15</v>
      </c>
      <c r="K914" s="171" t="s">
        <v>76</v>
      </c>
      <c r="L914" s="168" t="s">
        <v>77</v>
      </c>
    </row>
    <row r="915" spans="1:12" x14ac:dyDescent="0.2">
      <c r="A915" s="168" t="s">
        <v>74</v>
      </c>
      <c r="B915" s="168" t="s">
        <v>75</v>
      </c>
      <c r="C915" s="168" t="s">
        <v>19</v>
      </c>
      <c r="D915" s="168" t="s">
        <v>12</v>
      </c>
      <c r="E915" s="169">
        <v>42822</v>
      </c>
      <c r="F915" s="170">
        <v>35.150598000000002</v>
      </c>
      <c r="G915" s="171" t="s">
        <v>16</v>
      </c>
      <c r="H915" s="168" t="s">
        <v>14</v>
      </c>
      <c r="I915" s="171">
        <v>1</v>
      </c>
      <c r="J915" s="171" t="s">
        <v>15</v>
      </c>
      <c r="K915" s="171" t="s">
        <v>76</v>
      </c>
      <c r="L915" s="168" t="s">
        <v>77</v>
      </c>
    </row>
    <row r="916" spans="1:12" x14ac:dyDescent="0.2">
      <c r="A916" s="168" t="s">
        <v>74</v>
      </c>
      <c r="B916" s="168" t="s">
        <v>75</v>
      </c>
      <c r="C916" s="168" t="s">
        <v>19</v>
      </c>
      <c r="D916" s="168" t="s">
        <v>12</v>
      </c>
      <c r="E916" s="169">
        <v>42822</v>
      </c>
      <c r="F916" s="170">
        <v>1.54</v>
      </c>
      <c r="G916" s="171" t="s">
        <v>13</v>
      </c>
      <c r="H916" s="168" t="s">
        <v>18</v>
      </c>
      <c r="I916" s="171">
        <v>1</v>
      </c>
      <c r="J916" s="171" t="s">
        <v>15</v>
      </c>
      <c r="K916" s="171" t="s">
        <v>76</v>
      </c>
      <c r="L916" s="168" t="s">
        <v>77</v>
      </c>
    </row>
    <row r="917" spans="1:12" x14ac:dyDescent="0.2">
      <c r="A917" s="168" t="s">
        <v>74</v>
      </c>
      <c r="B917" s="168" t="s">
        <v>75</v>
      </c>
      <c r="C917" s="168" t="s">
        <v>19</v>
      </c>
      <c r="D917" s="168" t="s">
        <v>12</v>
      </c>
      <c r="E917" s="169">
        <v>42822</v>
      </c>
      <c r="F917" s="170">
        <v>28.641228000000002</v>
      </c>
      <c r="G917" s="171" t="s">
        <v>16</v>
      </c>
      <c r="H917" s="168" t="s">
        <v>18</v>
      </c>
      <c r="I917" s="171">
        <v>1</v>
      </c>
      <c r="J917" s="171" t="s">
        <v>15</v>
      </c>
      <c r="K917" s="171" t="s">
        <v>76</v>
      </c>
      <c r="L917" s="168" t="s">
        <v>77</v>
      </c>
    </row>
    <row r="918" spans="1:12" x14ac:dyDescent="0.2">
      <c r="A918" s="168" t="s">
        <v>74</v>
      </c>
      <c r="B918" s="168" t="s">
        <v>75</v>
      </c>
      <c r="C918" s="168" t="s">
        <v>19</v>
      </c>
      <c r="D918" s="168" t="s">
        <v>12</v>
      </c>
      <c r="E918" s="169">
        <v>42815</v>
      </c>
      <c r="F918" s="170">
        <v>3.08</v>
      </c>
      <c r="G918" s="171" t="s">
        <v>13</v>
      </c>
      <c r="H918" s="168" t="s">
        <v>14</v>
      </c>
      <c r="I918" s="171">
        <v>1</v>
      </c>
      <c r="J918" s="171" t="s">
        <v>15</v>
      </c>
      <c r="K918" s="171" t="s">
        <v>76</v>
      </c>
      <c r="L918" s="168" t="s">
        <v>77</v>
      </c>
    </row>
    <row r="919" spans="1:12" x14ac:dyDescent="0.2">
      <c r="A919" s="168" t="s">
        <v>74</v>
      </c>
      <c r="B919" s="168" t="s">
        <v>75</v>
      </c>
      <c r="C919" s="168" t="s">
        <v>19</v>
      </c>
      <c r="D919" s="168" t="s">
        <v>12</v>
      </c>
      <c r="E919" s="169">
        <v>42815</v>
      </c>
      <c r="F919" s="170">
        <v>56.357716799999999</v>
      </c>
      <c r="G919" s="171" t="s">
        <v>16</v>
      </c>
      <c r="H919" s="168" t="s">
        <v>14</v>
      </c>
      <c r="I919" s="171">
        <v>1</v>
      </c>
      <c r="J919" s="171" t="s">
        <v>15</v>
      </c>
      <c r="K919" s="171" t="s">
        <v>76</v>
      </c>
      <c r="L919" s="168" t="s">
        <v>77</v>
      </c>
    </row>
    <row r="920" spans="1:12" x14ac:dyDescent="0.2">
      <c r="A920" s="168" t="s">
        <v>74</v>
      </c>
      <c r="B920" s="168" t="s">
        <v>75</v>
      </c>
      <c r="C920" s="168" t="s">
        <v>19</v>
      </c>
      <c r="D920" s="168" t="s">
        <v>12</v>
      </c>
      <c r="E920" s="169">
        <v>42815</v>
      </c>
      <c r="F920" s="170">
        <v>1.93</v>
      </c>
      <c r="G920" s="171" t="s">
        <v>13</v>
      </c>
      <c r="H920" s="168" t="s">
        <v>18</v>
      </c>
      <c r="I920" s="171">
        <v>1</v>
      </c>
      <c r="J920" s="171" t="s">
        <v>15</v>
      </c>
      <c r="K920" s="171" t="s">
        <v>76</v>
      </c>
      <c r="L920" s="168" t="s">
        <v>77</v>
      </c>
    </row>
    <row r="921" spans="1:12" x14ac:dyDescent="0.2">
      <c r="A921" s="168" t="s">
        <v>74</v>
      </c>
      <c r="B921" s="168" t="s">
        <v>75</v>
      </c>
      <c r="C921" s="168" t="s">
        <v>19</v>
      </c>
      <c r="D921" s="168" t="s">
        <v>12</v>
      </c>
      <c r="E921" s="169">
        <v>42815</v>
      </c>
      <c r="F921" s="170">
        <v>35.3150628</v>
      </c>
      <c r="G921" s="171" t="s">
        <v>16</v>
      </c>
      <c r="H921" s="168" t="s">
        <v>18</v>
      </c>
      <c r="I921" s="171">
        <v>1</v>
      </c>
      <c r="J921" s="171" t="s">
        <v>15</v>
      </c>
      <c r="K921" s="171" t="s">
        <v>76</v>
      </c>
      <c r="L921" s="168" t="s">
        <v>77</v>
      </c>
    </row>
    <row r="922" spans="1:12" x14ac:dyDescent="0.2">
      <c r="A922" s="168" t="s">
        <v>74</v>
      </c>
      <c r="B922" s="168" t="s">
        <v>75</v>
      </c>
      <c r="C922" s="168" t="s">
        <v>19</v>
      </c>
      <c r="D922" s="168" t="s">
        <v>12</v>
      </c>
      <c r="E922" s="169">
        <v>42808</v>
      </c>
      <c r="F922" s="170">
        <v>3.47</v>
      </c>
      <c r="G922" s="171" t="s">
        <v>13</v>
      </c>
      <c r="H922" s="168" t="s">
        <v>14</v>
      </c>
      <c r="I922" s="171">
        <v>1</v>
      </c>
      <c r="J922" s="171" t="s">
        <v>15</v>
      </c>
      <c r="K922" s="171" t="s">
        <v>76</v>
      </c>
      <c r="L922" s="168" t="s">
        <v>77</v>
      </c>
    </row>
    <row r="923" spans="1:12" x14ac:dyDescent="0.2">
      <c r="A923" s="168" t="s">
        <v>74</v>
      </c>
      <c r="B923" s="168" t="s">
        <v>75</v>
      </c>
      <c r="C923" s="168" t="s">
        <v>19</v>
      </c>
      <c r="D923" s="168" t="s">
        <v>12</v>
      </c>
      <c r="E923" s="169">
        <v>42808</v>
      </c>
      <c r="F923" s="170">
        <v>68.934603600000003</v>
      </c>
      <c r="G923" s="171" t="s">
        <v>16</v>
      </c>
      <c r="H923" s="168" t="s">
        <v>14</v>
      </c>
      <c r="I923" s="171">
        <v>1</v>
      </c>
      <c r="J923" s="171" t="s">
        <v>15</v>
      </c>
      <c r="K923" s="171" t="s">
        <v>76</v>
      </c>
      <c r="L923" s="168" t="s">
        <v>77</v>
      </c>
    </row>
    <row r="924" spans="1:12" x14ac:dyDescent="0.2">
      <c r="A924" s="168" t="s">
        <v>74</v>
      </c>
      <c r="B924" s="168" t="s">
        <v>75</v>
      </c>
      <c r="C924" s="168" t="s">
        <v>19</v>
      </c>
      <c r="D924" s="168" t="s">
        <v>12</v>
      </c>
      <c r="E924" s="169">
        <v>42808</v>
      </c>
      <c r="F924" s="170">
        <v>1.82</v>
      </c>
      <c r="G924" s="171" t="s">
        <v>13</v>
      </c>
      <c r="H924" s="168" t="s">
        <v>18</v>
      </c>
      <c r="I924" s="171">
        <v>1</v>
      </c>
      <c r="J924" s="171" t="s">
        <v>15</v>
      </c>
      <c r="K924" s="171" t="s">
        <v>76</v>
      </c>
      <c r="L924" s="168" t="s">
        <v>77</v>
      </c>
    </row>
    <row r="925" spans="1:12" x14ac:dyDescent="0.2">
      <c r="A925" s="168" t="s">
        <v>74</v>
      </c>
      <c r="B925" s="168" t="s">
        <v>75</v>
      </c>
      <c r="C925" s="168" t="s">
        <v>19</v>
      </c>
      <c r="D925" s="168" t="s">
        <v>12</v>
      </c>
      <c r="E925" s="169">
        <v>42808</v>
      </c>
      <c r="F925" s="170">
        <v>36.1559016</v>
      </c>
      <c r="G925" s="171" t="s">
        <v>16</v>
      </c>
      <c r="H925" s="168" t="s">
        <v>18</v>
      </c>
      <c r="I925" s="171">
        <v>1</v>
      </c>
      <c r="J925" s="171" t="s">
        <v>15</v>
      </c>
      <c r="K925" s="171" t="s">
        <v>76</v>
      </c>
      <c r="L925" s="168" t="s">
        <v>77</v>
      </c>
    </row>
    <row r="926" spans="1:12" x14ac:dyDescent="0.2">
      <c r="A926" s="168" t="s">
        <v>74</v>
      </c>
      <c r="B926" s="168" t="s">
        <v>75</v>
      </c>
      <c r="C926" s="168" t="s">
        <v>19</v>
      </c>
      <c r="D926" s="168" t="s">
        <v>12</v>
      </c>
      <c r="E926" s="169">
        <v>42801</v>
      </c>
      <c r="F926" s="170">
        <v>3.93</v>
      </c>
      <c r="G926" s="171" t="s">
        <v>13</v>
      </c>
      <c r="H926" s="168" t="s">
        <v>14</v>
      </c>
      <c r="I926" s="171">
        <v>1</v>
      </c>
      <c r="J926" s="171" t="s">
        <v>15</v>
      </c>
      <c r="K926" s="171" t="s">
        <v>76</v>
      </c>
      <c r="L926" s="168" t="s">
        <v>77</v>
      </c>
    </row>
    <row r="927" spans="1:12" x14ac:dyDescent="0.2">
      <c r="A927" s="168" t="s">
        <v>74</v>
      </c>
      <c r="B927" s="168" t="s">
        <v>75</v>
      </c>
      <c r="C927" s="168" t="s">
        <v>19</v>
      </c>
      <c r="D927" s="168" t="s">
        <v>12</v>
      </c>
      <c r="E927" s="169">
        <v>42801</v>
      </c>
      <c r="F927" s="170">
        <v>103.900554</v>
      </c>
      <c r="G927" s="171" t="s">
        <v>16</v>
      </c>
      <c r="H927" s="168" t="s">
        <v>14</v>
      </c>
      <c r="I927" s="171">
        <v>1</v>
      </c>
      <c r="J927" s="171" t="s">
        <v>15</v>
      </c>
      <c r="K927" s="171" t="s">
        <v>76</v>
      </c>
      <c r="L927" s="168" t="s">
        <v>77</v>
      </c>
    </row>
    <row r="928" spans="1:12" x14ac:dyDescent="0.2">
      <c r="A928" s="168" t="s">
        <v>74</v>
      </c>
      <c r="B928" s="168" t="s">
        <v>75</v>
      </c>
      <c r="C928" s="168" t="s">
        <v>19</v>
      </c>
      <c r="D928" s="168" t="s">
        <v>12</v>
      </c>
      <c r="E928" s="169">
        <v>42801</v>
      </c>
      <c r="F928" s="170">
        <v>1.41</v>
      </c>
      <c r="G928" s="171" t="s">
        <v>13</v>
      </c>
      <c r="H928" s="168" t="s">
        <v>18</v>
      </c>
      <c r="I928" s="171">
        <v>1</v>
      </c>
      <c r="J928" s="171" t="s">
        <v>15</v>
      </c>
      <c r="K928" s="171" t="s">
        <v>76</v>
      </c>
      <c r="L928" s="168" t="s">
        <v>77</v>
      </c>
    </row>
    <row r="929" spans="1:12" x14ac:dyDescent="0.2">
      <c r="A929" s="168" t="s">
        <v>74</v>
      </c>
      <c r="B929" s="168" t="s">
        <v>75</v>
      </c>
      <c r="C929" s="168" t="s">
        <v>19</v>
      </c>
      <c r="D929" s="168" t="s">
        <v>12</v>
      </c>
      <c r="E929" s="169">
        <v>42801</v>
      </c>
      <c r="F929" s="170">
        <v>37.277298000000002</v>
      </c>
      <c r="G929" s="171" t="s">
        <v>16</v>
      </c>
      <c r="H929" s="168" t="s">
        <v>18</v>
      </c>
      <c r="I929" s="171">
        <v>1</v>
      </c>
      <c r="J929" s="171" t="s">
        <v>15</v>
      </c>
      <c r="K929" s="171" t="s">
        <v>76</v>
      </c>
      <c r="L929" s="168" t="s">
        <v>77</v>
      </c>
    </row>
    <row r="930" spans="1:12" x14ac:dyDescent="0.2">
      <c r="A930" s="168" t="s">
        <v>74</v>
      </c>
      <c r="B930" s="168" t="s">
        <v>75</v>
      </c>
      <c r="C930" s="168" t="s">
        <v>19</v>
      </c>
      <c r="D930" s="168" t="s">
        <v>12</v>
      </c>
      <c r="E930" s="169">
        <v>42794</v>
      </c>
      <c r="F930" s="170">
        <v>2.21</v>
      </c>
      <c r="G930" s="171" t="s">
        <v>13</v>
      </c>
      <c r="H930" s="168" t="s">
        <v>14</v>
      </c>
      <c r="I930" s="171">
        <v>1</v>
      </c>
      <c r="J930" s="171" t="s">
        <v>15</v>
      </c>
      <c r="K930" s="171" t="s">
        <v>76</v>
      </c>
      <c r="L930" s="168" t="s">
        <v>77</v>
      </c>
    </row>
    <row r="931" spans="1:12" x14ac:dyDescent="0.2">
      <c r="A931" s="168" t="s">
        <v>74</v>
      </c>
      <c r="B931" s="168" t="s">
        <v>75</v>
      </c>
      <c r="C931" s="168" t="s">
        <v>19</v>
      </c>
      <c r="D931" s="168" t="s">
        <v>12</v>
      </c>
      <c r="E931" s="169">
        <v>42794</v>
      </c>
      <c r="F931" s="170">
        <v>56.142044400000003</v>
      </c>
      <c r="G931" s="171" t="s">
        <v>16</v>
      </c>
      <c r="H931" s="168" t="s">
        <v>14</v>
      </c>
      <c r="I931" s="171">
        <v>1</v>
      </c>
      <c r="J931" s="171" t="s">
        <v>15</v>
      </c>
      <c r="K931" s="171" t="s">
        <v>76</v>
      </c>
      <c r="L931" s="168" t="s">
        <v>77</v>
      </c>
    </row>
    <row r="932" spans="1:12" x14ac:dyDescent="0.2">
      <c r="A932" s="168" t="s">
        <v>74</v>
      </c>
      <c r="B932" s="168" t="s">
        <v>75</v>
      </c>
      <c r="C932" s="168" t="s">
        <v>19</v>
      </c>
      <c r="D932" s="168" t="s">
        <v>12</v>
      </c>
      <c r="E932" s="169">
        <v>42794</v>
      </c>
      <c r="F932" s="170">
        <v>1.4</v>
      </c>
      <c r="G932" s="171" t="s">
        <v>13</v>
      </c>
      <c r="H932" s="168" t="s">
        <v>18</v>
      </c>
      <c r="I932" s="171">
        <v>1</v>
      </c>
      <c r="J932" s="171" t="s">
        <v>15</v>
      </c>
      <c r="K932" s="171" t="s">
        <v>76</v>
      </c>
      <c r="L932" s="168" t="s">
        <v>77</v>
      </c>
    </row>
    <row r="933" spans="1:12" x14ac:dyDescent="0.2">
      <c r="A933" s="168" t="s">
        <v>74</v>
      </c>
      <c r="B933" s="168" t="s">
        <v>75</v>
      </c>
      <c r="C933" s="168" t="s">
        <v>19</v>
      </c>
      <c r="D933" s="168" t="s">
        <v>12</v>
      </c>
      <c r="E933" s="169">
        <v>42794</v>
      </c>
      <c r="F933" s="170">
        <v>35.565095999999997</v>
      </c>
      <c r="G933" s="171" t="s">
        <v>16</v>
      </c>
      <c r="H933" s="168" t="s">
        <v>18</v>
      </c>
      <c r="I933" s="171">
        <v>1</v>
      </c>
      <c r="J933" s="171" t="s">
        <v>15</v>
      </c>
      <c r="K933" s="171" t="s">
        <v>76</v>
      </c>
      <c r="L933" s="168" t="s">
        <v>77</v>
      </c>
    </row>
    <row r="934" spans="1:12" x14ac:dyDescent="0.2">
      <c r="A934" s="168" t="s">
        <v>74</v>
      </c>
      <c r="B934" s="168" t="s">
        <v>75</v>
      </c>
      <c r="C934" s="168" t="s">
        <v>19</v>
      </c>
      <c r="D934" s="168" t="s">
        <v>12</v>
      </c>
      <c r="E934" s="169">
        <v>42787</v>
      </c>
      <c r="F934" s="170">
        <v>2.74</v>
      </c>
      <c r="G934" s="171" t="s">
        <v>13</v>
      </c>
      <c r="H934" s="168" t="s">
        <v>14</v>
      </c>
      <c r="I934" s="171">
        <v>1</v>
      </c>
      <c r="J934" s="171" t="s">
        <v>15</v>
      </c>
      <c r="K934" s="171" t="s">
        <v>76</v>
      </c>
      <c r="L934" s="168" t="s">
        <v>77</v>
      </c>
    </row>
    <row r="935" spans="1:12" x14ac:dyDescent="0.2">
      <c r="A935" s="168" t="s">
        <v>74</v>
      </c>
      <c r="B935" s="168" t="s">
        <v>75</v>
      </c>
      <c r="C935" s="168" t="s">
        <v>19</v>
      </c>
      <c r="D935" s="168" t="s">
        <v>12</v>
      </c>
      <c r="E935" s="169">
        <v>42787</v>
      </c>
      <c r="F935" s="170">
        <v>68.166322800000003</v>
      </c>
      <c r="G935" s="171" t="s">
        <v>16</v>
      </c>
      <c r="H935" s="168" t="s">
        <v>14</v>
      </c>
      <c r="I935" s="171">
        <v>1</v>
      </c>
      <c r="J935" s="171" t="s">
        <v>15</v>
      </c>
      <c r="K935" s="171" t="s">
        <v>76</v>
      </c>
      <c r="L935" s="168" t="s">
        <v>77</v>
      </c>
    </row>
    <row r="936" spans="1:12" x14ac:dyDescent="0.2">
      <c r="A936" s="168" t="s">
        <v>74</v>
      </c>
      <c r="B936" s="168" t="s">
        <v>75</v>
      </c>
      <c r="C936" s="168" t="s">
        <v>19</v>
      </c>
      <c r="D936" s="168" t="s">
        <v>12</v>
      </c>
      <c r="E936" s="169">
        <v>42787</v>
      </c>
      <c r="F936" s="170">
        <v>1.54</v>
      </c>
      <c r="G936" s="171" t="s">
        <v>13</v>
      </c>
      <c r="H936" s="168" t="s">
        <v>18</v>
      </c>
      <c r="I936" s="171">
        <v>1</v>
      </c>
      <c r="J936" s="171" t="s">
        <v>15</v>
      </c>
      <c r="K936" s="171" t="s">
        <v>76</v>
      </c>
      <c r="L936" s="168" t="s">
        <v>77</v>
      </c>
    </row>
    <row r="937" spans="1:12" x14ac:dyDescent="0.2">
      <c r="A937" s="168" t="s">
        <v>74</v>
      </c>
      <c r="B937" s="168" t="s">
        <v>75</v>
      </c>
      <c r="C937" s="168" t="s">
        <v>19</v>
      </c>
      <c r="D937" s="168" t="s">
        <v>12</v>
      </c>
      <c r="E937" s="169">
        <v>42787</v>
      </c>
      <c r="F937" s="170">
        <v>38.312458800000002</v>
      </c>
      <c r="G937" s="171" t="s">
        <v>16</v>
      </c>
      <c r="H937" s="168" t="s">
        <v>18</v>
      </c>
      <c r="I937" s="171">
        <v>1</v>
      </c>
      <c r="J937" s="171" t="s">
        <v>15</v>
      </c>
      <c r="K937" s="171" t="s">
        <v>76</v>
      </c>
      <c r="L937" s="168" t="s">
        <v>77</v>
      </c>
    </row>
    <row r="938" spans="1:12" x14ac:dyDescent="0.2">
      <c r="A938" s="168" t="s">
        <v>74</v>
      </c>
      <c r="B938" s="168" t="s">
        <v>75</v>
      </c>
      <c r="C938" s="168" t="s">
        <v>19</v>
      </c>
      <c r="D938" s="168" t="s">
        <v>12</v>
      </c>
      <c r="E938" s="169">
        <v>42780</v>
      </c>
      <c r="F938" s="170">
        <v>5.16</v>
      </c>
      <c r="G938" s="171" t="s">
        <v>13</v>
      </c>
      <c r="H938" s="168" t="s">
        <v>14</v>
      </c>
      <c r="I938" s="171">
        <v>1</v>
      </c>
      <c r="J938" s="171" t="s">
        <v>15</v>
      </c>
      <c r="K938" s="171" t="s">
        <v>76</v>
      </c>
      <c r="L938" s="168" t="s">
        <v>77</v>
      </c>
    </row>
    <row r="939" spans="1:12" x14ac:dyDescent="0.2">
      <c r="A939" s="168" t="s">
        <v>74</v>
      </c>
      <c r="B939" s="168" t="s">
        <v>75</v>
      </c>
      <c r="C939" s="168" t="s">
        <v>19</v>
      </c>
      <c r="D939" s="168" t="s">
        <v>12</v>
      </c>
      <c r="E939" s="169">
        <v>42780</v>
      </c>
      <c r="F939" s="170">
        <v>80.087018400000005</v>
      </c>
      <c r="G939" s="171" t="s">
        <v>16</v>
      </c>
      <c r="H939" s="168" t="s">
        <v>14</v>
      </c>
      <c r="I939" s="171">
        <v>1</v>
      </c>
      <c r="J939" s="171" t="s">
        <v>15</v>
      </c>
      <c r="K939" s="171" t="s">
        <v>76</v>
      </c>
      <c r="L939" s="168" t="s">
        <v>77</v>
      </c>
    </row>
    <row r="940" spans="1:12" x14ac:dyDescent="0.2">
      <c r="A940" s="168" t="s">
        <v>74</v>
      </c>
      <c r="B940" s="168" t="s">
        <v>75</v>
      </c>
      <c r="C940" s="168" t="s">
        <v>19</v>
      </c>
      <c r="D940" s="168" t="s">
        <v>12</v>
      </c>
      <c r="E940" s="169">
        <v>42780</v>
      </c>
      <c r="F940" s="170">
        <v>3.01</v>
      </c>
      <c r="G940" s="171" t="s">
        <v>13</v>
      </c>
      <c r="H940" s="168" t="s">
        <v>18</v>
      </c>
      <c r="I940" s="171">
        <v>1</v>
      </c>
      <c r="J940" s="171" t="s">
        <v>15</v>
      </c>
      <c r="K940" s="171" t="s">
        <v>76</v>
      </c>
      <c r="L940" s="168" t="s">
        <v>77</v>
      </c>
    </row>
    <row r="941" spans="1:12" x14ac:dyDescent="0.2">
      <c r="A941" s="168" t="s">
        <v>74</v>
      </c>
      <c r="B941" s="168" t="s">
        <v>75</v>
      </c>
      <c r="C941" s="168" t="s">
        <v>19</v>
      </c>
      <c r="D941" s="168" t="s">
        <v>12</v>
      </c>
      <c r="E941" s="169">
        <v>42780</v>
      </c>
      <c r="F941" s="170">
        <v>46.717427399999998</v>
      </c>
      <c r="G941" s="171" t="s">
        <v>16</v>
      </c>
      <c r="H941" s="168" t="s">
        <v>18</v>
      </c>
      <c r="I941" s="171">
        <v>1</v>
      </c>
      <c r="J941" s="171" t="s">
        <v>15</v>
      </c>
      <c r="K941" s="171" t="s">
        <v>76</v>
      </c>
      <c r="L941" s="168" t="s">
        <v>77</v>
      </c>
    </row>
    <row r="942" spans="1:12" x14ac:dyDescent="0.2">
      <c r="A942" s="168" t="s">
        <v>74</v>
      </c>
      <c r="B942" s="168" t="s">
        <v>75</v>
      </c>
      <c r="C942" s="168" t="s">
        <v>19</v>
      </c>
      <c r="D942" s="168" t="s">
        <v>12</v>
      </c>
      <c r="E942" s="169">
        <v>42773</v>
      </c>
      <c r="F942" s="170">
        <v>4.99</v>
      </c>
      <c r="G942" s="171" t="s">
        <v>13</v>
      </c>
      <c r="H942" s="168" t="s">
        <v>14</v>
      </c>
      <c r="I942" s="171">
        <v>1</v>
      </c>
      <c r="J942" s="171" t="s">
        <v>15</v>
      </c>
      <c r="K942" s="171" t="s">
        <v>76</v>
      </c>
      <c r="L942" s="168" t="s">
        <v>77</v>
      </c>
    </row>
    <row r="943" spans="1:12" x14ac:dyDescent="0.2">
      <c r="A943" s="168" t="s">
        <v>74</v>
      </c>
      <c r="B943" s="168" t="s">
        <v>75</v>
      </c>
      <c r="C943" s="168" t="s">
        <v>19</v>
      </c>
      <c r="D943" s="168" t="s">
        <v>12</v>
      </c>
      <c r="E943" s="169">
        <v>42773</v>
      </c>
      <c r="F943" s="170">
        <v>59.719821000000003</v>
      </c>
      <c r="G943" s="171" t="s">
        <v>16</v>
      </c>
      <c r="H943" s="168" t="s">
        <v>14</v>
      </c>
      <c r="I943" s="171">
        <v>1</v>
      </c>
      <c r="J943" s="171" t="s">
        <v>15</v>
      </c>
      <c r="K943" s="171" t="s">
        <v>76</v>
      </c>
      <c r="L943" s="168" t="s">
        <v>77</v>
      </c>
    </row>
    <row r="944" spans="1:12" x14ac:dyDescent="0.2">
      <c r="A944" s="168" t="s">
        <v>74</v>
      </c>
      <c r="B944" s="168" t="s">
        <v>75</v>
      </c>
      <c r="C944" s="168" t="s">
        <v>19</v>
      </c>
      <c r="D944" s="168" t="s">
        <v>12</v>
      </c>
      <c r="E944" s="169">
        <v>42773</v>
      </c>
      <c r="F944" s="170">
        <v>3.03</v>
      </c>
      <c r="G944" s="171" t="s">
        <v>13</v>
      </c>
      <c r="H944" s="168" t="s">
        <v>18</v>
      </c>
      <c r="I944" s="171">
        <v>1</v>
      </c>
      <c r="J944" s="171" t="s">
        <v>15</v>
      </c>
      <c r="K944" s="171" t="s">
        <v>76</v>
      </c>
      <c r="L944" s="168" t="s">
        <v>77</v>
      </c>
    </row>
    <row r="945" spans="1:12" x14ac:dyDescent="0.2">
      <c r="A945" s="168" t="s">
        <v>74</v>
      </c>
      <c r="B945" s="168" t="s">
        <v>75</v>
      </c>
      <c r="C945" s="168" t="s">
        <v>19</v>
      </c>
      <c r="D945" s="168" t="s">
        <v>12</v>
      </c>
      <c r="E945" s="169">
        <v>42773</v>
      </c>
      <c r="F945" s="170">
        <v>36.262737000000001</v>
      </c>
      <c r="G945" s="171" t="s">
        <v>16</v>
      </c>
      <c r="H945" s="168" t="s">
        <v>18</v>
      </c>
      <c r="I945" s="171">
        <v>1</v>
      </c>
      <c r="J945" s="171" t="s">
        <v>15</v>
      </c>
      <c r="K945" s="171" t="s">
        <v>76</v>
      </c>
      <c r="L945" s="168" t="s">
        <v>77</v>
      </c>
    </row>
    <row r="946" spans="1:12" x14ac:dyDescent="0.2">
      <c r="A946" s="168" t="s">
        <v>74</v>
      </c>
      <c r="B946" s="168" t="s">
        <v>75</v>
      </c>
      <c r="C946" s="168" t="s">
        <v>19</v>
      </c>
      <c r="D946" s="168" t="s">
        <v>12</v>
      </c>
      <c r="E946" s="169">
        <v>42766</v>
      </c>
      <c r="F946" s="170">
        <v>4.07</v>
      </c>
      <c r="G946" s="171" t="s">
        <v>13</v>
      </c>
      <c r="H946" s="168" t="s">
        <v>14</v>
      </c>
      <c r="I946" s="171">
        <v>1</v>
      </c>
      <c r="J946" s="171" t="s">
        <v>15</v>
      </c>
      <c r="K946" s="171" t="s">
        <v>76</v>
      </c>
      <c r="L946" s="168" t="s">
        <v>77</v>
      </c>
    </row>
    <row r="947" spans="1:12" x14ac:dyDescent="0.2">
      <c r="A947" s="168" t="s">
        <v>74</v>
      </c>
      <c r="B947" s="168" t="s">
        <v>75</v>
      </c>
      <c r="C947" s="168" t="s">
        <v>19</v>
      </c>
      <c r="D947" s="168" t="s">
        <v>12</v>
      </c>
      <c r="E947" s="169">
        <v>42766</v>
      </c>
      <c r="F947" s="170">
        <v>52.61289</v>
      </c>
      <c r="G947" s="171" t="s">
        <v>16</v>
      </c>
      <c r="H947" s="168" t="s">
        <v>14</v>
      </c>
      <c r="I947" s="171">
        <v>1</v>
      </c>
      <c r="J947" s="171" t="s">
        <v>15</v>
      </c>
      <c r="K947" s="171" t="s">
        <v>76</v>
      </c>
      <c r="L947" s="168" t="s">
        <v>77</v>
      </c>
    </row>
    <row r="948" spans="1:12" x14ac:dyDescent="0.2">
      <c r="A948" s="168" t="s">
        <v>74</v>
      </c>
      <c r="B948" s="168" t="s">
        <v>75</v>
      </c>
      <c r="C948" s="168" t="s">
        <v>19</v>
      </c>
      <c r="D948" s="168" t="s">
        <v>12</v>
      </c>
      <c r="E948" s="169">
        <v>42766</v>
      </c>
      <c r="F948" s="170">
        <v>2.74</v>
      </c>
      <c r="G948" s="171" t="s">
        <v>13</v>
      </c>
      <c r="H948" s="168" t="s">
        <v>18</v>
      </c>
      <c r="I948" s="171">
        <v>1</v>
      </c>
      <c r="J948" s="171" t="s">
        <v>15</v>
      </c>
      <c r="K948" s="171" t="s">
        <v>76</v>
      </c>
      <c r="L948" s="168" t="s">
        <v>77</v>
      </c>
    </row>
    <row r="949" spans="1:12" x14ac:dyDescent="0.2">
      <c r="A949" s="168" t="s">
        <v>74</v>
      </c>
      <c r="B949" s="168" t="s">
        <v>75</v>
      </c>
      <c r="C949" s="168" t="s">
        <v>19</v>
      </c>
      <c r="D949" s="168" t="s">
        <v>12</v>
      </c>
      <c r="E949" s="169">
        <v>42766</v>
      </c>
      <c r="F949" s="170">
        <v>35.419980000000002</v>
      </c>
      <c r="G949" s="171" t="s">
        <v>16</v>
      </c>
      <c r="H949" s="168" t="s">
        <v>18</v>
      </c>
      <c r="I949" s="171">
        <v>1</v>
      </c>
      <c r="J949" s="171" t="s">
        <v>15</v>
      </c>
      <c r="K949" s="171" t="s">
        <v>76</v>
      </c>
      <c r="L949" s="168" t="s">
        <v>77</v>
      </c>
    </row>
    <row r="950" spans="1:12" x14ac:dyDescent="0.2">
      <c r="A950" s="168" t="s">
        <v>74</v>
      </c>
      <c r="B950" s="168" t="s">
        <v>75</v>
      </c>
      <c r="C950" s="168" t="s">
        <v>19</v>
      </c>
      <c r="D950" s="168" t="s">
        <v>12</v>
      </c>
      <c r="E950" s="169">
        <v>42759</v>
      </c>
      <c r="F950" s="170">
        <v>3.64</v>
      </c>
      <c r="G950" s="171" t="s">
        <v>13</v>
      </c>
      <c r="H950" s="168" t="s">
        <v>14</v>
      </c>
      <c r="I950" s="171">
        <v>1</v>
      </c>
      <c r="J950" s="171" t="s">
        <v>15</v>
      </c>
      <c r="K950" s="171" t="s">
        <v>76</v>
      </c>
      <c r="L950" s="168" t="s">
        <v>77</v>
      </c>
    </row>
    <row r="951" spans="1:12" x14ac:dyDescent="0.2">
      <c r="A951" s="168" t="s">
        <v>74</v>
      </c>
      <c r="B951" s="168" t="s">
        <v>75</v>
      </c>
      <c r="C951" s="168" t="s">
        <v>19</v>
      </c>
      <c r="D951" s="168" t="s">
        <v>12</v>
      </c>
      <c r="E951" s="169">
        <v>42759</v>
      </c>
      <c r="F951" s="170">
        <v>48.5114448</v>
      </c>
      <c r="G951" s="171" t="s">
        <v>16</v>
      </c>
      <c r="H951" s="168" t="s">
        <v>14</v>
      </c>
      <c r="I951" s="171">
        <v>1</v>
      </c>
      <c r="J951" s="171" t="s">
        <v>15</v>
      </c>
      <c r="K951" s="171" t="s">
        <v>76</v>
      </c>
      <c r="L951" s="168" t="s">
        <v>77</v>
      </c>
    </row>
    <row r="952" spans="1:12" x14ac:dyDescent="0.2">
      <c r="A952" s="168" t="s">
        <v>74</v>
      </c>
      <c r="B952" s="168" t="s">
        <v>75</v>
      </c>
      <c r="C952" s="168" t="s">
        <v>19</v>
      </c>
      <c r="D952" s="168" t="s">
        <v>12</v>
      </c>
      <c r="E952" s="169">
        <v>42759</v>
      </c>
      <c r="F952" s="170">
        <v>2.36</v>
      </c>
      <c r="G952" s="171" t="s">
        <v>13</v>
      </c>
      <c r="H952" s="168" t="s">
        <v>18</v>
      </c>
      <c r="I952" s="171">
        <v>1</v>
      </c>
      <c r="J952" s="171" t="s">
        <v>15</v>
      </c>
      <c r="K952" s="171" t="s">
        <v>76</v>
      </c>
      <c r="L952" s="168" t="s">
        <v>77</v>
      </c>
    </row>
    <row r="953" spans="1:12" x14ac:dyDescent="0.2">
      <c r="A953" s="168" t="s">
        <v>74</v>
      </c>
      <c r="B953" s="168" t="s">
        <v>75</v>
      </c>
      <c r="C953" s="168" t="s">
        <v>19</v>
      </c>
      <c r="D953" s="168" t="s">
        <v>12</v>
      </c>
      <c r="E953" s="169">
        <v>42759</v>
      </c>
      <c r="F953" s="170">
        <v>31.452475199999999</v>
      </c>
      <c r="G953" s="171" t="s">
        <v>16</v>
      </c>
      <c r="H953" s="168" t="s">
        <v>18</v>
      </c>
      <c r="I953" s="171">
        <v>1</v>
      </c>
      <c r="J953" s="171" t="s">
        <v>15</v>
      </c>
      <c r="K953" s="171" t="s">
        <v>76</v>
      </c>
      <c r="L953" s="168" t="s">
        <v>77</v>
      </c>
    </row>
    <row r="954" spans="1:12" x14ac:dyDescent="0.2">
      <c r="A954" s="168" t="s">
        <v>74</v>
      </c>
      <c r="B954" s="168" t="s">
        <v>75</v>
      </c>
      <c r="C954" s="168" t="s">
        <v>19</v>
      </c>
      <c r="D954" s="168" t="s">
        <v>12</v>
      </c>
      <c r="E954" s="169">
        <v>42752</v>
      </c>
      <c r="F954" s="170">
        <v>4.2699999999999996</v>
      </c>
      <c r="G954" s="171" t="s">
        <v>13</v>
      </c>
      <c r="H954" s="168" t="s">
        <v>14</v>
      </c>
      <c r="I954" s="171">
        <v>1</v>
      </c>
      <c r="J954" s="171" t="s">
        <v>15</v>
      </c>
      <c r="K954" s="171" t="s">
        <v>76</v>
      </c>
      <c r="L954" s="168" t="s">
        <v>77</v>
      </c>
    </row>
    <row r="955" spans="1:12" x14ac:dyDescent="0.2">
      <c r="A955" s="168" t="s">
        <v>74</v>
      </c>
      <c r="B955" s="168" t="s">
        <v>75</v>
      </c>
      <c r="C955" s="168" t="s">
        <v>19</v>
      </c>
      <c r="D955" s="168" t="s">
        <v>12</v>
      </c>
      <c r="E955" s="169">
        <v>42752</v>
      </c>
      <c r="F955" s="170">
        <v>54.486054000000003</v>
      </c>
      <c r="G955" s="171" t="s">
        <v>16</v>
      </c>
      <c r="H955" s="168" t="s">
        <v>14</v>
      </c>
      <c r="I955" s="171">
        <v>1</v>
      </c>
      <c r="J955" s="171" t="s">
        <v>15</v>
      </c>
      <c r="K955" s="171" t="s">
        <v>76</v>
      </c>
      <c r="L955" s="168" t="s">
        <v>77</v>
      </c>
    </row>
    <row r="956" spans="1:12" x14ac:dyDescent="0.2">
      <c r="A956" s="168" t="s">
        <v>74</v>
      </c>
      <c r="B956" s="168" t="s">
        <v>75</v>
      </c>
      <c r="C956" s="168" t="s">
        <v>19</v>
      </c>
      <c r="D956" s="168" t="s">
        <v>12</v>
      </c>
      <c r="E956" s="169">
        <v>42752</v>
      </c>
      <c r="F956" s="170">
        <v>3.2</v>
      </c>
      <c r="G956" s="171" t="s">
        <v>13</v>
      </c>
      <c r="H956" s="168" t="s">
        <v>18</v>
      </c>
      <c r="I956" s="171">
        <v>1</v>
      </c>
      <c r="J956" s="171" t="s">
        <v>15</v>
      </c>
      <c r="K956" s="171" t="s">
        <v>76</v>
      </c>
      <c r="L956" s="168" t="s">
        <v>77</v>
      </c>
    </row>
    <row r="957" spans="1:12" x14ac:dyDescent="0.2">
      <c r="A957" s="168" t="s">
        <v>74</v>
      </c>
      <c r="B957" s="168" t="s">
        <v>75</v>
      </c>
      <c r="C957" s="168" t="s">
        <v>19</v>
      </c>
      <c r="D957" s="168" t="s">
        <v>12</v>
      </c>
      <c r="E957" s="169">
        <v>42752</v>
      </c>
      <c r="F957" s="170">
        <v>40.832639999999998</v>
      </c>
      <c r="G957" s="171" t="s">
        <v>16</v>
      </c>
      <c r="H957" s="168" t="s">
        <v>18</v>
      </c>
      <c r="I957" s="171">
        <v>1</v>
      </c>
      <c r="J957" s="171" t="s">
        <v>15</v>
      </c>
      <c r="K957" s="171" t="s">
        <v>76</v>
      </c>
      <c r="L957" s="168" t="s">
        <v>77</v>
      </c>
    </row>
    <row r="958" spans="1:12" x14ac:dyDescent="0.2">
      <c r="A958" s="168" t="s">
        <v>74</v>
      </c>
      <c r="B958" s="168" t="s">
        <v>75</v>
      </c>
      <c r="C958" s="168" t="s">
        <v>19</v>
      </c>
      <c r="D958" s="168" t="s">
        <v>12</v>
      </c>
      <c r="E958" s="169">
        <v>42745</v>
      </c>
      <c r="F958" s="170">
        <v>4.46</v>
      </c>
      <c r="G958" s="171" t="s">
        <v>13</v>
      </c>
      <c r="H958" s="168" t="s">
        <v>14</v>
      </c>
      <c r="I958" s="171">
        <v>1</v>
      </c>
      <c r="J958" s="171" t="s">
        <v>15</v>
      </c>
      <c r="K958" s="171" t="s">
        <v>76</v>
      </c>
      <c r="L958" s="168" t="s">
        <v>77</v>
      </c>
    </row>
    <row r="959" spans="1:12" x14ac:dyDescent="0.2">
      <c r="A959" s="168" t="s">
        <v>74</v>
      </c>
      <c r="B959" s="168" t="s">
        <v>75</v>
      </c>
      <c r="C959" s="168" t="s">
        <v>19</v>
      </c>
      <c r="D959" s="168" t="s">
        <v>12</v>
      </c>
      <c r="E959" s="169">
        <v>42745</v>
      </c>
      <c r="F959" s="170">
        <v>63.345469199999997</v>
      </c>
      <c r="G959" s="171" t="s">
        <v>16</v>
      </c>
      <c r="H959" s="168" t="s">
        <v>14</v>
      </c>
      <c r="I959" s="171">
        <v>1</v>
      </c>
      <c r="J959" s="171" t="s">
        <v>15</v>
      </c>
      <c r="K959" s="171" t="s">
        <v>76</v>
      </c>
      <c r="L959" s="168" t="s">
        <v>77</v>
      </c>
    </row>
    <row r="960" spans="1:12" x14ac:dyDescent="0.2">
      <c r="A960" s="168" t="s">
        <v>74</v>
      </c>
      <c r="B960" s="168" t="s">
        <v>75</v>
      </c>
      <c r="C960" s="168" t="s">
        <v>19</v>
      </c>
      <c r="D960" s="168" t="s">
        <v>12</v>
      </c>
      <c r="E960" s="169">
        <v>42745</v>
      </c>
      <c r="F960" s="170">
        <v>3.02</v>
      </c>
      <c r="G960" s="171" t="s">
        <v>13</v>
      </c>
      <c r="H960" s="168" t="s">
        <v>18</v>
      </c>
      <c r="I960" s="171">
        <v>1</v>
      </c>
      <c r="J960" s="171" t="s">
        <v>15</v>
      </c>
      <c r="K960" s="171" t="s">
        <v>76</v>
      </c>
      <c r="L960" s="168" t="s">
        <v>77</v>
      </c>
    </row>
    <row r="961" spans="1:12" x14ac:dyDescent="0.2">
      <c r="A961" s="168" t="s">
        <v>74</v>
      </c>
      <c r="B961" s="168" t="s">
        <v>75</v>
      </c>
      <c r="C961" s="168" t="s">
        <v>19</v>
      </c>
      <c r="D961" s="168" t="s">
        <v>12</v>
      </c>
      <c r="E961" s="169">
        <v>42745</v>
      </c>
      <c r="F961" s="170">
        <v>42.893120400000001</v>
      </c>
      <c r="G961" s="171" t="s">
        <v>16</v>
      </c>
      <c r="H961" s="168" t="s">
        <v>18</v>
      </c>
      <c r="I961" s="171">
        <v>1</v>
      </c>
      <c r="J961" s="171" t="s">
        <v>15</v>
      </c>
      <c r="K961" s="171" t="s">
        <v>76</v>
      </c>
      <c r="L961" s="168" t="s">
        <v>77</v>
      </c>
    </row>
    <row r="962" spans="1:12" x14ac:dyDescent="0.2">
      <c r="A962" s="168" t="s">
        <v>74</v>
      </c>
      <c r="B962" s="168" t="s">
        <v>75</v>
      </c>
      <c r="C962" s="168" t="s">
        <v>19</v>
      </c>
      <c r="D962" s="168" t="s">
        <v>12</v>
      </c>
      <c r="E962" s="169">
        <v>42738</v>
      </c>
      <c r="F962" s="170">
        <v>6.9</v>
      </c>
      <c r="G962" s="171" t="s">
        <v>13</v>
      </c>
      <c r="H962" s="168" t="s">
        <v>14</v>
      </c>
      <c r="I962" s="171">
        <v>1</v>
      </c>
      <c r="J962" s="171" t="s">
        <v>15</v>
      </c>
      <c r="K962" s="171" t="s">
        <v>76</v>
      </c>
      <c r="L962" s="168" t="s">
        <v>77</v>
      </c>
    </row>
    <row r="963" spans="1:12" x14ac:dyDescent="0.2">
      <c r="A963" s="168" t="s">
        <v>74</v>
      </c>
      <c r="B963" s="168" t="s">
        <v>75</v>
      </c>
      <c r="C963" s="168" t="s">
        <v>19</v>
      </c>
      <c r="D963" s="168" t="s">
        <v>12</v>
      </c>
      <c r="E963" s="169">
        <v>42738</v>
      </c>
      <c r="F963" s="170">
        <v>94.087710000000001</v>
      </c>
      <c r="G963" s="171" t="s">
        <v>16</v>
      </c>
      <c r="H963" s="168" t="s">
        <v>14</v>
      </c>
      <c r="I963" s="171">
        <v>1</v>
      </c>
      <c r="J963" s="171" t="s">
        <v>15</v>
      </c>
      <c r="K963" s="171" t="s">
        <v>76</v>
      </c>
      <c r="L963" s="168" t="s">
        <v>77</v>
      </c>
    </row>
    <row r="964" spans="1:12" x14ac:dyDescent="0.2">
      <c r="A964" s="168" t="s">
        <v>74</v>
      </c>
      <c r="B964" s="168" t="s">
        <v>75</v>
      </c>
      <c r="C964" s="168" t="s">
        <v>19</v>
      </c>
      <c r="D964" s="168" t="s">
        <v>12</v>
      </c>
      <c r="E964" s="169">
        <v>42738</v>
      </c>
      <c r="F964" s="170">
        <v>3.13</v>
      </c>
      <c r="G964" s="171" t="s">
        <v>13</v>
      </c>
      <c r="H964" s="168" t="s">
        <v>18</v>
      </c>
      <c r="I964" s="171">
        <v>1</v>
      </c>
      <c r="J964" s="171" t="s">
        <v>15</v>
      </c>
      <c r="K964" s="171" t="s">
        <v>76</v>
      </c>
      <c r="L964" s="168" t="s">
        <v>77</v>
      </c>
    </row>
    <row r="965" spans="1:12" x14ac:dyDescent="0.2">
      <c r="A965" s="168" t="s">
        <v>74</v>
      </c>
      <c r="B965" s="168" t="s">
        <v>75</v>
      </c>
      <c r="C965" s="168" t="s">
        <v>19</v>
      </c>
      <c r="D965" s="168" t="s">
        <v>12</v>
      </c>
      <c r="E965" s="169">
        <v>42738</v>
      </c>
      <c r="F965" s="170">
        <v>42.680366999999997</v>
      </c>
      <c r="G965" s="171" t="s">
        <v>16</v>
      </c>
      <c r="H965" s="168" t="s">
        <v>18</v>
      </c>
      <c r="I965" s="171">
        <v>1</v>
      </c>
      <c r="J965" s="171" t="s">
        <v>15</v>
      </c>
      <c r="K965" s="171" t="s">
        <v>76</v>
      </c>
      <c r="L965" s="168" t="s">
        <v>77</v>
      </c>
    </row>
    <row r="966" spans="1:12" x14ac:dyDescent="0.2">
      <c r="A966" s="168" t="s">
        <v>74</v>
      </c>
      <c r="B966" s="168" t="s">
        <v>75</v>
      </c>
      <c r="C966" s="168" t="s">
        <v>19</v>
      </c>
      <c r="D966" s="168" t="s">
        <v>12</v>
      </c>
      <c r="E966" s="232">
        <v>42731</v>
      </c>
      <c r="F966" s="233">
        <v>3</v>
      </c>
      <c r="G966" s="171" t="s">
        <v>13</v>
      </c>
      <c r="H966" s="168" t="s">
        <v>14</v>
      </c>
      <c r="I966" s="171">
        <v>1</v>
      </c>
      <c r="J966" s="171" t="s">
        <v>81</v>
      </c>
      <c r="K966" s="171" t="s">
        <v>76</v>
      </c>
      <c r="L966" s="168" t="s">
        <v>77</v>
      </c>
    </row>
    <row r="967" spans="1:12" x14ac:dyDescent="0.2">
      <c r="A967" s="168" t="s">
        <v>74</v>
      </c>
      <c r="B967" s="168" t="s">
        <v>75</v>
      </c>
      <c r="C967" s="168" t="s">
        <v>19</v>
      </c>
      <c r="D967" s="168" t="s">
        <v>12</v>
      </c>
      <c r="E967" s="232">
        <v>42731</v>
      </c>
      <c r="F967" s="233">
        <v>40.582439999999998</v>
      </c>
      <c r="G967" s="171" t="s">
        <v>16</v>
      </c>
      <c r="H967" s="168" t="s">
        <v>14</v>
      </c>
      <c r="I967" s="171">
        <v>1</v>
      </c>
      <c r="J967" s="171" t="s">
        <v>82</v>
      </c>
      <c r="K967" s="171" t="s">
        <v>76</v>
      </c>
      <c r="L967" s="168" t="s">
        <v>77</v>
      </c>
    </row>
    <row r="968" spans="1:12" x14ac:dyDescent="0.2">
      <c r="A968" s="168" t="s">
        <v>74</v>
      </c>
      <c r="B968" s="168" t="s">
        <v>75</v>
      </c>
      <c r="C968" s="168" t="s">
        <v>19</v>
      </c>
      <c r="D968" s="168" t="s">
        <v>12</v>
      </c>
      <c r="E968" s="234">
        <v>42731</v>
      </c>
      <c r="F968" s="235">
        <v>2.0099999999999998</v>
      </c>
      <c r="G968" s="171" t="s">
        <v>13</v>
      </c>
      <c r="H968" s="168" t="s">
        <v>18</v>
      </c>
      <c r="I968" s="171">
        <v>1</v>
      </c>
      <c r="J968" s="171" t="s">
        <v>83</v>
      </c>
      <c r="K968" s="171" t="s">
        <v>76</v>
      </c>
      <c r="L968" s="168" t="s">
        <v>77</v>
      </c>
    </row>
    <row r="969" spans="1:12" x14ac:dyDescent="0.2">
      <c r="A969" s="168" t="s">
        <v>74</v>
      </c>
      <c r="B969" s="168" t="s">
        <v>75</v>
      </c>
      <c r="C969" s="168" t="s">
        <v>19</v>
      </c>
      <c r="D969" s="168" t="s">
        <v>12</v>
      </c>
      <c r="E969" s="234">
        <v>42731</v>
      </c>
      <c r="F969" s="235">
        <v>27.190234799999999</v>
      </c>
      <c r="G969" s="171" t="s">
        <v>16</v>
      </c>
      <c r="H969" s="168" t="s">
        <v>18</v>
      </c>
      <c r="I969" s="171">
        <v>1</v>
      </c>
      <c r="J969" s="171" t="s">
        <v>84</v>
      </c>
      <c r="K969" s="171" t="s">
        <v>76</v>
      </c>
      <c r="L969" s="168" t="s">
        <v>77</v>
      </c>
    </row>
    <row r="970" spans="1:12" x14ac:dyDescent="0.2">
      <c r="A970" s="168" t="s">
        <v>74</v>
      </c>
      <c r="B970" s="168" t="s">
        <v>75</v>
      </c>
      <c r="C970" s="168" t="s">
        <v>19</v>
      </c>
      <c r="D970" s="168" t="s">
        <v>12</v>
      </c>
      <c r="E970" s="232">
        <v>42724</v>
      </c>
      <c r="F970" s="233">
        <v>4.12</v>
      </c>
      <c r="G970" s="171" t="s">
        <v>13</v>
      </c>
      <c r="H970" s="168" t="s">
        <v>14</v>
      </c>
      <c r="I970" s="171">
        <v>1</v>
      </c>
      <c r="J970" s="171" t="s">
        <v>85</v>
      </c>
      <c r="K970" s="171" t="s">
        <v>76</v>
      </c>
      <c r="L970" s="168" t="s">
        <v>77</v>
      </c>
    </row>
    <row r="971" spans="1:12" x14ac:dyDescent="0.2">
      <c r="A971" s="168" t="s">
        <v>74</v>
      </c>
      <c r="B971" s="168" t="s">
        <v>75</v>
      </c>
      <c r="C971" s="168" t="s">
        <v>19</v>
      </c>
      <c r="D971" s="168" t="s">
        <v>12</v>
      </c>
      <c r="E971" s="232">
        <v>42724</v>
      </c>
      <c r="F971" s="233">
        <v>48.483088799999997</v>
      </c>
      <c r="G971" s="171" t="s">
        <v>16</v>
      </c>
      <c r="H971" s="168" t="s">
        <v>14</v>
      </c>
      <c r="I971" s="171">
        <v>1</v>
      </c>
      <c r="J971" s="171" t="s">
        <v>86</v>
      </c>
      <c r="K971" s="171" t="s">
        <v>76</v>
      </c>
      <c r="L971" s="168" t="s">
        <v>77</v>
      </c>
    </row>
    <row r="972" spans="1:12" x14ac:dyDescent="0.2">
      <c r="A972" s="168" t="s">
        <v>74</v>
      </c>
      <c r="B972" s="168" t="s">
        <v>75</v>
      </c>
      <c r="C972" s="168" t="s">
        <v>19</v>
      </c>
      <c r="D972" s="168" t="s">
        <v>12</v>
      </c>
      <c r="E972" s="234">
        <v>42724</v>
      </c>
      <c r="F972" s="235">
        <v>3.3</v>
      </c>
      <c r="G972" s="171" t="s">
        <v>13</v>
      </c>
      <c r="H972" s="168" t="s">
        <v>18</v>
      </c>
      <c r="I972" s="171">
        <v>1</v>
      </c>
      <c r="J972" s="171" t="s">
        <v>87</v>
      </c>
      <c r="K972" s="171" t="s">
        <v>76</v>
      </c>
      <c r="L972" s="168" t="s">
        <v>77</v>
      </c>
    </row>
    <row r="973" spans="1:12" x14ac:dyDescent="0.2">
      <c r="A973" s="168" t="s">
        <v>74</v>
      </c>
      <c r="B973" s="168" t="s">
        <v>75</v>
      </c>
      <c r="C973" s="168" t="s">
        <v>19</v>
      </c>
      <c r="D973" s="168" t="s">
        <v>12</v>
      </c>
      <c r="E973" s="234">
        <v>42724</v>
      </c>
      <c r="F973" s="235">
        <v>38.833542000000001</v>
      </c>
      <c r="G973" s="171" t="s">
        <v>16</v>
      </c>
      <c r="H973" s="168" t="s">
        <v>18</v>
      </c>
      <c r="I973" s="171">
        <v>1</v>
      </c>
      <c r="J973" s="171" t="s">
        <v>88</v>
      </c>
      <c r="K973" s="171" t="s">
        <v>76</v>
      </c>
      <c r="L973" s="168" t="s">
        <v>77</v>
      </c>
    </row>
    <row r="974" spans="1:12" x14ac:dyDescent="0.2">
      <c r="A974" s="168" t="s">
        <v>74</v>
      </c>
      <c r="B974" s="168" t="s">
        <v>75</v>
      </c>
      <c r="C974" s="168" t="s">
        <v>19</v>
      </c>
      <c r="D974" s="168" t="s">
        <v>12</v>
      </c>
      <c r="E974" s="232">
        <v>42717</v>
      </c>
      <c r="F974" s="233">
        <v>3.07</v>
      </c>
      <c r="G974" s="171" t="s">
        <v>13</v>
      </c>
      <c r="H974" s="168" t="s">
        <v>14</v>
      </c>
      <c r="I974" s="171">
        <v>1</v>
      </c>
      <c r="J974" s="171" t="s">
        <v>89</v>
      </c>
      <c r="K974" s="171" t="s">
        <v>76</v>
      </c>
      <c r="L974" s="168" t="s">
        <v>77</v>
      </c>
    </row>
    <row r="975" spans="1:12" x14ac:dyDescent="0.2">
      <c r="A975" s="168" t="s">
        <v>74</v>
      </c>
      <c r="B975" s="168" t="s">
        <v>75</v>
      </c>
      <c r="C975" s="168" t="s">
        <v>19</v>
      </c>
      <c r="D975" s="168" t="s">
        <v>12</v>
      </c>
      <c r="E975" s="232">
        <v>42717</v>
      </c>
      <c r="F975" s="233">
        <v>36.741453</v>
      </c>
      <c r="G975" s="171" t="s">
        <v>16</v>
      </c>
      <c r="H975" s="168" t="s">
        <v>14</v>
      </c>
      <c r="I975" s="171">
        <v>1</v>
      </c>
      <c r="J975" s="171" t="s">
        <v>90</v>
      </c>
      <c r="K975" s="171" t="s">
        <v>76</v>
      </c>
      <c r="L975" s="168" t="s">
        <v>77</v>
      </c>
    </row>
    <row r="976" spans="1:12" x14ac:dyDescent="0.2">
      <c r="A976" s="168" t="s">
        <v>74</v>
      </c>
      <c r="B976" s="168" t="s">
        <v>75</v>
      </c>
      <c r="C976" s="168" t="s">
        <v>19</v>
      </c>
      <c r="D976" s="168" t="s">
        <v>12</v>
      </c>
      <c r="E976" s="234">
        <v>42717</v>
      </c>
      <c r="F976" s="235">
        <v>2.21</v>
      </c>
      <c r="G976" s="171" t="s">
        <v>13</v>
      </c>
      <c r="H976" s="168" t="s">
        <v>18</v>
      </c>
      <c r="I976" s="171">
        <v>1</v>
      </c>
      <c r="J976" s="171" t="s">
        <v>91</v>
      </c>
      <c r="K976" s="171" t="s">
        <v>76</v>
      </c>
      <c r="L976" s="168" t="s">
        <v>77</v>
      </c>
    </row>
    <row r="977" spans="1:12" x14ac:dyDescent="0.2">
      <c r="A977" s="168" t="s">
        <v>74</v>
      </c>
      <c r="B977" s="168" t="s">
        <v>75</v>
      </c>
      <c r="C977" s="168" t="s">
        <v>19</v>
      </c>
      <c r="D977" s="168" t="s">
        <v>12</v>
      </c>
      <c r="E977" s="234">
        <v>42717</v>
      </c>
      <c r="F977" s="235">
        <v>26.449058999999998</v>
      </c>
      <c r="G977" s="171" t="s">
        <v>16</v>
      </c>
      <c r="H977" s="168" t="s">
        <v>18</v>
      </c>
      <c r="I977" s="171">
        <v>1</v>
      </c>
      <c r="J977" s="171" t="s">
        <v>92</v>
      </c>
      <c r="K977" s="171" t="s">
        <v>76</v>
      </c>
      <c r="L977" s="168" t="s">
        <v>77</v>
      </c>
    </row>
    <row r="978" spans="1:12" x14ac:dyDescent="0.2">
      <c r="A978" s="168" t="s">
        <v>74</v>
      </c>
      <c r="B978" s="168" t="s">
        <v>75</v>
      </c>
      <c r="C978" s="168" t="s">
        <v>19</v>
      </c>
      <c r="D978" s="168" t="s">
        <v>12</v>
      </c>
      <c r="E978" s="232">
        <v>42710</v>
      </c>
      <c r="F978" s="233">
        <v>3.34</v>
      </c>
      <c r="G978" s="171" t="s">
        <v>13</v>
      </c>
      <c r="H978" s="168" t="s">
        <v>14</v>
      </c>
      <c r="I978" s="171">
        <v>1</v>
      </c>
      <c r="J978" s="171" t="s">
        <v>93</v>
      </c>
      <c r="K978" s="171" t="s">
        <v>76</v>
      </c>
      <c r="L978" s="168" t="s">
        <v>77</v>
      </c>
    </row>
    <row r="979" spans="1:12" x14ac:dyDescent="0.2">
      <c r="A979" s="168" t="s">
        <v>74</v>
      </c>
      <c r="B979" s="168" t="s">
        <v>75</v>
      </c>
      <c r="C979" s="168" t="s">
        <v>19</v>
      </c>
      <c r="D979" s="168" t="s">
        <v>12</v>
      </c>
      <c r="E979" s="232">
        <v>42710</v>
      </c>
      <c r="F979" s="233">
        <v>41.8669668</v>
      </c>
      <c r="G979" s="171" t="s">
        <v>16</v>
      </c>
      <c r="H979" s="168" t="s">
        <v>14</v>
      </c>
      <c r="I979" s="171">
        <v>1</v>
      </c>
      <c r="J979" s="171" t="s">
        <v>94</v>
      </c>
      <c r="K979" s="171" t="s">
        <v>76</v>
      </c>
      <c r="L979" s="168" t="s">
        <v>77</v>
      </c>
    </row>
    <row r="980" spans="1:12" x14ac:dyDescent="0.2">
      <c r="A980" s="168" t="s">
        <v>74</v>
      </c>
      <c r="B980" s="168" t="s">
        <v>75</v>
      </c>
      <c r="C980" s="168" t="s">
        <v>19</v>
      </c>
      <c r="D980" s="168" t="s">
        <v>12</v>
      </c>
      <c r="E980" s="234">
        <v>42710</v>
      </c>
      <c r="F980" s="235">
        <v>2.3199999999999998</v>
      </c>
      <c r="G980" s="171" t="s">
        <v>13</v>
      </c>
      <c r="H980" s="168" t="s">
        <v>18</v>
      </c>
      <c r="I980" s="171">
        <v>1</v>
      </c>
      <c r="J980" s="171" t="s">
        <v>95</v>
      </c>
      <c r="K980" s="171" t="s">
        <v>76</v>
      </c>
      <c r="L980" s="168" t="s">
        <v>77</v>
      </c>
    </row>
    <row r="981" spans="1:12" x14ac:dyDescent="0.2">
      <c r="A981" s="168" t="s">
        <v>74</v>
      </c>
      <c r="B981" s="168" t="s">
        <v>75</v>
      </c>
      <c r="C981" s="168" t="s">
        <v>19</v>
      </c>
      <c r="D981" s="168" t="s">
        <v>12</v>
      </c>
      <c r="E981" s="234">
        <v>42710</v>
      </c>
      <c r="F981" s="235">
        <v>29.081246400000001</v>
      </c>
      <c r="G981" s="171" t="s">
        <v>16</v>
      </c>
      <c r="H981" s="168" t="s">
        <v>18</v>
      </c>
      <c r="I981" s="171">
        <v>1</v>
      </c>
      <c r="J981" s="171" t="s">
        <v>96</v>
      </c>
      <c r="K981" s="171" t="s">
        <v>76</v>
      </c>
      <c r="L981" s="168" t="s">
        <v>77</v>
      </c>
    </row>
    <row r="982" spans="1:12" x14ac:dyDescent="0.2">
      <c r="A982" s="168" t="s">
        <v>74</v>
      </c>
      <c r="B982" s="168" t="s">
        <v>75</v>
      </c>
      <c r="C982" s="168" t="s">
        <v>19</v>
      </c>
      <c r="D982" s="168" t="s">
        <v>12</v>
      </c>
      <c r="E982" s="169">
        <v>42703</v>
      </c>
      <c r="F982" s="170">
        <v>3.1</v>
      </c>
      <c r="G982" s="171" t="s">
        <v>13</v>
      </c>
      <c r="H982" s="168" t="s">
        <v>14</v>
      </c>
      <c r="I982" s="171">
        <v>1</v>
      </c>
      <c r="J982" s="171" t="s">
        <v>15</v>
      </c>
      <c r="K982" s="171" t="s">
        <v>76</v>
      </c>
      <c r="L982" s="168" t="s">
        <v>77</v>
      </c>
    </row>
    <row r="983" spans="1:12" x14ac:dyDescent="0.2">
      <c r="A983" s="168" t="s">
        <v>74</v>
      </c>
      <c r="B983" s="168" t="s">
        <v>75</v>
      </c>
      <c r="C983" s="168" t="s">
        <v>19</v>
      </c>
      <c r="D983" s="168" t="s">
        <v>12</v>
      </c>
      <c r="E983" s="169">
        <v>42703</v>
      </c>
      <c r="F983" s="170">
        <v>40.875174000000001</v>
      </c>
      <c r="G983" s="171" t="s">
        <v>16</v>
      </c>
      <c r="H983" s="168" t="s">
        <v>14</v>
      </c>
      <c r="I983" s="171">
        <v>1</v>
      </c>
      <c r="J983" s="171" t="s">
        <v>15</v>
      </c>
      <c r="K983" s="171" t="s">
        <v>76</v>
      </c>
      <c r="L983" s="168" t="s">
        <v>77</v>
      </c>
    </row>
    <row r="984" spans="1:12" x14ac:dyDescent="0.2">
      <c r="A984" s="168" t="s">
        <v>74</v>
      </c>
      <c r="B984" s="168" t="s">
        <v>75</v>
      </c>
      <c r="C984" s="168" t="s">
        <v>19</v>
      </c>
      <c r="D984" s="168" t="s">
        <v>12</v>
      </c>
      <c r="E984" s="169">
        <v>42703</v>
      </c>
      <c r="F984" s="170">
        <v>1.97</v>
      </c>
      <c r="G984" s="171" t="s">
        <v>13</v>
      </c>
      <c r="H984" s="168" t="s">
        <v>18</v>
      </c>
      <c r="I984" s="171">
        <v>1</v>
      </c>
      <c r="J984" s="171" t="s">
        <v>15</v>
      </c>
      <c r="K984" s="171" t="s">
        <v>76</v>
      </c>
      <c r="L984" s="168" t="s">
        <v>77</v>
      </c>
    </row>
    <row r="985" spans="1:12" x14ac:dyDescent="0.2">
      <c r="A985" s="168" t="s">
        <v>74</v>
      </c>
      <c r="B985" s="168" t="s">
        <v>75</v>
      </c>
      <c r="C985" s="168" t="s">
        <v>19</v>
      </c>
      <c r="D985" s="168" t="s">
        <v>12</v>
      </c>
      <c r="E985" s="169">
        <v>42703</v>
      </c>
      <c r="F985" s="170">
        <v>25.975513800000002</v>
      </c>
      <c r="G985" s="171" t="s">
        <v>16</v>
      </c>
      <c r="H985" s="168" t="s">
        <v>18</v>
      </c>
      <c r="I985" s="171">
        <v>1</v>
      </c>
      <c r="J985" s="171" t="s">
        <v>15</v>
      </c>
      <c r="K985" s="171" t="s">
        <v>76</v>
      </c>
      <c r="L985" s="168" t="s">
        <v>77</v>
      </c>
    </row>
    <row r="986" spans="1:12" x14ac:dyDescent="0.2">
      <c r="A986" s="168" t="s">
        <v>74</v>
      </c>
      <c r="B986" s="168" t="s">
        <v>75</v>
      </c>
      <c r="C986" s="168" t="s">
        <v>19</v>
      </c>
      <c r="D986" s="168" t="s">
        <v>12</v>
      </c>
      <c r="E986" s="169">
        <v>42696</v>
      </c>
      <c r="F986" s="170">
        <v>3.5</v>
      </c>
      <c r="G986" s="171" t="s">
        <v>13</v>
      </c>
      <c r="H986" s="168" t="s">
        <v>14</v>
      </c>
      <c r="I986" s="171">
        <v>1</v>
      </c>
      <c r="J986" s="171" t="s">
        <v>15</v>
      </c>
      <c r="K986" s="171" t="s">
        <v>76</v>
      </c>
      <c r="L986" s="168" t="s">
        <v>77</v>
      </c>
    </row>
    <row r="987" spans="1:12" x14ac:dyDescent="0.2">
      <c r="A987" s="168" t="s">
        <v>74</v>
      </c>
      <c r="B987" s="168" t="s">
        <v>75</v>
      </c>
      <c r="C987" s="168" t="s">
        <v>19</v>
      </c>
      <c r="D987" s="168" t="s">
        <v>12</v>
      </c>
      <c r="E987" s="169">
        <v>42696</v>
      </c>
      <c r="F987" s="170">
        <v>47.550510000000003</v>
      </c>
      <c r="G987" s="171" t="s">
        <v>16</v>
      </c>
      <c r="H987" s="168" t="s">
        <v>14</v>
      </c>
      <c r="I987" s="171">
        <v>1</v>
      </c>
      <c r="J987" s="171" t="s">
        <v>15</v>
      </c>
      <c r="K987" s="171" t="s">
        <v>76</v>
      </c>
      <c r="L987" s="168" t="s">
        <v>77</v>
      </c>
    </row>
    <row r="988" spans="1:12" x14ac:dyDescent="0.2">
      <c r="A988" s="168" t="s">
        <v>74</v>
      </c>
      <c r="B988" s="168" t="s">
        <v>75</v>
      </c>
      <c r="C988" s="168" t="s">
        <v>19</v>
      </c>
      <c r="D988" s="168" t="s">
        <v>12</v>
      </c>
      <c r="E988" s="169">
        <v>42696</v>
      </c>
      <c r="F988" s="170">
        <v>2.2200000000000002</v>
      </c>
      <c r="G988" s="171" t="s">
        <v>13</v>
      </c>
      <c r="H988" s="168" t="s">
        <v>18</v>
      </c>
      <c r="I988" s="171">
        <v>1</v>
      </c>
      <c r="J988" s="171" t="s">
        <v>15</v>
      </c>
      <c r="K988" s="171" t="s">
        <v>76</v>
      </c>
      <c r="L988" s="168" t="s">
        <v>77</v>
      </c>
    </row>
    <row r="989" spans="1:12" x14ac:dyDescent="0.2">
      <c r="A989" s="168" t="s">
        <v>74</v>
      </c>
      <c r="B989" s="168" t="s">
        <v>75</v>
      </c>
      <c r="C989" s="168" t="s">
        <v>19</v>
      </c>
      <c r="D989" s="168" t="s">
        <v>12</v>
      </c>
      <c r="E989" s="169">
        <v>42696</v>
      </c>
      <c r="F989" s="170">
        <v>30.1606092</v>
      </c>
      <c r="G989" s="171" t="s">
        <v>16</v>
      </c>
      <c r="H989" s="168" t="s">
        <v>18</v>
      </c>
      <c r="I989" s="171">
        <v>1</v>
      </c>
      <c r="J989" s="171" t="s">
        <v>15</v>
      </c>
      <c r="K989" s="171" t="s">
        <v>76</v>
      </c>
      <c r="L989" s="168" t="s">
        <v>77</v>
      </c>
    </row>
    <row r="990" spans="1:12" x14ac:dyDescent="0.2">
      <c r="A990" s="168" t="s">
        <v>74</v>
      </c>
      <c r="B990" s="168" t="s">
        <v>75</v>
      </c>
      <c r="C990" s="168" t="s">
        <v>19</v>
      </c>
      <c r="D990" s="168" t="s">
        <v>12</v>
      </c>
      <c r="E990" s="169">
        <v>42689</v>
      </c>
      <c r="F990" s="170">
        <v>2.78</v>
      </c>
      <c r="G990" s="171" t="s">
        <v>13</v>
      </c>
      <c r="H990" s="168" t="s">
        <v>14</v>
      </c>
      <c r="I990" s="171">
        <v>1</v>
      </c>
      <c r="J990" s="171" t="s">
        <v>15</v>
      </c>
      <c r="K990" s="171" t="s">
        <v>76</v>
      </c>
      <c r="L990" s="168" t="s">
        <v>77</v>
      </c>
    </row>
    <row r="991" spans="1:12" x14ac:dyDescent="0.2">
      <c r="A991" s="168" t="s">
        <v>74</v>
      </c>
      <c r="B991" s="168" t="s">
        <v>75</v>
      </c>
      <c r="C991" s="168" t="s">
        <v>19</v>
      </c>
      <c r="D991" s="168" t="s">
        <v>12</v>
      </c>
      <c r="E991" s="169">
        <v>42689</v>
      </c>
      <c r="F991" s="170">
        <v>35.7747636</v>
      </c>
      <c r="G991" s="171" t="s">
        <v>16</v>
      </c>
      <c r="H991" s="168" t="s">
        <v>14</v>
      </c>
      <c r="I991" s="171">
        <v>1</v>
      </c>
      <c r="J991" s="171" t="s">
        <v>15</v>
      </c>
      <c r="K991" s="171" t="s">
        <v>76</v>
      </c>
      <c r="L991" s="168" t="s">
        <v>77</v>
      </c>
    </row>
    <row r="992" spans="1:12" x14ac:dyDescent="0.2">
      <c r="A992" s="168" t="s">
        <v>74</v>
      </c>
      <c r="B992" s="168" t="s">
        <v>75</v>
      </c>
      <c r="C992" s="168" t="s">
        <v>19</v>
      </c>
      <c r="D992" s="168" t="s">
        <v>12</v>
      </c>
      <c r="E992" s="169">
        <v>42689</v>
      </c>
      <c r="F992" s="170">
        <v>2.14</v>
      </c>
      <c r="G992" s="171" t="s">
        <v>13</v>
      </c>
      <c r="H992" s="168" t="s">
        <v>18</v>
      </c>
      <c r="I992" s="171">
        <v>1</v>
      </c>
      <c r="J992" s="171" t="s">
        <v>15</v>
      </c>
      <c r="K992" s="171" t="s">
        <v>76</v>
      </c>
      <c r="L992" s="168" t="s">
        <v>77</v>
      </c>
    </row>
    <row r="993" spans="1:12" x14ac:dyDescent="0.2">
      <c r="A993" s="168" t="s">
        <v>74</v>
      </c>
      <c r="B993" s="168" t="s">
        <v>75</v>
      </c>
      <c r="C993" s="168" t="s">
        <v>19</v>
      </c>
      <c r="D993" s="168" t="s">
        <v>12</v>
      </c>
      <c r="E993" s="169">
        <v>42689</v>
      </c>
      <c r="F993" s="170">
        <v>27.538846800000002</v>
      </c>
      <c r="G993" s="171" t="s">
        <v>16</v>
      </c>
      <c r="H993" s="168" t="s">
        <v>18</v>
      </c>
      <c r="I993" s="171">
        <v>1</v>
      </c>
      <c r="J993" s="171" t="s">
        <v>15</v>
      </c>
      <c r="K993" s="171" t="s">
        <v>76</v>
      </c>
      <c r="L993" s="168" t="s">
        <v>77</v>
      </c>
    </row>
    <row r="994" spans="1:12" x14ac:dyDescent="0.2">
      <c r="A994" s="168" t="s">
        <v>74</v>
      </c>
      <c r="B994" s="168" t="s">
        <v>75</v>
      </c>
      <c r="C994" s="168" t="s">
        <v>19</v>
      </c>
      <c r="D994" s="168" t="s">
        <v>12</v>
      </c>
      <c r="E994" s="169">
        <v>42682</v>
      </c>
      <c r="F994" s="170">
        <v>3.04</v>
      </c>
      <c r="G994" s="171" t="s">
        <v>13</v>
      </c>
      <c r="H994" s="168" t="s">
        <v>14</v>
      </c>
      <c r="I994" s="171">
        <v>1</v>
      </c>
      <c r="J994" s="171" t="s">
        <v>15</v>
      </c>
      <c r="K994" s="171" t="s">
        <v>76</v>
      </c>
      <c r="L994" s="168" t="s">
        <v>77</v>
      </c>
    </row>
    <row r="995" spans="1:12" x14ac:dyDescent="0.2">
      <c r="A995" s="168" t="s">
        <v>74</v>
      </c>
      <c r="B995" s="168" t="s">
        <v>75</v>
      </c>
      <c r="C995" s="168" t="s">
        <v>19</v>
      </c>
      <c r="D995" s="168" t="s">
        <v>12</v>
      </c>
      <c r="E995" s="169">
        <v>42682</v>
      </c>
      <c r="F995" s="170">
        <v>42.720815999999999</v>
      </c>
      <c r="G995" s="171" t="s">
        <v>16</v>
      </c>
      <c r="H995" s="168" t="s">
        <v>14</v>
      </c>
      <c r="I995" s="171">
        <v>1</v>
      </c>
      <c r="J995" s="171" t="s">
        <v>15</v>
      </c>
      <c r="K995" s="171" t="s">
        <v>76</v>
      </c>
      <c r="L995" s="168" t="s">
        <v>77</v>
      </c>
    </row>
    <row r="996" spans="1:12" x14ac:dyDescent="0.2">
      <c r="A996" s="168" t="s">
        <v>74</v>
      </c>
      <c r="B996" s="168" t="s">
        <v>75</v>
      </c>
      <c r="C996" s="168" t="s">
        <v>19</v>
      </c>
      <c r="D996" s="168" t="s">
        <v>12</v>
      </c>
      <c r="E996" s="169">
        <v>42682</v>
      </c>
      <c r="F996" s="170">
        <v>2.2799999999999998</v>
      </c>
      <c r="G996" s="171" t="s">
        <v>13</v>
      </c>
      <c r="H996" s="168" t="s">
        <v>18</v>
      </c>
      <c r="I996" s="171">
        <v>1</v>
      </c>
      <c r="J996" s="171" t="s">
        <v>15</v>
      </c>
      <c r="K996" s="171" t="s">
        <v>76</v>
      </c>
      <c r="L996" s="168" t="s">
        <v>77</v>
      </c>
    </row>
    <row r="997" spans="1:12" x14ac:dyDescent="0.2">
      <c r="A997" s="168" t="s">
        <v>74</v>
      </c>
      <c r="B997" s="168" t="s">
        <v>75</v>
      </c>
      <c r="C997" s="168" t="s">
        <v>19</v>
      </c>
      <c r="D997" s="168" t="s">
        <v>12</v>
      </c>
      <c r="E997" s="169">
        <v>42682</v>
      </c>
      <c r="F997" s="170">
        <v>32.040612000000003</v>
      </c>
      <c r="G997" s="171" t="s">
        <v>16</v>
      </c>
      <c r="H997" s="168" t="s">
        <v>18</v>
      </c>
      <c r="I997" s="171">
        <v>1</v>
      </c>
      <c r="J997" s="171" t="s">
        <v>15</v>
      </c>
      <c r="K997" s="171" t="s">
        <v>76</v>
      </c>
      <c r="L997" s="168" t="s">
        <v>77</v>
      </c>
    </row>
    <row r="998" spans="1:12" x14ac:dyDescent="0.2">
      <c r="A998" s="168" t="s">
        <v>74</v>
      </c>
      <c r="B998" s="168" t="s">
        <v>75</v>
      </c>
      <c r="C998" s="168" t="s">
        <v>19</v>
      </c>
      <c r="D998" s="168" t="s">
        <v>12</v>
      </c>
      <c r="E998" s="169">
        <v>42675</v>
      </c>
      <c r="F998" s="170">
        <v>2.4</v>
      </c>
      <c r="G998" s="171" t="s">
        <v>13</v>
      </c>
      <c r="H998" s="168" t="s">
        <v>14</v>
      </c>
      <c r="I998" s="171">
        <v>1</v>
      </c>
      <c r="J998" s="171" t="s">
        <v>15</v>
      </c>
      <c r="K998" s="171" t="s">
        <v>76</v>
      </c>
      <c r="L998" s="168" t="s">
        <v>77</v>
      </c>
    </row>
    <row r="999" spans="1:12" x14ac:dyDescent="0.2">
      <c r="A999" s="168" t="s">
        <v>74</v>
      </c>
      <c r="B999" s="168" t="s">
        <v>75</v>
      </c>
      <c r="C999" s="168" t="s">
        <v>19</v>
      </c>
      <c r="D999" s="168" t="s">
        <v>12</v>
      </c>
      <c r="E999" s="169">
        <v>42675</v>
      </c>
      <c r="F999" s="170">
        <v>41.092847999999996</v>
      </c>
      <c r="G999" s="171" t="s">
        <v>16</v>
      </c>
      <c r="H999" s="168" t="s">
        <v>14</v>
      </c>
      <c r="I999" s="171">
        <v>1</v>
      </c>
      <c r="J999" s="171" t="s">
        <v>15</v>
      </c>
      <c r="K999" s="171" t="s">
        <v>76</v>
      </c>
      <c r="L999" s="168" t="s">
        <v>77</v>
      </c>
    </row>
    <row r="1000" spans="1:12" x14ac:dyDescent="0.2">
      <c r="A1000" s="168" t="s">
        <v>74</v>
      </c>
      <c r="B1000" s="168" t="s">
        <v>75</v>
      </c>
      <c r="C1000" s="168" t="s">
        <v>19</v>
      </c>
      <c r="D1000" s="168" t="s">
        <v>12</v>
      </c>
      <c r="E1000" s="169">
        <v>42675</v>
      </c>
      <c r="F1000" s="170">
        <v>1.76</v>
      </c>
      <c r="G1000" s="171" t="s">
        <v>13</v>
      </c>
      <c r="H1000" s="168" t="s">
        <v>18</v>
      </c>
      <c r="I1000" s="171">
        <v>1</v>
      </c>
      <c r="J1000" s="171" t="s">
        <v>15</v>
      </c>
      <c r="K1000" s="171" t="s">
        <v>76</v>
      </c>
      <c r="L1000" s="168" t="s">
        <v>77</v>
      </c>
    </row>
    <row r="1001" spans="1:12" x14ac:dyDescent="0.2">
      <c r="A1001" s="168" t="s">
        <v>74</v>
      </c>
      <c r="B1001" s="168" t="s">
        <v>75</v>
      </c>
      <c r="C1001" s="168" t="s">
        <v>19</v>
      </c>
      <c r="D1001" s="168" t="s">
        <v>12</v>
      </c>
      <c r="E1001" s="169">
        <v>42675</v>
      </c>
      <c r="F1001" s="170">
        <v>30.134755200000001</v>
      </c>
      <c r="G1001" s="171" t="s">
        <v>16</v>
      </c>
      <c r="H1001" s="168" t="s">
        <v>18</v>
      </c>
      <c r="I1001" s="171">
        <v>1</v>
      </c>
      <c r="J1001" s="171" t="s">
        <v>15</v>
      </c>
      <c r="K1001" s="171" t="s">
        <v>76</v>
      </c>
      <c r="L1001" s="168" t="s">
        <v>77</v>
      </c>
    </row>
    <row r="1002" spans="1:12" x14ac:dyDescent="0.2">
      <c r="A1002" s="168" t="s">
        <v>74</v>
      </c>
      <c r="B1002" s="168" t="s">
        <v>75</v>
      </c>
      <c r="C1002" s="168" t="s">
        <v>19</v>
      </c>
      <c r="D1002" s="168" t="s">
        <v>12</v>
      </c>
      <c r="E1002" s="169">
        <v>42668</v>
      </c>
      <c r="F1002" s="170">
        <v>3.09</v>
      </c>
      <c r="G1002" s="171" t="s">
        <v>13</v>
      </c>
      <c r="H1002" s="168" t="s">
        <v>14</v>
      </c>
      <c r="I1002" s="171">
        <v>1</v>
      </c>
      <c r="J1002" s="171" t="s">
        <v>15</v>
      </c>
      <c r="K1002" s="171" t="s">
        <v>76</v>
      </c>
      <c r="L1002" s="168" t="s">
        <v>77</v>
      </c>
    </row>
    <row r="1003" spans="1:12" x14ac:dyDescent="0.2">
      <c r="A1003" s="168" t="s">
        <v>74</v>
      </c>
      <c r="B1003" s="168" t="s">
        <v>75</v>
      </c>
      <c r="C1003" s="168" t="s">
        <v>19</v>
      </c>
      <c r="D1003" s="168" t="s">
        <v>12</v>
      </c>
      <c r="E1003" s="169">
        <v>42668</v>
      </c>
      <c r="F1003" s="170">
        <v>57.056108399999999</v>
      </c>
      <c r="G1003" s="171" t="s">
        <v>16</v>
      </c>
      <c r="H1003" s="168" t="s">
        <v>14</v>
      </c>
      <c r="I1003" s="171">
        <v>1</v>
      </c>
      <c r="J1003" s="171" t="s">
        <v>15</v>
      </c>
      <c r="K1003" s="171" t="s">
        <v>76</v>
      </c>
      <c r="L1003" s="168" t="s">
        <v>77</v>
      </c>
    </row>
    <row r="1004" spans="1:12" x14ac:dyDescent="0.2">
      <c r="A1004" s="168" t="s">
        <v>74</v>
      </c>
      <c r="B1004" s="168" t="s">
        <v>75</v>
      </c>
      <c r="C1004" s="168" t="s">
        <v>19</v>
      </c>
      <c r="D1004" s="168" t="s">
        <v>12</v>
      </c>
      <c r="E1004" s="169">
        <v>42668</v>
      </c>
      <c r="F1004" s="170">
        <v>1.67</v>
      </c>
      <c r="G1004" s="171" t="s">
        <v>13</v>
      </c>
      <c r="H1004" s="168" t="s">
        <v>18</v>
      </c>
      <c r="I1004" s="171">
        <v>1</v>
      </c>
      <c r="J1004" s="171" t="s">
        <v>15</v>
      </c>
      <c r="K1004" s="171" t="s">
        <v>76</v>
      </c>
      <c r="L1004" s="168" t="s">
        <v>77</v>
      </c>
    </row>
    <row r="1005" spans="1:12" x14ac:dyDescent="0.2">
      <c r="A1005" s="168" t="s">
        <v>74</v>
      </c>
      <c r="B1005" s="168" t="s">
        <v>75</v>
      </c>
      <c r="C1005" s="168" t="s">
        <v>19</v>
      </c>
      <c r="D1005" s="168" t="s">
        <v>12</v>
      </c>
      <c r="E1005" s="169">
        <v>42668</v>
      </c>
      <c r="F1005" s="170">
        <v>30.836149200000001</v>
      </c>
      <c r="G1005" s="171" t="s">
        <v>16</v>
      </c>
      <c r="H1005" s="168" t="s">
        <v>18</v>
      </c>
      <c r="I1005" s="171">
        <v>1</v>
      </c>
      <c r="J1005" s="171" t="s">
        <v>15</v>
      </c>
      <c r="K1005" s="171" t="s">
        <v>76</v>
      </c>
      <c r="L1005" s="168" t="s">
        <v>77</v>
      </c>
    </row>
    <row r="1006" spans="1:12" x14ac:dyDescent="0.2">
      <c r="A1006" s="168" t="s">
        <v>74</v>
      </c>
      <c r="B1006" s="168" t="s">
        <v>75</v>
      </c>
      <c r="C1006" s="168" t="s">
        <v>19</v>
      </c>
      <c r="D1006" s="168" t="s">
        <v>12</v>
      </c>
      <c r="E1006" s="169">
        <v>42661</v>
      </c>
      <c r="F1006" s="170">
        <v>2.4500000000000002</v>
      </c>
      <c r="G1006" s="171" t="s">
        <v>13</v>
      </c>
      <c r="H1006" s="168" t="s">
        <v>14</v>
      </c>
      <c r="I1006" s="171">
        <v>1</v>
      </c>
      <c r="J1006" s="171" t="s">
        <v>15</v>
      </c>
      <c r="K1006" s="171" t="s">
        <v>76</v>
      </c>
      <c r="L1006" s="168" t="s">
        <v>77</v>
      </c>
    </row>
    <row r="1007" spans="1:12" x14ac:dyDescent="0.2">
      <c r="A1007" s="168" t="s">
        <v>74</v>
      </c>
      <c r="B1007" s="168" t="s">
        <v>75</v>
      </c>
      <c r="C1007" s="168" t="s">
        <v>19</v>
      </c>
      <c r="D1007" s="168" t="s">
        <v>12</v>
      </c>
      <c r="E1007" s="169">
        <v>42661</v>
      </c>
      <c r="F1007" s="170">
        <v>39.844349999999999</v>
      </c>
      <c r="G1007" s="171" t="s">
        <v>16</v>
      </c>
      <c r="H1007" s="168" t="s">
        <v>14</v>
      </c>
      <c r="I1007" s="171">
        <v>1</v>
      </c>
      <c r="J1007" s="171" t="s">
        <v>15</v>
      </c>
      <c r="K1007" s="171" t="s">
        <v>76</v>
      </c>
      <c r="L1007" s="168" t="s">
        <v>77</v>
      </c>
    </row>
    <row r="1008" spans="1:12" x14ac:dyDescent="0.2">
      <c r="A1008" s="168" t="s">
        <v>74</v>
      </c>
      <c r="B1008" s="168" t="s">
        <v>75</v>
      </c>
      <c r="C1008" s="168" t="s">
        <v>19</v>
      </c>
      <c r="D1008" s="168" t="s">
        <v>12</v>
      </c>
      <c r="E1008" s="169">
        <v>42661</v>
      </c>
      <c r="F1008" s="170">
        <v>1.49</v>
      </c>
      <c r="G1008" s="171" t="s">
        <v>13</v>
      </c>
      <c r="H1008" s="168" t="s">
        <v>18</v>
      </c>
      <c r="I1008" s="171">
        <v>1</v>
      </c>
      <c r="J1008" s="171" t="s">
        <v>15</v>
      </c>
      <c r="K1008" s="171" t="s">
        <v>76</v>
      </c>
      <c r="L1008" s="168" t="s">
        <v>77</v>
      </c>
    </row>
    <row r="1009" spans="1:12" x14ac:dyDescent="0.2">
      <c r="A1009" s="168" t="s">
        <v>74</v>
      </c>
      <c r="B1009" s="168" t="s">
        <v>75</v>
      </c>
      <c r="C1009" s="168" t="s">
        <v>19</v>
      </c>
      <c r="D1009" s="168" t="s">
        <v>12</v>
      </c>
      <c r="E1009" s="169">
        <v>42661</v>
      </c>
      <c r="F1009" s="170">
        <v>24.231870000000001</v>
      </c>
      <c r="G1009" s="171" t="s">
        <v>16</v>
      </c>
      <c r="H1009" s="168" t="s">
        <v>18</v>
      </c>
      <c r="I1009" s="171">
        <v>1</v>
      </c>
      <c r="J1009" s="171" t="s">
        <v>15</v>
      </c>
      <c r="K1009" s="171" t="s">
        <v>76</v>
      </c>
      <c r="L1009" s="168" t="s">
        <v>77</v>
      </c>
    </row>
    <row r="1010" spans="1:12" x14ac:dyDescent="0.2">
      <c r="A1010" s="168" t="s">
        <v>74</v>
      </c>
      <c r="B1010" s="168" t="s">
        <v>75</v>
      </c>
      <c r="C1010" s="168" t="s">
        <v>19</v>
      </c>
      <c r="D1010" s="168" t="s">
        <v>12</v>
      </c>
      <c r="E1010" s="169">
        <v>42654</v>
      </c>
      <c r="F1010" s="170">
        <v>1.68</v>
      </c>
      <c r="G1010" s="171" t="s">
        <v>13</v>
      </c>
      <c r="H1010" s="168" t="s">
        <v>14</v>
      </c>
      <c r="I1010" s="171">
        <v>1</v>
      </c>
      <c r="J1010" s="171" t="s">
        <v>15</v>
      </c>
      <c r="K1010" s="171" t="s">
        <v>76</v>
      </c>
      <c r="L1010" s="168" t="s">
        <v>77</v>
      </c>
    </row>
    <row r="1011" spans="1:12" x14ac:dyDescent="0.2">
      <c r="A1011" s="168" t="s">
        <v>74</v>
      </c>
      <c r="B1011" s="168" t="s">
        <v>75</v>
      </c>
      <c r="C1011" s="168" t="s">
        <v>19</v>
      </c>
      <c r="D1011" s="168" t="s">
        <v>12</v>
      </c>
      <c r="E1011" s="169">
        <v>42654</v>
      </c>
      <c r="F1011" s="170">
        <v>34.4395296</v>
      </c>
      <c r="G1011" s="171" t="s">
        <v>16</v>
      </c>
      <c r="H1011" s="168" t="s">
        <v>14</v>
      </c>
      <c r="I1011" s="171">
        <v>1</v>
      </c>
      <c r="J1011" s="171" t="s">
        <v>15</v>
      </c>
      <c r="K1011" s="171" t="s">
        <v>76</v>
      </c>
      <c r="L1011" s="168" t="s">
        <v>77</v>
      </c>
    </row>
    <row r="1012" spans="1:12" x14ac:dyDescent="0.2">
      <c r="A1012" s="168" t="s">
        <v>74</v>
      </c>
      <c r="B1012" s="168" t="s">
        <v>75</v>
      </c>
      <c r="C1012" s="168" t="s">
        <v>19</v>
      </c>
      <c r="D1012" s="168" t="s">
        <v>12</v>
      </c>
      <c r="E1012" s="169">
        <v>42654</v>
      </c>
      <c r="F1012" s="170">
        <v>1.1000000000000001</v>
      </c>
      <c r="G1012" s="171" t="s">
        <v>13</v>
      </c>
      <c r="H1012" s="168" t="s">
        <v>18</v>
      </c>
      <c r="I1012" s="171">
        <v>1</v>
      </c>
      <c r="J1012" s="171" t="s">
        <v>15</v>
      </c>
      <c r="K1012" s="171" t="s">
        <v>76</v>
      </c>
      <c r="L1012" s="168" t="s">
        <v>77</v>
      </c>
    </row>
    <row r="1013" spans="1:12" x14ac:dyDescent="0.2">
      <c r="A1013" s="168" t="s">
        <v>74</v>
      </c>
      <c r="B1013" s="168" t="s">
        <v>75</v>
      </c>
      <c r="C1013" s="168" t="s">
        <v>19</v>
      </c>
      <c r="D1013" s="168" t="s">
        <v>12</v>
      </c>
      <c r="E1013" s="169">
        <v>42654</v>
      </c>
      <c r="F1013" s="170">
        <v>22.549692</v>
      </c>
      <c r="G1013" s="171" t="s">
        <v>16</v>
      </c>
      <c r="H1013" s="168" t="s">
        <v>18</v>
      </c>
      <c r="I1013" s="171">
        <v>1</v>
      </c>
      <c r="J1013" s="171" t="s">
        <v>15</v>
      </c>
      <c r="K1013" s="171" t="s">
        <v>76</v>
      </c>
      <c r="L1013" s="168" t="s">
        <v>77</v>
      </c>
    </row>
    <row r="1014" spans="1:12" x14ac:dyDescent="0.2">
      <c r="A1014" s="168" t="s">
        <v>74</v>
      </c>
      <c r="B1014" s="168" t="s">
        <v>75</v>
      </c>
      <c r="C1014" s="168" t="s">
        <v>19</v>
      </c>
      <c r="D1014" s="168" t="s">
        <v>12</v>
      </c>
      <c r="E1014" s="169">
        <v>42647</v>
      </c>
      <c r="F1014" s="170">
        <v>1.79</v>
      </c>
      <c r="G1014" s="171" t="s">
        <v>13</v>
      </c>
      <c r="H1014" s="168" t="s">
        <v>14</v>
      </c>
      <c r="I1014" s="171">
        <v>1</v>
      </c>
      <c r="J1014" s="171" t="s">
        <v>15</v>
      </c>
      <c r="K1014" s="171" t="s">
        <v>76</v>
      </c>
      <c r="L1014" s="168" t="s">
        <v>77</v>
      </c>
    </row>
    <row r="1015" spans="1:12" x14ac:dyDescent="0.2">
      <c r="A1015" s="168" t="s">
        <v>74</v>
      </c>
      <c r="B1015" s="168" t="s">
        <v>75</v>
      </c>
      <c r="C1015" s="168" t="s">
        <v>19</v>
      </c>
      <c r="D1015" s="168" t="s">
        <v>12</v>
      </c>
      <c r="E1015" s="169">
        <v>42647</v>
      </c>
      <c r="F1015" s="170">
        <v>47.637162600000003</v>
      </c>
      <c r="G1015" s="171" t="s">
        <v>16</v>
      </c>
      <c r="H1015" s="168" t="s">
        <v>14</v>
      </c>
      <c r="I1015" s="171">
        <v>1</v>
      </c>
      <c r="J1015" s="171" t="s">
        <v>15</v>
      </c>
      <c r="K1015" s="171" t="s">
        <v>76</v>
      </c>
      <c r="L1015" s="168" t="s">
        <v>77</v>
      </c>
    </row>
    <row r="1016" spans="1:12" x14ac:dyDescent="0.2">
      <c r="A1016" s="168" t="s">
        <v>74</v>
      </c>
      <c r="B1016" s="168" t="s">
        <v>75</v>
      </c>
      <c r="C1016" s="168" t="s">
        <v>19</v>
      </c>
      <c r="D1016" s="168" t="s">
        <v>12</v>
      </c>
      <c r="E1016" s="169">
        <v>42647</v>
      </c>
      <c r="F1016" s="170">
        <v>1.31</v>
      </c>
      <c r="G1016" s="171" t="s">
        <v>13</v>
      </c>
      <c r="H1016" s="168" t="s">
        <v>18</v>
      </c>
      <c r="I1016" s="171">
        <v>1</v>
      </c>
      <c r="J1016" s="171" t="s">
        <v>15</v>
      </c>
      <c r="K1016" s="171" t="s">
        <v>76</v>
      </c>
      <c r="L1016" s="168" t="s">
        <v>77</v>
      </c>
    </row>
    <row r="1017" spans="1:12" x14ac:dyDescent="0.2">
      <c r="A1017" s="168" t="s">
        <v>74</v>
      </c>
      <c r="B1017" s="168" t="s">
        <v>75</v>
      </c>
      <c r="C1017" s="168" t="s">
        <v>19</v>
      </c>
      <c r="D1017" s="168" t="s">
        <v>12</v>
      </c>
      <c r="E1017" s="169">
        <v>42647</v>
      </c>
      <c r="F1017" s="170">
        <v>34.8629514</v>
      </c>
      <c r="G1017" s="171" t="s">
        <v>16</v>
      </c>
      <c r="H1017" s="168" t="s">
        <v>18</v>
      </c>
      <c r="I1017" s="171">
        <v>1</v>
      </c>
      <c r="J1017" s="171" t="s">
        <v>15</v>
      </c>
      <c r="K1017" s="171" t="s">
        <v>76</v>
      </c>
      <c r="L1017" s="168" t="s">
        <v>77</v>
      </c>
    </row>
    <row r="1018" spans="1:12" x14ac:dyDescent="0.2">
      <c r="A1018" s="168" t="s">
        <v>74</v>
      </c>
      <c r="B1018" s="168" t="s">
        <v>75</v>
      </c>
      <c r="C1018" s="168" t="s">
        <v>19</v>
      </c>
      <c r="D1018" s="168" t="s">
        <v>12</v>
      </c>
      <c r="E1018" s="169">
        <v>42640</v>
      </c>
      <c r="F1018" s="170">
        <v>1.07</v>
      </c>
      <c r="G1018" s="171" t="s">
        <v>13</v>
      </c>
      <c r="H1018" s="168" t="s">
        <v>14</v>
      </c>
      <c r="I1018" s="171">
        <v>1</v>
      </c>
      <c r="J1018" s="171" t="s">
        <v>15</v>
      </c>
      <c r="K1018" s="171" t="s">
        <v>76</v>
      </c>
      <c r="L1018" s="168" t="s">
        <v>77</v>
      </c>
    </row>
    <row r="1019" spans="1:12" x14ac:dyDescent="0.2">
      <c r="A1019" s="168" t="s">
        <v>74</v>
      </c>
      <c r="B1019" s="168" t="s">
        <v>75</v>
      </c>
      <c r="C1019" s="168" t="s">
        <v>19</v>
      </c>
      <c r="D1019" s="168" t="s">
        <v>12</v>
      </c>
      <c r="E1019" s="169">
        <v>42640</v>
      </c>
      <c r="F1019" s="170">
        <v>52.0882206</v>
      </c>
      <c r="G1019" s="171" t="s">
        <v>16</v>
      </c>
      <c r="H1019" s="168" t="s">
        <v>14</v>
      </c>
      <c r="I1019" s="171">
        <v>1</v>
      </c>
      <c r="J1019" s="171" t="s">
        <v>15</v>
      </c>
      <c r="K1019" s="171" t="s">
        <v>76</v>
      </c>
      <c r="L1019" s="168" t="s">
        <v>77</v>
      </c>
    </row>
    <row r="1020" spans="1:12" x14ac:dyDescent="0.2">
      <c r="A1020" s="168" t="s">
        <v>74</v>
      </c>
      <c r="B1020" s="168" t="s">
        <v>75</v>
      </c>
      <c r="C1020" s="168" t="s">
        <v>19</v>
      </c>
      <c r="D1020" s="168" t="s">
        <v>12</v>
      </c>
      <c r="E1020" s="169">
        <v>42640</v>
      </c>
      <c r="F1020" s="170">
        <v>0.48</v>
      </c>
      <c r="G1020" s="171" t="s">
        <v>13</v>
      </c>
      <c r="H1020" s="168" t="s">
        <v>18</v>
      </c>
      <c r="I1020" s="171">
        <v>1</v>
      </c>
      <c r="J1020" s="171" t="s">
        <v>15</v>
      </c>
      <c r="K1020" s="171" t="s">
        <v>76</v>
      </c>
      <c r="L1020" s="168" t="s">
        <v>77</v>
      </c>
    </row>
    <row r="1021" spans="1:12" x14ac:dyDescent="0.2">
      <c r="A1021" s="168" t="s">
        <v>74</v>
      </c>
      <c r="B1021" s="168" t="s">
        <v>75</v>
      </c>
      <c r="C1021" s="168" t="s">
        <v>19</v>
      </c>
      <c r="D1021" s="168" t="s">
        <v>12</v>
      </c>
      <c r="E1021" s="169">
        <v>42640</v>
      </c>
      <c r="F1021" s="170">
        <v>23.366678400000001</v>
      </c>
      <c r="G1021" s="171" t="s">
        <v>16</v>
      </c>
      <c r="H1021" s="168" t="s">
        <v>18</v>
      </c>
      <c r="I1021" s="171">
        <v>1</v>
      </c>
      <c r="J1021" s="171" t="s">
        <v>15</v>
      </c>
      <c r="K1021" s="171" t="s">
        <v>76</v>
      </c>
      <c r="L1021" s="168" t="s">
        <v>77</v>
      </c>
    </row>
    <row r="1022" spans="1:12" x14ac:dyDescent="0.2">
      <c r="A1022" s="168" t="s">
        <v>74</v>
      </c>
      <c r="B1022" s="168" t="s">
        <v>75</v>
      </c>
      <c r="C1022" s="168" t="s">
        <v>19</v>
      </c>
      <c r="D1022" s="168" t="s">
        <v>12</v>
      </c>
      <c r="E1022" s="169">
        <v>42633</v>
      </c>
      <c r="F1022" s="170">
        <v>2.0299999999999998</v>
      </c>
      <c r="G1022" s="171" t="s">
        <v>13</v>
      </c>
      <c r="H1022" s="168" t="s">
        <v>14</v>
      </c>
      <c r="I1022" s="171">
        <v>1</v>
      </c>
      <c r="J1022" s="171" t="s">
        <v>15</v>
      </c>
      <c r="K1022" s="171" t="s">
        <v>76</v>
      </c>
      <c r="L1022" s="168" t="s">
        <v>77</v>
      </c>
    </row>
    <row r="1023" spans="1:12" x14ac:dyDescent="0.2">
      <c r="A1023" s="168" t="s">
        <v>74</v>
      </c>
      <c r="B1023" s="168" t="s">
        <v>75</v>
      </c>
      <c r="C1023" s="168" t="s">
        <v>19</v>
      </c>
      <c r="D1023" s="168" t="s">
        <v>12</v>
      </c>
      <c r="E1023" s="169">
        <v>42633</v>
      </c>
      <c r="F1023" s="170">
        <v>50.147252399999999</v>
      </c>
      <c r="G1023" s="171" t="s">
        <v>16</v>
      </c>
      <c r="H1023" s="168" t="s">
        <v>14</v>
      </c>
      <c r="I1023" s="171">
        <v>1</v>
      </c>
      <c r="J1023" s="171" t="s">
        <v>15</v>
      </c>
      <c r="K1023" s="171" t="s">
        <v>76</v>
      </c>
      <c r="L1023" s="168" t="s">
        <v>77</v>
      </c>
    </row>
    <row r="1024" spans="1:12" x14ac:dyDescent="0.2">
      <c r="A1024" s="168" t="s">
        <v>74</v>
      </c>
      <c r="B1024" s="168" t="s">
        <v>75</v>
      </c>
      <c r="C1024" s="168" t="s">
        <v>19</v>
      </c>
      <c r="D1024" s="168" t="s">
        <v>12</v>
      </c>
      <c r="E1024" s="169">
        <v>42633</v>
      </c>
      <c r="F1024" s="170">
        <v>0.91</v>
      </c>
      <c r="G1024" s="171" t="s">
        <v>13</v>
      </c>
      <c r="H1024" s="168" t="s">
        <v>18</v>
      </c>
      <c r="I1024" s="171">
        <v>1</v>
      </c>
      <c r="J1024" s="171" t="s">
        <v>15</v>
      </c>
      <c r="K1024" s="171" t="s">
        <v>76</v>
      </c>
      <c r="L1024" s="168" t="s">
        <v>77</v>
      </c>
    </row>
    <row r="1025" spans="1:12" x14ac:dyDescent="0.2">
      <c r="A1025" s="168" t="s">
        <v>74</v>
      </c>
      <c r="B1025" s="168" t="s">
        <v>75</v>
      </c>
      <c r="C1025" s="168" t="s">
        <v>19</v>
      </c>
      <c r="D1025" s="168" t="s">
        <v>12</v>
      </c>
      <c r="E1025" s="169">
        <v>42633</v>
      </c>
      <c r="F1025" s="170">
        <v>22.479802800000002</v>
      </c>
      <c r="G1025" s="171" t="s">
        <v>16</v>
      </c>
      <c r="H1025" s="168" t="s">
        <v>18</v>
      </c>
      <c r="I1025" s="171">
        <v>1</v>
      </c>
      <c r="J1025" s="171" t="s">
        <v>15</v>
      </c>
      <c r="K1025" s="171" t="s">
        <v>76</v>
      </c>
      <c r="L1025" s="168" t="s">
        <v>77</v>
      </c>
    </row>
    <row r="1026" spans="1:12" x14ac:dyDescent="0.2">
      <c r="A1026" s="168" t="s">
        <v>74</v>
      </c>
      <c r="B1026" s="168" t="s">
        <v>75</v>
      </c>
      <c r="C1026" s="168" t="s">
        <v>19</v>
      </c>
      <c r="D1026" s="168" t="s">
        <v>12</v>
      </c>
      <c r="E1026" s="169">
        <v>42626</v>
      </c>
      <c r="F1026" s="170">
        <v>1.57</v>
      </c>
      <c r="G1026" s="171" t="s">
        <v>13</v>
      </c>
      <c r="H1026" s="168" t="s">
        <v>14</v>
      </c>
      <c r="I1026" s="171">
        <v>1</v>
      </c>
      <c r="J1026" s="171" t="s">
        <v>15</v>
      </c>
      <c r="K1026" s="171" t="s">
        <v>76</v>
      </c>
      <c r="L1026" s="168" t="s">
        <v>77</v>
      </c>
    </row>
    <row r="1027" spans="1:12" x14ac:dyDescent="0.2">
      <c r="A1027" s="168" t="s">
        <v>74</v>
      </c>
      <c r="B1027" s="168" t="s">
        <v>75</v>
      </c>
      <c r="C1027" s="168" t="s">
        <v>19</v>
      </c>
      <c r="D1027" s="168" t="s">
        <v>12</v>
      </c>
      <c r="E1027" s="169">
        <v>42626</v>
      </c>
      <c r="F1027" s="170">
        <v>42.162036000000001</v>
      </c>
      <c r="G1027" s="171" t="s">
        <v>16</v>
      </c>
      <c r="H1027" s="168" t="s">
        <v>14</v>
      </c>
      <c r="I1027" s="171">
        <v>1</v>
      </c>
      <c r="J1027" s="171" t="s">
        <v>15</v>
      </c>
      <c r="K1027" s="171" t="s">
        <v>76</v>
      </c>
      <c r="L1027" s="168" t="s">
        <v>77</v>
      </c>
    </row>
    <row r="1028" spans="1:12" x14ac:dyDescent="0.2">
      <c r="A1028" s="168" t="s">
        <v>74</v>
      </c>
      <c r="B1028" s="168" t="s">
        <v>75</v>
      </c>
      <c r="C1028" s="168" t="s">
        <v>19</v>
      </c>
      <c r="D1028" s="168" t="s">
        <v>12</v>
      </c>
      <c r="E1028" s="169">
        <v>42626</v>
      </c>
      <c r="F1028" s="170">
        <v>0.94</v>
      </c>
      <c r="G1028" s="171" t="s">
        <v>13</v>
      </c>
      <c r="H1028" s="168" t="s">
        <v>18</v>
      </c>
      <c r="I1028" s="171">
        <v>1</v>
      </c>
      <c r="J1028" s="171" t="s">
        <v>15</v>
      </c>
      <c r="K1028" s="171" t="s">
        <v>76</v>
      </c>
      <c r="L1028" s="168" t="s">
        <v>77</v>
      </c>
    </row>
    <row r="1029" spans="1:12" x14ac:dyDescent="0.2">
      <c r="A1029" s="168" t="s">
        <v>74</v>
      </c>
      <c r="B1029" s="168" t="s">
        <v>75</v>
      </c>
      <c r="C1029" s="168" t="s">
        <v>19</v>
      </c>
      <c r="D1029" s="168" t="s">
        <v>12</v>
      </c>
      <c r="E1029" s="169">
        <v>42626</v>
      </c>
      <c r="F1029" s="170">
        <v>25.243511999999999</v>
      </c>
      <c r="G1029" s="171" t="s">
        <v>16</v>
      </c>
      <c r="H1029" s="168" t="s">
        <v>18</v>
      </c>
      <c r="I1029" s="171">
        <v>1</v>
      </c>
      <c r="J1029" s="171" t="s">
        <v>15</v>
      </c>
      <c r="K1029" s="171" t="s">
        <v>76</v>
      </c>
      <c r="L1029" s="168" t="s">
        <v>77</v>
      </c>
    </row>
    <row r="1030" spans="1:12" x14ac:dyDescent="0.2">
      <c r="A1030" s="168" t="s">
        <v>74</v>
      </c>
      <c r="B1030" s="168" t="s">
        <v>75</v>
      </c>
      <c r="C1030" s="168" t="s">
        <v>19</v>
      </c>
      <c r="D1030" s="168" t="s">
        <v>12</v>
      </c>
      <c r="E1030" s="169">
        <v>42619</v>
      </c>
      <c r="F1030" s="170">
        <v>2.27</v>
      </c>
      <c r="G1030" s="171" t="s">
        <v>13</v>
      </c>
      <c r="H1030" s="168" t="s">
        <v>14</v>
      </c>
      <c r="I1030" s="171">
        <v>1</v>
      </c>
      <c r="J1030" s="171" t="s">
        <v>15</v>
      </c>
      <c r="K1030" s="171" t="s">
        <v>76</v>
      </c>
      <c r="L1030" s="168" t="s">
        <v>77</v>
      </c>
    </row>
    <row r="1031" spans="1:12" x14ac:dyDescent="0.2">
      <c r="A1031" s="168" t="s">
        <v>74</v>
      </c>
      <c r="B1031" s="168" t="s">
        <v>75</v>
      </c>
      <c r="C1031" s="168" t="s">
        <v>19</v>
      </c>
      <c r="D1031" s="168" t="s">
        <v>12</v>
      </c>
      <c r="E1031" s="169">
        <v>42619</v>
      </c>
      <c r="F1031" s="170">
        <v>38.772326399999997</v>
      </c>
      <c r="G1031" s="171" t="s">
        <v>16</v>
      </c>
      <c r="H1031" s="168" t="s">
        <v>14</v>
      </c>
      <c r="I1031" s="171">
        <v>1</v>
      </c>
      <c r="J1031" s="171" t="s">
        <v>15</v>
      </c>
      <c r="K1031" s="171" t="s">
        <v>76</v>
      </c>
      <c r="L1031" s="168" t="s">
        <v>77</v>
      </c>
    </row>
    <row r="1032" spans="1:12" x14ac:dyDescent="0.2">
      <c r="A1032" s="168" t="s">
        <v>74</v>
      </c>
      <c r="B1032" s="168" t="s">
        <v>75</v>
      </c>
      <c r="C1032" s="168" t="s">
        <v>19</v>
      </c>
      <c r="D1032" s="168" t="s">
        <v>12</v>
      </c>
      <c r="E1032" s="169">
        <v>42619</v>
      </c>
      <c r="F1032" s="170">
        <v>1.64</v>
      </c>
      <c r="G1032" s="171" t="s">
        <v>13</v>
      </c>
      <c r="H1032" s="168" t="s">
        <v>18</v>
      </c>
      <c r="I1032" s="171">
        <v>1</v>
      </c>
      <c r="J1032" s="171" t="s">
        <v>15</v>
      </c>
      <c r="K1032" s="171" t="s">
        <v>76</v>
      </c>
      <c r="L1032" s="168" t="s">
        <v>77</v>
      </c>
    </row>
    <row r="1033" spans="1:12" x14ac:dyDescent="0.2">
      <c r="A1033" s="168" t="s">
        <v>74</v>
      </c>
      <c r="B1033" s="168" t="s">
        <v>75</v>
      </c>
      <c r="C1033" s="168" t="s">
        <v>19</v>
      </c>
      <c r="D1033" s="168" t="s">
        <v>12</v>
      </c>
      <c r="E1033" s="169">
        <v>42619</v>
      </c>
      <c r="F1033" s="170">
        <v>28.0117248</v>
      </c>
      <c r="G1033" s="171" t="s">
        <v>16</v>
      </c>
      <c r="H1033" s="168" t="s">
        <v>18</v>
      </c>
      <c r="I1033" s="171">
        <v>1</v>
      </c>
      <c r="J1033" s="171" t="s">
        <v>15</v>
      </c>
      <c r="K1033" s="171" t="s">
        <v>76</v>
      </c>
      <c r="L1033" s="168" t="s">
        <v>77</v>
      </c>
    </row>
    <row r="1034" spans="1:12" x14ac:dyDescent="0.2">
      <c r="A1034" s="168" t="s">
        <v>74</v>
      </c>
      <c r="B1034" s="168" t="s">
        <v>75</v>
      </c>
      <c r="C1034" s="168" t="s">
        <v>19</v>
      </c>
      <c r="D1034" s="168" t="s">
        <v>12</v>
      </c>
      <c r="E1034" s="169">
        <v>42612</v>
      </c>
      <c r="F1034" s="170">
        <v>1.73</v>
      </c>
      <c r="G1034" s="171" t="s">
        <v>13</v>
      </c>
      <c r="H1034" s="168" t="s">
        <v>14</v>
      </c>
      <c r="I1034" s="171">
        <v>1</v>
      </c>
      <c r="J1034" s="171" t="s">
        <v>15</v>
      </c>
      <c r="K1034" s="171" t="s">
        <v>76</v>
      </c>
      <c r="L1034" s="168" t="s">
        <v>77</v>
      </c>
    </row>
    <row r="1035" spans="1:12" x14ac:dyDescent="0.2">
      <c r="A1035" s="168" t="s">
        <v>74</v>
      </c>
      <c r="B1035" s="168" t="s">
        <v>75</v>
      </c>
      <c r="C1035" s="168" t="s">
        <v>19</v>
      </c>
      <c r="D1035" s="168" t="s">
        <v>12</v>
      </c>
      <c r="E1035" s="169">
        <v>42612</v>
      </c>
      <c r="F1035" s="170">
        <v>36.690912599999997</v>
      </c>
      <c r="G1035" s="171" t="s">
        <v>16</v>
      </c>
      <c r="H1035" s="168" t="s">
        <v>14</v>
      </c>
      <c r="I1035" s="171">
        <v>1</v>
      </c>
      <c r="J1035" s="171" t="s">
        <v>15</v>
      </c>
      <c r="K1035" s="171" t="s">
        <v>76</v>
      </c>
      <c r="L1035" s="168" t="s">
        <v>77</v>
      </c>
    </row>
    <row r="1036" spans="1:12" x14ac:dyDescent="0.2">
      <c r="A1036" s="168" t="s">
        <v>74</v>
      </c>
      <c r="B1036" s="168" t="s">
        <v>75</v>
      </c>
      <c r="C1036" s="168" t="s">
        <v>19</v>
      </c>
      <c r="D1036" s="168" t="s">
        <v>12</v>
      </c>
      <c r="E1036" s="169">
        <v>42612</v>
      </c>
      <c r="F1036" s="170">
        <v>1.19</v>
      </c>
      <c r="G1036" s="171" t="s">
        <v>13</v>
      </c>
      <c r="H1036" s="168" t="s">
        <v>18</v>
      </c>
      <c r="I1036" s="171">
        <v>1</v>
      </c>
      <c r="J1036" s="171" t="s">
        <v>15</v>
      </c>
      <c r="K1036" s="171" t="s">
        <v>76</v>
      </c>
      <c r="L1036" s="168" t="s">
        <v>77</v>
      </c>
    </row>
    <row r="1037" spans="1:12" x14ac:dyDescent="0.2">
      <c r="A1037" s="168" t="s">
        <v>74</v>
      </c>
      <c r="B1037" s="168" t="s">
        <v>75</v>
      </c>
      <c r="C1037" s="168" t="s">
        <v>19</v>
      </c>
      <c r="D1037" s="168" t="s">
        <v>12</v>
      </c>
      <c r="E1037" s="169">
        <v>42612</v>
      </c>
      <c r="F1037" s="170">
        <v>25.2382578</v>
      </c>
      <c r="G1037" s="171" t="s">
        <v>16</v>
      </c>
      <c r="H1037" s="168" t="s">
        <v>18</v>
      </c>
      <c r="I1037" s="171">
        <v>1</v>
      </c>
      <c r="J1037" s="171" t="s">
        <v>15</v>
      </c>
      <c r="K1037" s="171" t="s">
        <v>76</v>
      </c>
      <c r="L1037" s="168" t="s">
        <v>77</v>
      </c>
    </row>
    <row r="1038" spans="1:12" x14ac:dyDescent="0.2">
      <c r="A1038" s="168" t="s">
        <v>74</v>
      </c>
      <c r="B1038" s="168" t="s">
        <v>75</v>
      </c>
      <c r="C1038" s="168" t="s">
        <v>19</v>
      </c>
      <c r="D1038" s="168" t="s">
        <v>12</v>
      </c>
      <c r="E1038" s="169">
        <v>42606</v>
      </c>
      <c r="F1038" s="170">
        <v>1.51</v>
      </c>
      <c r="G1038" s="171" t="s">
        <v>13</v>
      </c>
      <c r="H1038" s="168" t="s">
        <v>14</v>
      </c>
      <c r="I1038" s="171">
        <v>1</v>
      </c>
      <c r="J1038" s="171" t="s">
        <v>15</v>
      </c>
      <c r="K1038" s="171" t="s">
        <v>76</v>
      </c>
      <c r="L1038" s="168" t="s">
        <v>77</v>
      </c>
    </row>
    <row r="1039" spans="1:12" x14ac:dyDescent="0.2">
      <c r="A1039" s="168" t="s">
        <v>74</v>
      </c>
      <c r="B1039" s="168" t="s">
        <v>75</v>
      </c>
      <c r="C1039" s="168" t="s">
        <v>19</v>
      </c>
      <c r="D1039" s="168" t="s">
        <v>12</v>
      </c>
      <c r="E1039" s="169">
        <v>42606</v>
      </c>
      <c r="F1039" s="170">
        <v>59.302320600000002</v>
      </c>
      <c r="G1039" s="171" t="s">
        <v>16</v>
      </c>
      <c r="H1039" s="168" t="s">
        <v>14</v>
      </c>
      <c r="I1039" s="171">
        <v>1</v>
      </c>
      <c r="J1039" s="171" t="s">
        <v>15</v>
      </c>
      <c r="K1039" s="171" t="s">
        <v>76</v>
      </c>
      <c r="L1039" s="168" t="s">
        <v>77</v>
      </c>
    </row>
    <row r="1040" spans="1:12" x14ac:dyDescent="0.2">
      <c r="A1040" s="168" t="s">
        <v>74</v>
      </c>
      <c r="B1040" s="168" t="s">
        <v>75</v>
      </c>
      <c r="C1040" s="168" t="s">
        <v>19</v>
      </c>
      <c r="D1040" s="168" t="s">
        <v>12</v>
      </c>
      <c r="E1040" s="169">
        <v>42605</v>
      </c>
      <c r="F1040" s="170">
        <v>2.5099999999999998</v>
      </c>
      <c r="G1040" s="171" t="s">
        <v>13</v>
      </c>
      <c r="H1040" s="168" t="s">
        <v>18</v>
      </c>
      <c r="I1040" s="171">
        <v>1</v>
      </c>
      <c r="J1040" s="171" t="s">
        <v>15</v>
      </c>
      <c r="K1040" s="171" t="s">
        <v>76</v>
      </c>
      <c r="L1040" s="168" t="s">
        <v>77</v>
      </c>
    </row>
    <row r="1041" spans="1:12" x14ac:dyDescent="0.2">
      <c r="A1041" s="168" t="s">
        <v>74</v>
      </c>
      <c r="B1041" s="168" t="s">
        <v>75</v>
      </c>
      <c r="C1041" s="168" t="s">
        <v>19</v>
      </c>
      <c r="D1041" s="168" t="s">
        <v>12</v>
      </c>
      <c r="E1041" s="169">
        <v>42605</v>
      </c>
      <c r="F1041" s="170">
        <v>86.810809800000001</v>
      </c>
      <c r="G1041" s="171" t="s">
        <v>16</v>
      </c>
      <c r="H1041" s="168" t="s">
        <v>18</v>
      </c>
      <c r="I1041" s="171">
        <v>1</v>
      </c>
      <c r="J1041" s="171" t="s">
        <v>15</v>
      </c>
      <c r="K1041" s="171" t="s">
        <v>76</v>
      </c>
      <c r="L1041" s="168" t="s">
        <v>77</v>
      </c>
    </row>
    <row r="1042" spans="1:12" x14ac:dyDescent="0.2">
      <c r="A1042" s="168" t="s">
        <v>74</v>
      </c>
      <c r="B1042" s="168" t="s">
        <v>75</v>
      </c>
      <c r="C1042" s="168" t="s">
        <v>19</v>
      </c>
      <c r="D1042" s="168" t="s">
        <v>12</v>
      </c>
      <c r="E1042" s="169">
        <v>42598</v>
      </c>
      <c r="F1042" s="170">
        <v>3.41</v>
      </c>
      <c r="G1042" s="171" t="s">
        <v>13</v>
      </c>
      <c r="H1042" s="168" t="s">
        <v>14</v>
      </c>
      <c r="I1042" s="171">
        <v>1</v>
      </c>
      <c r="J1042" s="171" t="s">
        <v>15</v>
      </c>
      <c r="K1042" s="171" t="s">
        <v>76</v>
      </c>
      <c r="L1042" s="168" t="s">
        <v>77</v>
      </c>
    </row>
    <row r="1043" spans="1:12" x14ac:dyDescent="0.2">
      <c r="A1043" s="168" t="s">
        <v>74</v>
      </c>
      <c r="B1043" s="168" t="s">
        <v>75</v>
      </c>
      <c r="C1043" s="168" t="s">
        <v>19</v>
      </c>
      <c r="D1043" s="168" t="s">
        <v>12</v>
      </c>
      <c r="E1043" s="169">
        <v>42598</v>
      </c>
      <c r="F1043" s="170">
        <v>51.930344400000003</v>
      </c>
      <c r="G1043" s="171" t="s">
        <v>16</v>
      </c>
      <c r="H1043" s="168" t="s">
        <v>14</v>
      </c>
      <c r="I1043" s="171">
        <v>1</v>
      </c>
      <c r="J1043" s="171" t="s">
        <v>15</v>
      </c>
      <c r="K1043" s="171" t="s">
        <v>76</v>
      </c>
      <c r="L1043" s="168" t="s">
        <v>77</v>
      </c>
    </row>
    <row r="1044" spans="1:12" x14ac:dyDescent="0.2">
      <c r="A1044" s="168" t="s">
        <v>74</v>
      </c>
      <c r="B1044" s="168" t="s">
        <v>75</v>
      </c>
      <c r="C1044" s="168" t="s">
        <v>19</v>
      </c>
      <c r="D1044" s="168" t="s">
        <v>12</v>
      </c>
      <c r="E1044" s="169">
        <v>42598</v>
      </c>
      <c r="F1044" s="170">
        <v>2.2400000000000002</v>
      </c>
      <c r="G1044" s="171" t="s">
        <v>13</v>
      </c>
      <c r="H1044" s="168" t="s">
        <v>18</v>
      </c>
      <c r="I1044" s="171">
        <v>1</v>
      </c>
      <c r="J1044" s="171" t="s">
        <v>15</v>
      </c>
      <c r="K1044" s="171" t="s">
        <v>76</v>
      </c>
      <c r="L1044" s="168" t="s">
        <v>77</v>
      </c>
    </row>
    <row r="1045" spans="1:12" x14ac:dyDescent="0.2">
      <c r="A1045" s="168" t="s">
        <v>74</v>
      </c>
      <c r="B1045" s="168" t="s">
        <v>75</v>
      </c>
      <c r="C1045" s="168" t="s">
        <v>19</v>
      </c>
      <c r="D1045" s="168" t="s">
        <v>12</v>
      </c>
      <c r="E1045" s="169">
        <v>42598</v>
      </c>
      <c r="F1045" s="170">
        <v>34.112601599999998</v>
      </c>
      <c r="G1045" s="171" t="s">
        <v>16</v>
      </c>
      <c r="H1045" s="168" t="s">
        <v>18</v>
      </c>
      <c r="I1045" s="171">
        <v>1</v>
      </c>
      <c r="J1045" s="171" t="s">
        <v>15</v>
      </c>
      <c r="K1045" s="171" t="s">
        <v>76</v>
      </c>
      <c r="L1045" s="168" t="s">
        <v>77</v>
      </c>
    </row>
    <row r="1046" spans="1:12" x14ac:dyDescent="0.2">
      <c r="A1046" s="168" t="s">
        <v>74</v>
      </c>
      <c r="B1046" s="168" t="s">
        <v>75</v>
      </c>
      <c r="C1046" s="168" t="s">
        <v>19</v>
      </c>
      <c r="D1046" s="168" t="s">
        <v>12</v>
      </c>
      <c r="E1046" s="169">
        <v>42591</v>
      </c>
      <c r="F1046" s="170">
        <v>2.4500000000000002</v>
      </c>
      <c r="G1046" s="171" t="s">
        <v>13</v>
      </c>
      <c r="H1046" s="168" t="s">
        <v>14</v>
      </c>
      <c r="I1046" s="171">
        <v>1</v>
      </c>
      <c r="J1046" s="171" t="s">
        <v>15</v>
      </c>
      <c r="K1046" s="171" t="s">
        <v>76</v>
      </c>
      <c r="L1046" s="168" t="s">
        <v>77</v>
      </c>
    </row>
    <row r="1047" spans="1:12" x14ac:dyDescent="0.2">
      <c r="A1047" s="168" t="s">
        <v>74</v>
      </c>
      <c r="B1047" s="168" t="s">
        <v>75</v>
      </c>
      <c r="C1047" s="168" t="s">
        <v>19</v>
      </c>
      <c r="D1047" s="168" t="s">
        <v>12</v>
      </c>
      <c r="E1047" s="169">
        <v>42591</v>
      </c>
      <c r="F1047" s="170">
        <v>36.227708999999997</v>
      </c>
      <c r="G1047" s="171" t="s">
        <v>16</v>
      </c>
      <c r="H1047" s="168" t="s">
        <v>14</v>
      </c>
      <c r="I1047" s="171">
        <v>1</v>
      </c>
      <c r="J1047" s="171" t="s">
        <v>15</v>
      </c>
      <c r="K1047" s="171" t="s">
        <v>76</v>
      </c>
      <c r="L1047" s="168" t="s">
        <v>77</v>
      </c>
    </row>
    <row r="1048" spans="1:12" x14ac:dyDescent="0.2">
      <c r="A1048" s="168" t="s">
        <v>74</v>
      </c>
      <c r="B1048" s="168" t="s">
        <v>75</v>
      </c>
      <c r="C1048" s="168" t="s">
        <v>19</v>
      </c>
      <c r="D1048" s="168" t="s">
        <v>12</v>
      </c>
      <c r="E1048" s="169">
        <v>42591</v>
      </c>
      <c r="F1048" s="170">
        <v>1.54</v>
      </c>
      <c r="G1048" s="171" t="s">
        <v>13</v>
      </c>
      <c r="H1048" s="168" t="s">
        <v>18</v>
      </c>
      <c r="I1048" s="171">
        <v>1</v>
      </c>
      <c r="J1048" s="171" t="s">
        <v>15</v>
      </c>
      <c r="K1048" s="171" t="s">
        <v>76</v>
      </c>
      <c r="L1048" s="168" t="s">
        <v>77</v>
      </c>
    </row>
    <row r="1049" spans="1:12" x14ac:dyDescent="0.2">
      <c r="A1049" s="168" t="s">
        <v>74</v>
      </c>
      <c r="B1049" s="168" t="s">
        <v>75</v>
      </c>
      <c r="C1049" s="168" t="s">
        <v>19</v>
      </c>
      <c r="D1049" s="168" t="s">
        <v>12</v>
      </c>
      <c r="E1049" s="169">
        <v>42591</v>
      </c>
      <c r="F1049" s="170">
        <v>22.7717028</v>
      </c>
      <c r="G1049" s="171" t="s">
        <v>16</v>
      </c>
      <c r="H1049" s="168" t="s">
        <v>18</v>
      </c>
      <c r="I1049" s="171">
        <v>1</v>
      </c>
      <c r="J1049" s="171" t="s">
        <v>15</v>
      </c>
      <c r="K1049" s="171" t="s">
        <v>76</v>
      </c>
      <c r="L1049" s="168" t="s">
        <v>77</v>
      </c>
    </row>
    <row r="1050" spans="1:12" x14ac:dyDescent="0.2">
      <c r="A1050" s="168" t="s">
        <v>74</v>
      </c>
      <c r="B1050" s="168" t="s">
        <v>75</v>
      </c>
      <c r="C1050" s="168" t="s">
        <v>19</v>
      </c>
      <c r="D1050" s="168" t="s">
        <v>12</v>
      </c>
      <c r="E1050" s="169">
        <v>42584</v>
      </c>
      <c r="F1050" s="170">
        <v>2.0699999999999998</v>
      </c>
      <c r="G1050" s="171" t="s">
        <v>13</v>
      </c>
      <c r="H1050" s="168" t="s">
        <v>14</v>
      </c>
      <c r="I1050" s="171">
        <v>1</v>
      </c>
      <c r="J1050" s="171" t="s">
        <v>15</v>
      </c>
      <c r="K1050" s="171" t="s">
        <v>76</v>
      </c>
      <c r="L1050" s="168" t="s">
        <v>77</v>
      </c>
    </row>
    <row r="1051" spans="1:12" x14ac:dyDescent="0.2">
      <c r="A1051" s="168" t="s">
        <v>74</v>
      </c>
      <c r="B1051" s="168" t="s">
        <v>75</v>
      </c>
      <c r="C1051" s="168" t="s">
        <v>19</v>
      </c>
      <c r="D1051" s="168" t="s">
        <v>12</v>
      </c>
      <c r="E1051" s="169">
        <v>42584</v>
      </c>
      <c r="F1051" s="170">
        <v>30.867674399999999</v>
      </c>
      <c r="G1051" s="171" t="s">
        <v>16</v>
      </c>
      <c r="H1051" s="168" t="s">
        <v>14</v>
      </c>
      <c r="I1051" s="171">
        <v>1</v>
      </c>
      <c r="J1051" s="171" t="s">
        <v>15</v>
      </c>
      <c r="K1051" s="171" t="s">
        <v>76</v>
      </c>
      <c r="L1051" s="168" t="s">
        <v>77</v>
      </c>
    </row>
    <row r="1052" spans="1:12" x14ac:dyDescent="0.2">
      <c r="A1052" s="168" t="s">
        <v>74</v>
      </c>
      <c r="B1052" s="168" t="s">
        <v>75</v>
      </c>
      <c r="C1052" s="168" t="s">
        <v>19</v>
      </c>
      <c r="D1052" s="168" t="s">
        <v>12</v>
      </c>
      <c r="E1052" s="169">
        <v>42584</v>
      </c>
      <c r="F1052" s="170">
        <v>1.9</v>
      </c>
      <c r="G1052" s="171" t="s">
        <v>13</v>
      </c>
      <c r="H1052" s="168" t="s">
        <v>18</v>
      </c>
      <c r="I1052" s="171">
        <v>1</v>
      </c>
      <c r="J1052" s="171" t="s">
        <v>15</v>
      </c>
      <c r="K1052" s="171" t="s">
        <v>76</v>
      </c>
      <c r="L1052" s="168" t="s">
        <v>77</v>
      </c>
    </row>
    <row r="1053" spans="1:12" x14ac:dyDescent="0.2">
      <c r="A1053" s="168" t="s">
        <v>74</v>
      </c>
      <c r="B1053" s="168" t="s">
        <v>75</v>
      </c>
      <c r="C1053" s="168" t="s">
        <v>19</v>
      </c>
      <c r="D1053" s="168" t="s">
        <v>12</v>
      </c>
      <c r="E1053" s="169">
        <v>42584</v>
      </c>
      <c r="F1053" s="170">
        <v>28.332647999999999</v>
      </c>
      <c r="G1053" s="171" t="s">
        <v>16</v>
      </c>
      <c r="H1053" s="168" t="s">
        <v>18</v>
      </c>
      <c r="I1053" s="171">
        <v>1</v>
      </c>
      <c r="J1053" s="171" t="s">
        <v>15</v>
      </c>
      <c r="K1053" s="171" t="s">
        <v>76</v>
      </c>
      <c r="L1053" s="168" t="s">
        <v>77</v>
      </c>
    </row>
    <row r="1054" spans="1:12" x14ac:dyDescent="0.2">
      <c r="A1054" s="168" t="s">
        <v>74</v>
      </c>
      <c r="B1054" s="168" t="s">
        <v>75</v>
      </c>
      <c r="C1054" s="168" t="s">
        <v>19</v>
      </c>
      <c r="D1054" s="168" t="s">
        <v>12</v>
      </c>
      <c r="E1054" s="169">
        <v>42577</v>
      </c>
      <c r="F1054" s="170">
        <v>1.45</v>
      </c>
      <c r="G1054" s="171" t="s">
        <v>13</v>
      </c>
      <c r="H1054" s="168" t="s">
        <v>14</v>
      </c>
      <c r="I1054" s="171">
        <v>1</v>
      </c>
      <c r="J1054" s="171" t="s">
        <v>15</v>
      </c>
      <c r="K1054" s="171" t="s">
        <v>76</v>
      </c>
      <c r="L1054" s="168" t="s">
        <v>77</v>
      </c>
    </row>
    <row r="1055" spans="1:12" x14ac:dyDescent="0.2">
      <c r="A1055" s="168" t="s">
        <v>74</v>
      </c>
      <c r="B1055" s="168" t="s">
        <v>75</v>
      </c>
      <c r="C1055" s="168" t="s">
        <v>19</v>
      </c>
      <c r="D1055" s="168" t="s">
        <v>12</v>
      </c>
      <c r="E1055" s="169">
        <v>42577</v>
      </c>
      <c r="F1055" s="170">
        <v>27.027854999999999</v>
      </c>
      <c r="G1055" s="171" t="s">
        <v>16</v>
      </c>
      <c r="H1055" s="168" t="s">
        <v>14</v>
      </c>
      <c r="I1055" s="171">
        <v>1</v>
      </c>
      <c r="J1055" s="171" t="s">
        <v>15</v>
      </c>
      <c r="K1055" s="171" t="s">
        <v>76</v>
      </c>
      <c r="L1055" s="168" t="s">
        <v>77</v>
      </c>
    </row>
    <row r="1056" spans="1:12" x14ac:dyDescent="0.2">
      <c r="A1056" s="168" t="s">
        <v>74</v>
      </c>
      <c r="B1056" s="168" t="s">
        <v>75</v>
      </c>
      <c r="C1056" s="168" t="s">
        <v>19</v>
      </c>
      <c r="D1056" s="168" t="s">
        <v>12</v>
      </c>
      <c r="E1056" s="169">
        <v>42577</v>
      </c>
      <c r="F1056" s="170">
        <v>1.03</v>
      </c>
      <c r="G1056" s="171" t="s">
        <v>13</v>
      </c>
      <c r="H1056" s="168" t="s">
        <v>18</v>
      </c>
      <c r="I1056" s="171">
        <v>1</v>
      </c>
      <c r="J1056" s="171" t="s">
        <v>15</v>
      </c>
      <c r="K1056" s="171" t="s">
        <v>76</v>
      </c>
      <c r="L1056" s="168" t="s">
        <v>77</v>
      </c>
    </row>
    <row r="1057" spans="1:12" x14ac:dyDescent="0.2">
      <c r="A1057" s="168" t="s">
        <v>74</v>
      </c>
      <c r="B1057" s="168" t="s">
        <v>75</v>
      </c>
      <c r="C1057" s="168" t="s">
        <v>19</v>
      </c>
      <c r="D1057" s="168" t="s">
        <v>12</v>
      </c>
      <c r="E1057" s="169">
        <v>42577</v>
      </c>
      <c r="F1057" s="170">
        <v>19.199096999999998</v>
      </c>
      <c r="G1057" s="171" t="s">
        <v>16</v>
      </c>
      <c r="H1057" s="168" t="s">
        <v>18</v>
      </c>
      <c r="I1057" s="171">
        <v>1</v>
      </c>
      <c r="J1057" s="171" t="s">
        <v>15</v>
      </c>
      <c r="K1057" s="171" t="s">
        <v>76</v>
      </c>
      <c r="L1057" s="168" t="s">
        <v>77</v>
      </c>
    </row>
    <row r="1058" spans="1:12" x14ac:dyDescent="0.2">
      <c r="A1058" s="168" t="s">
        <v>74</v>
      </c>
      <c r="B1058" s="168" t="s">
        <v>75</v>
      </c>
      <c r="C1058" s="168" t="s">
        <v>19</v>
      </c>
      <c r="D1058" s="168" t="s">
        <v>12</v>
      </c>
      <c r="E1058" s="169">
        <v>42570</v>
      </c>
      <c r="F1058" s="170">
        <v>1.6</v>
      </c>
      <c r="G1058" s="171" t="s">
        <v>13</v>
      </c>
      <c r="H1058" s="168" t="s">
        <v>14</v>
      </c>
      <c r="I1058" s="171">
        <v>1</v>
      </c>
      <c r="J1058" s="171" t="s">
        <v>15</v>
      </c>
      <c r="K1058" s="171" t="s">
        <v>76</v>
      </c>
      <c r="L1058" s="168" t="s">
        <v>77</v>
      </c>
    </row>
    <row r="1059" spans="1:12" x14ac:dyDescent="0.2">
      <c r="A1059" s="168" t="s">
        <v>74</v>
      </c>
      <c r="B1059" s="168" t="s">
        <v>75</v>
      </c>
      <c r="C1059" s="168" t="s">
        <v>19</v>
      </c>
      <c r="D1059" s="168" t="s">
        <v>12</v>
      </c>
      <c r="E1059" s="169">
        <v>42570</v>
      </c>
      <c r="F1059" s="170">
        <v>42.794207999999998</v>
      </c>
      <c r="G1059" s="171" t="s">
        <v>16</v>
      </c>
      <c r="H1059" s="168" t="s">
        <v>14</v>
      </c>
      <c r="I1059" s="171">
        <v>1</v>
      </c>
      <c r="J1059" s="171" t="s">
        <v>15</v>
      </c>
      <c r="K1059" s="171" t="s">
        <v>76</v>
      </c>
      <c r="L1059" s="168" t="s">
        <v>77</v>
      </c>
    </row>
    <row r="1060" spans="1:12" x14ac:dyDescent="0.2">
      <c r="A1060" s="168" t="s">
        <v>74</v>
      </c>
      <c r="B1060" s="168" t="s">
        <v>75</v>
      </c>
      <c r="C1060" s="168" t="s">
        <v>19</v>
      </c>
      <c r="D1060" s="168" t="s">
        <v>12</v>
      </c>
      <c r="E1060" s="169">
        <v>42570</v>
      </c>
      <c r="F1060" s="170">
        <v>0.88</v>
      </c>
      <c r="G1060" s="171" t="s">
        <v>13</v>
      </c>
      <c r="H1060" s="168" t="s">
        <v>18</v>
      </c>
      <c r="I1060" s="171">
        <v>1</v>
      </c>
      <c r="J1060" s="171" t="s">
        <v>15</v>
      </c>
      <c r="K1060" s="171" t="s">
        <v>76</v>
      </c>
      <c r="L1060" s="168" t="s">
        <v>77</v>
      </c>
    </row>
    <row r="1061" spans="1:12" x14ac:dyDescent="0.2">
      <c r="A1061" s="168" t="s">
        <v>74</v>
      </c>
      <c r="B1061" s="168" t="s">
        <v>75</v>
      </c>
      <c r="C1061" s="168" t="s">
        <v>19</v>
      </c>
      <c r="D1061" s="168" t="s">
        <v>12</v>
      </c>
      <c r="E1061" s="169">
        <v>42570</v>
      </c>
      <c r="F1061" s="170">
        <v>23.536814400000001</v>
      </c>
      <c r="G1061" s="171" t="s">
        <v>16</v>
      </c>
      <c r="H1061" s="168" t="s">
        <v>18</v>
      </c>
      <c r="I1061" s="171">
        <v>1</v>
      </c>
      <c r="J1061" s="171" t="s">
        <v>15</v>
      </c>
      <c r="K1061" s="171" t="s">
        <v>76</v>
      </c>
      <c r="L1061" s="168" t="s">
        <v>77</v>
      </c>
    </row>
    <row r="1062" spans="1:12" x14ac:dyDescent="0.2">
      <c r="A1062" s="168" t="s">
        <v>74</v>
      </c>
      <c r="B1062" s="168" t="s">
        <v>75</v>
      </c>
      <c r="C1062" s="168" t="s">
        <v>19</v>
      </c>
      <c r="D1062" s="168" t="s">
        <v>12</v>
      </c>
      <c r="E1062" s="169">
        <v>42563</v>
      </c>
      <c r="F1062" s="170">
        <v>1.95</v>
      </c>
      <c r="G1062" s="171" t="s">
        <v>13</v>
      </c>
      <c r="H1062" s="168" t="s">
        <v>14</v>
      </c>
      <c r="I1062" s="171">
        <v>1</v>
      </c>
      <c r="J1062" s="171" t="s">
        <v>15</v>
      </c>
      <c r="K1062" s="171" t="s">
        <v>76</v>
      </c>
      <c r="L1062" s="168" t="s">
        <v>77</v>
      </c>
    </row>
    <row r="1063" spans="1:12" x14ac:dyDescent="0.2">
      <c r="A1063" s="168" t="s">
        <v>74</v>
      </c>
      <c r="B1063" s="168" t="s">
        <v>75</v>
      </c>
      <c r="C1063" s="168" t="s">
        <v>19</v>
      </c>
      <c r="D1063" s="168" t="s">
        <v>12</v>
      </c>
      <c r="E1063" s="169">
        <v>42563</v>
      </c>
      <c r="F1063" s="170">
        <v>35.241920999999998</v>
      </c>
      <c r="G1063" s="171" t="s">
        <v>16</v>
      </c>
      <c r="H1063" s="168" t="s">
        <v>14</v>
      </c>
      <c r="I1063" s="171">
        <v>1</v>
      </c>
      <c r="J1063" s="171" t="s">
        <v>15</v>
      </c>
      <c r="K1063" s="171" t="s">
        <v>76</v>
      </c>
      <c r="L1063" s="168" t="s">
        <v>77</v>
      </c>
    </row>
    <row r="1064" spans="1:12" x14ac:dyDescent="0.2">
      <c r="A1064" s="168" t="s">
        <v>74</v>
      </c>
      <c r="B1064" s="168" t="s">
        <v>75</v>
      </c>
      <c r="C1064" s="168" t="s">
        <v>19</v>
      </c>
      <c r="D1064" s="168" t="s">
        <v>12</v>
      </c>
      <c r="E1064" s="169">
        <v>42563</v>
      </c>
      <c r="F1064" s="170">
        <v>1.28</v>
      </c>
      <c r="G1064" s="171" t="s">
        <v>13</v>
      </c>
      <c r="H1064" s="168" t="s">
        <v>18</v>
      </c>
      <c r="I1064" s="171">
        <v>1</v>
      </c>
      <c r="J1064" s="171" t="s">
        <v>15</v>
      </c>
      <c r="K1064" s="171" t="s">
        <v>76</v>
      </c>
      <c r="L1064" s="168" t="s">
        <v>77</v>
      </c>
    </row>
    <row r="1065" spans="1:12" x14ac:dyDescent="0.2">
      <c r="A1065" s="168" t="s">
        <v>74</v>
      </c>
      <c r="B1065" s="168" t="s">
        <v>75</v>
      </c>
      <c r="C1065" s="168" t="s">
        <v>19</v>
      </c>
      <c r="D1065" s="168" t="s">
        <v>12</v>
      </c>
      <c r="E1065" s="169">
        <v>42563</v>
      </c>
      <c r="F1065" s="170">
        <v>23.133158399999999</v>
      </c>
      <c r="G1065" s="171" t="s">
        <v>16</v>
      </c>
      <c r="H1065" s="168" t="s">
        <v>18</v>
      </c>
      <c r="I1065" s="171">
        <v>1</v>
      </c>
      <c r="J1065" s="171" t="s">
        <v>15</v>
      </c>
      <c r="K1065" s="171" t="s">
        <v>76</v>
      </c>
      <c r="L1065" s="168" t="s">
        <v>77</v>
      </c>
    </row>
    <row r="1066" spans="1:12" x14ac:dyDescent="0.2">
      <c r="A1066" s="168" t="s">
        <v>74</v>
      </c>
      <c r="B1066" s="168" t="s">
        <v>75</v>
      </c>
      <c r="C1066" s="168" t="s">
        <v>19</v>
      </c>
      <c r="D1066" s="168" t="s">
        <v>12</v>
      </c>
      <c r="E1066" s="169">
        <v>42556</v>
      </c>
      <c r="F1066" s="170">
        <v>2.6</v>
      </c>
      <c r="G1066" s="171" t="s">
        <v>13</v>
      </c>
      <c r="H1066" s="168" t="s">
        <v>14</v>
      </c>
      <c r="I1066" s="171">
        <v>1</v>
      </c>
      <c r="J1066" s="171" t="s">
        <v>15</v>
      </c>
      <c r="K1066" s="171" t="s">
        <v>76</v>
      </c>
      <c r="L1066" s="168" t="s">
        <v>77</v>
      </c>
    </row>
    <row r="1067" spans="1:12" x14ac:dyDescent="0.2">
      <c r="A1067" s="168" t="s">
        <v>74</v>
      </c>
      <c r="B1067" s="168" t="s">
        <v>75</v>
      </c>
      <c r="C1067" s="168" t="s">
        <v>19</v>
      </c>
      <c r="D1067" s="168" t="s">
        <v>12</v>
      </c>
      <c r="E1067" s="169">
        <v>42556</v>
      </c>
      <c r="F1067" s="170">
        <v>42.544007999999998</v>
      </c>
      <c r="G1067" s="171" t="s">
        <v>16</v>
      </c>
      <c r="H1067" s="168" t="s">
        <v>14</v>
      </c>
      <c r="I1067" s="171">
        <v>1</v>
      </c>
      <c r="J1067" s="171" t="s">
        <v>15</v>
      </c>
      <c r="K1067" s="171" t="s">
        <v>76</v>
      </c>
      <c r="L1067" s="168" t="s">
        <v>77</v>
      </c>
    </row>
    <row r="1068" spans="1:12" x14ac:dyDescent="0.2">
      <c r="A1068" s="168" t="s">
        <v>74</v>
      </c>
      <c r="B1068" s="168" t="s">
        <v>75</v>
      </c>
      <c r="C1068" s="168" t="s">
        <v>19</v>
      </c>
      <c r="D1068" s="168" t="s">
        <v>12</v>
      </c>
      <c r="E1068" s="169">
        <v>42556</v>
      </c>
      <c r="F1068" s="170">
        <v>3.2</v>
      </c>
      <c r="G1068" s="171" t="s">
        <v>13</v>
      </c>
      <c r="H1068" s="168" t="s">
        <v>18</v>
      </c>
      <c r="I1068" s="171">
        <v>1</v>
      </c>
      <c r="J1068" s="171" t="s">
        <v>15</v>
      </c>
      <c r="K1068" s="171" t="s">
        <v>76</v>
      </c>
      <c r="L1068" s="168" t="s">
        <v>77</v>
      </c>
    </row>
    <row r="1069" spans="1:12" x14ac:dyDescent="0.2">
      <c r="A1069" s="168" t="s">
        <v>74</v>
      </c>
      <c r="B1069" s="168" t="s">
        <v>75</v>
      </c>
      <c r="C1069" s="168" t="s">
        <v>19</v>
      </c>
      <c r="D1069" s="168" t="s">
        <v>12</v>
      </c>
      <c r="E1069" s="169">
        <v>42556</v>
      </c>
      <c r="F1069" s="170">
        <v>52.361856000000003</v>
      </c>
      <c r="G1069" s="171" t="s">
        <v>16</v>
      </c>
      <c r="H1069" s="168" t="s">
        <v>18</v>
      </c>
      <c r="I1069" s="171">
        <v>1</v>
      </c>
      <c r="J1069" s="171" t="s">
        <v>15</v>
      </c>
      <c r="K1069" s="171" t="s">
        <v>76</v>
      </c>
      <c r="L1069" s="168" t="s">
        <v>77</v>
      </c>
    </row>
    <row r="1070" spans="1:12" x14ac:dyDescent="0.2">
      <c r="A1070" s="168" t="s">
        <v>74</v>
      </c>
      <c r="B1070" s="168" t="s">
        <v>75</v>
      </c>
      <c r="C1070" s="168" t="s">
        <v>19</v>
      </c>
      <c r="D1070" s="168" t="s">
        <v>12</v>
      </c>
      <c r="E1070" s="169">
        <v>42549</v>
      </c>
      <c r="F1070" s="170">
        <v>1.99</v>
      </c>
      <c r="G1070" s="171" t="s">
        <v>13</v>
      </c>
      <c r="H1070" s="168" t="s">
        <v>14</v>
      </c>
      <c r="I1070" s="171">
        <v>1</v>
      </c>
      <c r="J1070" s="171" t="s">
        <v>15</v>
      </c>
      <c r="K1070" s="171" t="s">
        <v>76</v>
      </c>
      <c r="L1070" s="168" t="s">
        <v>77</v>
      </c>
    </row>
    <row r="1071" spans="1:12" x14ac:dyDescent="0.2">
      <c r="A1071" s="168" t="s">
        <v>74</v>
      </c>
      <c r="B1071" s="168" t="s">
        <v>75</v>
      </c>
      <c r="C1071" s="168" t="s">
        <v>19</v>
      </c>
      <c r="D1071" s="168" t="s">
        <v>12</v>
      </c>
      <c r="E1071" s="169">
        <v>42549</v>
      </c>
      <c r="F1071" s="170">
        <v>32.1476142</v>
      </c>
      <c r="G1071" s="171" t="s">
        <v>16</v>
      </c>
      <c r="H1071" s="168" t="s">
        <v>14</v>
      </c>
      <c r="I1071" s="171">
        <v>1</v>
      </c>
      <c r="J1071" s="171" t="s">
        <v>15</v>
      </c>
      <c r="K1071" s="171" t="s">
        <v>76</v>
      </c>
      <c r="L1071" s="168" t="s">
        <v>77</v>
      </c>
    </row>
    <row r="1072" spans="1:12" x14ac:dyDescent="0.2">
      <c r="A1072" s="168" t="s">
        <v>74</v>
      </c>
      <c r="B1072" s="168" t="s">
        <v>75</v>
      </c>
      <c r="C1072" s="168" t="s">
        <v>19</v>
      </c>
      <c r="D1072" s="168" t="s">
        <v>12</v>
      </c>
      <c r="E1072" s="169">
        <v>42549</v>
      </c>
      <c r="F1072" s="170">
        <v>1.2</v>
      </c>
      <c r="G1072" s="171" t="s">
        <v>13</v>
      </c>
      <c r="H1072" s="168" t="s">
        <v>18</v>
      </c>
      <c r="I1072" s="171">
        <v>1</v>
      </c>
      <c r="J1072" s="171" t="s">
        <v>15</v>
      </c>
      <c r="K1072" s="171" t="s">
        <v>76</v>
      </c>
      <c r="L1072" s="168" t="s">
        <v>77</v>
      </c>
    </row>
    <row r="1073" spans="1:12" x14ac:dyDescent="0.2">
      <c r="A1073" s="168" t="s">
        <v>74</v>
      </c>
      <c r="B1073" s="168" t="s">
        <v>75</v>
      </c>
      <c r="C1073" s="168" t="s">
        <v>19</v>
      </c>
      <c r="D1073" s="168" t="s">
        <v>12</v>
      </c>
      <c r="E1073" s="169">
        <v>42549</v>
      </c>
      <c r="F1073" s="170">
        <v>19.385496</v>
      </c>
      <c r="G1073" s="171" t="s">
        <v>16</v>
      </c>
      <c r="H1073" s="168" t="s">
        <v>18</v>
      </c>
      <c r="I1073" s="171">
        <v>1</v>
      </c>
      <c r="J1073" s="171" t="s">
        <v>15</v>
      </c>
      <c r="K1073" s="171" t="s">
        <v>76</v>
      </c>
      <c r="L1073" s="168" t="s">
        <v>77</v>
      </c>
    </row>
    <row r="1074" spans="1:12" x14ac:dyDescent="0.2">
      <c r="A1074" s="168" t="s">
        <v>74</v>
      </c>
      <c r="B1074" s="168" t="s">
        <v>75</v>
      </c>
      <c r="C1074" s="168" t="s">
        <v>19</v>
      </c>
      <c r="D1074" s="168" t="s">
        <v>12</v>
      </c>
      <c r="E1074" s="169">
        <v>42514</v>
      </c>
      <c r="F1074" s="170">
        <v>2.02</v>
      </c>
      <c r="G1074" s="171" t="s">
        <v>13</v>
      </c>
      <c r="H1074" s="168" t="s">
        <v>14</v>
      </c>
      <c r="I1074" s="171">
        <v>1</v>
      </c>
      <c r="J1074" s="171" t="s">
        <v>15</v>
      </c>
      <c r="K1074" s="171" t="s">
        <v>76</v>
      </c>
      <c r="L1074" s="168" t="s">
        <v>77</v>
      </c>
    </row>
    <row r="1075" spans="1:12" x14ac:dyDescent="0.2">
      <c r="A1075" s="168" t="s">
        <v>74</v>
      </c>
      <c r="B1075" s="168" t="s">
        <v>75</v>
      </c>
      <c r="C1075" s="168" t="s">
        <v>19</v>
      </c>
      <c r="D1075" s="168" t="s">
        <v>12</v>
      </c>
      <c r="E1075" s="169">
        <v>42514</v>
      </c>
      <c r="F1075" s="170">
        <v>17.739680400000001</v>
      </c>
      <c r="G1075" s="171" t="s">
        <v>16</v>
      </c>
      <c r="H1075" s="168" t="s">
        <v>14</v>
      </c>
      <c r="I1075" s="171">
        <v>1</v>
      </c>
      <c r="J1075" s="171" t="s">
        <v>15</v>
      </c>
      <c r="K1075" s="171" t="s">
        <v>76</v>
      </c>
      <c r="L1075" s="168" t="s">
        <v>77</v>
      </c>
    </row>
    <row r="1076" spans="1:12" x14ac:dyDescent="0.2">
      <c r="A1076" s="168" t="s">
        <v>74</v>
      </c>
      <c r="B1076" s="168" t="s">
        <v>75</v>
      </c>
      <c r="C1076" s="168" t="s">
        <v>19</v>
      </c>
      <c r="D1076" s="168" t="s">
        <v>12</v>
      </c>
      <c r="E1076" s="169">
        <v>42514</v>
      </c>
      <c r="F1076" s="170">
        <v>1.95</v>
      </c>
      <c r="G1076" s="171" t="s">
        <v>13</v>
      </c>
      <c r="H1076" s="168" t="s">
        <v>18</v>
      </c>
      <c r="I1076" s="171">
        <v>1</v>
      </c>
      <c r="J1076" s="171" t="s">
        <v>15</v>
      </c>
      <c r="K1076" s="171" t="s">
        <v>76</v>
      </c>
      <c r="L1076" s="168" t="s">
        <v>77</v>
      </c>
    </row>
    <row r="1077" spans="1:12" x14ac:dyDescent="0.2">
      <c r="A1077" s="168" t="s">
        <v>74</v>
      </c>
      <c r="B1077" s="168" t="s">
        <v>75</v>
      </c>
      <c r="C1077" s="168" t="s">
        <v>19</v>
      </c>
      <c r="D1077" s="168" t="s">
        <v>12</v>
      </c>
      <c r="E1077" s="169">
        <v>42514</v>
      </c>
      <c r="F1077" s="170">
        <v>17.124939000000001</v>
      </c>
      <c r="G1077" s="171" t="s">
        <v>16</v>
      </c>
      <c r="H1077" s="168" t="s">
        <v>18</v>
      </c>
      <c r="I1077" s="171">
        <v>1</v>
      </c>
      <c r="J1077" s="171" t="s">
        <v>15</v>
      </c>
      <c r="K1077" s="171" t="s">
        <v>76</v>
      </c>
      <c r="L1077" s="168" t="s">
        <v>77</v>
      </c>
    </row>
    <row r="1078" spans="1:12" x14ac:dyDescent="0.2">
      <c r="A1078" s="168" t="s">
        <v>74</v>
      </c>
      <c r="B1078" s="168" t="s">
        <v>75</v>
      </c>
      <c r="C1078" s="168" t="s">
        <v>19</v>
      </c>
      <c r="D1078" s="168" t="s">
        <v>12</v>
      </c>
      <c r="E1078" s="169">
        <v>42493</v>
      </c>
      <c r="F1078" s="170">
        <v>2.02</v>
      </c>
      <c r="G1078" s="171" t="s">
        <v>13</v>
      </c>
      <c r="H1078" s="168" t="s">
        <v>14</v>
      </c>
      <c r="I1078" s="171">
        <v>1</v>
      </c>
      <c r="J1078" s="171" t="s">
        <v>15</v>
      </c>
      <c r="K1078" s="171" t="s">
        <v>76</v>
      </c>
      <c r="L1078" s="168" t="s">
        <v>77</v>
      </c>
    </row>
    <row r="1079" spans="1:12" x14ac:dyDescent="0.2">
      <c r="A1079" s="168" t="s">
        <v>74</v>
      </c>
      <c r="B1079" s="168" t="s">
        <v>75</v>
      </c>
      <c r="C1079" s="168" t="s">
        <v>19</v>
      </c>
      <c r="D1079" s="168" t="s">
        <v>12</v>
      </c>
      <c r="E1079" s="169">
        <v>42493</v>
      </c>
      <c r="F1079" s="170">
        <v>25.337587200000002</v>
      </c>
      <c r="G1079" s="171" t="s">
        <v>16</v>
      </c>
      <c r="H1079" s="168" t="s">
        <v>14</v>
      </c>
      <c r="I1079" s="171">
        <v>1</v>
      </c>
      <c r="J1079" s="171" t="s">
        <v>15</v>
      </c>
      <c r="K1079" s="171" t="s">
        <v>76</v>
      </c>
      <c r="L1079" s="168" t="s">
        <v>77</v>
      </c>
    </row>
    <row r="1080" spans="1:12" x14ac:dyDescent="0.2">
      <c r="A1080" s="168" t="s">
        <v>74</v>
      </c>
      <c r="B1080" s="168" t="s">
        <v>75</v>
      </c>
      <c r="C1080" s="168" t="s">
        <v>19</v>
      </c>
      <c r="D1080" s="168" t="s">
        <v>12</v>
      </c>
      <c r="E1080" s="169">
        <v>42493</v>
      </c>
      <c r="F1080" s="170">
        <v>2.61</v>
      </c>
      <c r="G1080" s="171" t="s">
        <v>13</v>
      </c>
      <c r="H1080" s="168" t="s">
        <v>18</v>
      </c>
      <c r="I1080" s="171">
        <v>1</v>
      </c>
      <c r="J1080" s="171" t="s">
        <v>15</v>
      </c>
      <c r="K1080" s="171" t="s">
        <v>76</v>
      </c>
      <c r="L1080" s="168" t="s">
        <v>77</v>
      </c>
    </row>
    <row r="1081" spans="1:12" x14ac:dyDescent="0.2">
      <c r="A1081" s="168" t="s">
        <v>74</v>
      </c>
      <c r="B1081" s="168" t="s">
        <v>75</v>
      </c>
      <c r="C1081" s="168" t="s">
        <v>19</v>
      </c>
      <c r="D1081" s="168" t="s">
        <v>12</v>
      </c>
      <c r="E1081" s="169">
        <v>42493</v>
      </c>
      <c r="F1081" s="170">
        <v>32.738169599999999</v>
      </c>
      <c r="G1081" s="171" t="s">
        <v>16</v>
      </c>
      <c r="H1081" s="168" t="s">
        <v>18</v>
      </c>
      <c r="I1081" s="171">
        <v>1</v>
      </c>
      <c r="J1081" s="171" t="s">
        <v>15</v>
      </c>
      <c r="K1081" s="171" t="s">
        <v>76</v>
      </c>
      <c r="L1081" s="168" t="s">
        <v>77</v>
      </c>
    </row>
    <row r="1082" spans="1:12" x14ac:dyDescent="0.2">
      <c r="A1082" s="168" t="s">
        <v>74</v>
      </c>
      <c r="B1082" s="168" t="s">
        <v>75</v>
      </c>
      <c r="C1082" s="168" t="s">
        <v>19</v>
      </c>
      <c r="D1082" s="168" t="s">
        <v>12</v>
      </c>
      <c r="E1082" s="169">
        <v>42486</v>
      </c>
      <c r="F1082" s="170">
        <v>4.4000000000000004</v>
      </c>
      <c r="G1082" s="171" t="s">
        <v>13</v>
      </c>
      <c r="H1082" s="168" t="s">
        <v>14</v>
      </c>
      <c r="I1082" s="171">
        <v>1</v>
      </c>
      <c r="J1082" s="171" t="s">
        <v>15</v>
      </c>
      <c r="K1082" s="171" t="s">
        <v>76</v>
      </c>
      <c r="L1082" s="168" t="s">
        <v>77</v>
      </c>
    </row>
    <row r="1083" spans="1:12" x14ac:dyDescent="0.2">
      <c r="A1083" s="168" t="s">
        <v>74</v>
      </c>
      <c r="B1083" s="168" t="s">
        <v>75</v>
      </c>
      <c r="C1083" s="168" t="s">
        <v>19</v>
      </c>
      <c r="D1083" s="168" t="s">
        <v>12</v>
      </c>
      <c r="E1083" s="169">
        <v>42486</v>
      </c>
      <c r="F1083" s="170">
        <v>45.503039999999999</v>
      </c>
      <c r="G1083" s="171" t="s">
        <v>16</v>
      </c>
      <c r="H1083" s="168" t="s">
        <v>14</v>
      </c>
      <c r="I1083" s="171">
        <v>1</v>
      </c>
      <c r="J1083" s="171" t="s">
        <v>15</v>
      </c>
      <c r="K1083" s="171" t="s">
        <v>76</v>
      </c>
      <c r="L1083" s="168" t="s">
        <v>77</v>
      </c>
    </row>
    <row r="1084" spans="1:12" x14ac:dyDescent="0.2">
      <c r="A1084" s="168" t="s">
        <v>74</v>
      </c>
      <c r="B1084" s="168" t="s">
        <v>75</v>
      </c>
      <c r="C1084" s="168" t="s">
        <v>19</v>
      </c>
      <c r="D1084" s="168" t="s">
        <v>12</v>
      </c>
      <c r="E1084" s="169">
        <v>42486</v>
      </c>
      <c r="F1084" s="170">
        <v>1.24</v>
      </c>
      <c r="G1084" s="171" t="s">
        <v>13</v>
      </c>
      <c r="H1084" s="168" t="s">
        <v>18</v>
      </c>
      <c r="I1084" s="171">
        <v>1</v>
      </c>
      <c r="J1084" s="171" t="s">
        <v>15</v>
      </c>
      <c r="K1084" s="171" t="s">
        <v>76</v>
      </c>
      <c r="L1084" s="168" t="s">
        <v>77</v>
      </c>
    </row>
    <row r="1085" spans="1:12" x14ac:dyDescent="0.2">
      <c r="A1085" s="168" t="s">
        <v>74</v>
      </c>
      <c r="B1085" s="168" t="s">
        <v>75</v>
      </c>
      <c r="C1085" s="168" t="s">
        <v>19</v>
      </c>
      <c r="D1085" s="168" t="s">
        <v>12</v>
      </c>
      <c r="E1085" s="169">
        <v>42486</v>
      </c>
      <c r="F1085" s="170">
        <v>12.823584</v>
      </c>
      <c r="G1085" s="171" t="s">
        <v>16</v>
      </c>
      <c r="H1085" s="168" t="s">
        <v>18</v>
      </c>
      <c r="I1085" s="171">
        <v>1</v>
      </c>
      <c r="J1085" s="171" t="s">
        <v>15</v>
      </c>
      <c r="K1085" s="171" t="s">
        <v>76</v>
      </c>
      <c r="L1085" s="168" t="s">
        <v>77</v>
      </c>
    </row>
    <row r="1086" spans="1:12" x14ac:dyDescent="0.2">
      <c r="A1086" s="168" t="s">
        <v>74</v>
      </c>
      <c r="B1086" s="168" t="s">
        <v>75</v>
      </c>
      <c r="C1086" s="168" t="s">
        <v>19</v>
      </c>
      <c r="D1086" s="168" t="s">
        <v>12</v>
      </c>
      <c r="E1086" s="169">
        <v>42465</v>
      </c>
      <c r="F1086" s="170">
        <v>2</v>
      </c>
      <c r="G1086" s="171" t="s">
        <v>13</v>
      </c>
      <c r="H1086" s="168" t="s">
        <v>14</v>
      </c>
      <c r="I1086" s="171">
        <v>1</v>
      </c>
      <c r="J1086" s="171" t="s">
        <v>15</v>
      </c>
      <c r="K1086" s="171" t="s">
        <v>76</v>
      </c>
      <c r="L1086" s="168" t="s">
        <v>77</v>
      </c>
    </row>
    <row r="1087" spans="1:12" x14ac:dyDescent="0.2">
      <c r="A1087" s="168" t="s">
        <v>74</v>
      </c>
      <c r="B1087" s="168" t="s">
        <v>75</v>
      </c>
      <c r="C1087" s="168" t="s">
        <v>19</v>
      </c>
      <c r="D1087" s="168" t="s">
        <v>12</v>
      </c>
      <c r="E1087" s="169">
        <v>42465</v>
      </c>
      <c r="F1087" s="170">
        <v>32.042279999999998</v>
      </c>
      <c r="G1087" s="171" t="s">
        <v>16</v>
      </c>
      <c r="H1087" s="168" t="s">
        <v>14</v>
      </c>
      <c r="I1087" s="171">
        <v>1</v>
      </c>
      <c r="J1087" s="171" t="s">
        <v>15</v>
      </c>
      <c r="K1087" s="171" t="s">
        <v>76</v>
      </c>
      <c r="L1087" s="168" t="s">
        <v>77</v>
      </c>
    </row>
    <row r="1088" spans="1:12" x14ac:dyDescent="0.2">
      <c r="A1088" s="168" t="s">
        <v>74</v>
      </c>
      <c r="B1088" s="168" t="s">
        <v>75</v>
      </c>
      <c r="C1088" s="168" t="s">
        <v>19</v>
      </c>
      <c r="D1088" s="168" t="s">
        <v>12</v>
      </c>
      <c r="E1088" s="169">
        <v>42465</v>
      </c>
      <c r="F1088" s="170">
        <v>0.74</v>
      </c>
      <c r="G1088" s="171" t="s">
        <v>13</v>
      </c>
      <c r="H1088" s="168" t="s">
        <v>18</v>
      </c>
      <c r="I1088" s="171">
        <v>1</v>
      </c>
      <c r="J1088" s="171" t="s">
        <v>15</v>
      </c>
      <c r="K1088" s="171" t="s">
        <v>76</v>
      </c>
      <c r="L1088" s="168" t="s">
        <v>77</v>
      </c>
    </row>
    <row r="1089" spans="1:12" x14ac:dyDescent="0.2">
      <c r="A1089" s="168" t="s">
        <v>74</v>
      </c>
      <c r="B1089" s="168" t="s">
        <v>75</v>
      </c>
      <c r="C1089" s="168" t="s">
        <v>19</v>
      </c>
      <c r="D1089" s="168" t="s">
        <v>12</v>
      </c>
      <c r="E1089" s="169">
        <v>42465</v>
      </c>
      <c r="F1089" s="170">
        <v>11.855643600000001</v>
      </c>
      <c r="G1089" s="171" t="s">
        <v>16</v>
      </c>
      <c r="H1089" s="168" t="s">
        <v>18</v>
      </c>
      <c r="I1089" s="171">
        <v>1</v>
      </c>
      <c r="J1089" s="171" t="s">
        <v>15</v>
      </c>
      <c r="K1089" s="171" t="s">
        <v>76</v>
      </c>
      <c r="L1089" s="168" t="s">
        <v>77</v>
      </c>
    </row>
    <row r="1090" spans="1:12" x14ac:dyDescent="0.2">
      <c r="A1090" s="168" t="s">
        <v>74</v>
      </c>
      <c r="B1090" s="168" t="s">
        <v>75</v>
      </c>
      <c r="C1090" s="168" t="s">
        <v>19</v>
      </c>
      <c r="D1090" s="168" t="s">
        <v>12</v>
      </c>
      <c r="E1090" s="169">
        <v>42452</v>
      </c>
      <c r="F1090" s="170">
        <v>2.65</v>
      </c>
      <c r="G1090" s="171" t="s">
        <v>13</v>
      </c>
      <c r="H1090" s="168" t="s">
        <v>14</v>
      </c>
      <c r="I1090" s="171">
        <v>1</v>
      </c>
      <c r="J1090" s="171" t="s">
        <v>15</v>
      </c>
      <c r="K1090" s="171" t="s">
        <v>76</v>
      </c>
      <c r="L1090" s="168" t="s">
        <v>77</v>
      </c>
    </row>
    <row r="1091" spans="1:12" x14ac:dyDescent="0.2">
      <c r="A1091" s="168" t="s">
        <v>74</v>
      </c>
      <c r="B1091" s="168" t="s">
        <v>75</v>
      </c>
      <c r="C1091" s="168" t="s">
        <v>19</v>
      </c>
      <c r="D1091" s="168" t="s">
        <v>12</v>
      </c>
      <c r="E1091" s="169">
        <v>42452</v>
      </c>
      <c r="F1091" s="170">
        <v>38.610447000000001</v>
      </c>
      <c r="G1091" s="171" t="s">
        <v>16</v>
      </c>
      <c r="H1091" s="168" t="s">
        <v>14</v>
      </c>
      <c r="I1091" s="171">
        <v>1</v>
      </c>
      <c r="J1091" s="171" t="s">
        <v>15</v>
      </c>
      <c r="K1091" s="171" t="s">
        <v>76</v>
      </c>
      <c r="L1091" s="168" t="s">
        <v>77</v>
      </c>
    </row>
    <row r="1092" spans="1:12" x14ac:dyDescent="0.2">
      <c r="A1092" s="168" t="s">
        <v>74</v>
      </c>
      <c r="B1092" s="168" t="s">
        <v>75</v>
      </c>
      <c r="C1092" s="168" t="s">
        <v>19</v>
      </c>
      <c r="D1092" s="168" t="s">
        <v>12</v>
      </c>
      <c r="E1092" s="169">
        <v>42452</v>
      </c>
      <c r="F1092" s="170">
        <v>2.08</v>
      </c>
      <c r="G1092" s="171" t="s">
        <v>13</v>
      </c>
      <c r="H1092" s="168" t="s">
        <v>18</v>
      </c>
      <c r="I1092" s="171">
        <v>1</v>
      </c>
      <c r="J1092" s="171" t="s">
        <v>15</v>
      </c>
      <c r="K1092" s="171" t="s">
        <v>76</v>
      </c>
      <c r="L1092" s="168" t="s">
        <v>77</v>
      </c>
    </row>
    <row r="1093" spans="1:12" x14ac:dyDescent="0.2">
      <c r="A1093" s="168" t="s">
        <v>74</v>
      </c>
      <c r="B1093" s="168" t="s">
        <v>75</v>
      </c>
      <c r="C1093" s="168" t="s">
        <v>19</v>
      </c>
      <c r="D1093" s="168" t="s">
        <v>12</v>
      </c>
      <c r="E1093" s="169">
        <v>42452</v>
      </c>
      <c r="F1093" s="170">
        <v>30.305558399999999</v>
      </c>
      <c r="G1093" s="171" t="s">
        <v>16</v>
      </c>
      <c r="H1093" s="168" t="s">
        <v>18</v>
      </c>
      <c r="I1093" s="171">
        <v>1</v>
      </c>
      <c r="J1093" s="171" t="s">
        <v>15</v>
      </c>
      <c r="K1093" s="171" t="s">
        <v>76</v>
      </c>
      <c r="L1093" s="168" t="s">
        <v>77</v>
      </c>
    </row>
    <row r="1094" spans="1:12" x14ac:dyDescent="0.2">
      <c r="A1094" s="168" t="s">
        <v>74</v>
      </c>
      <c r="B1094" s="168" t="s">
        <v>75</v>
      </c>
      <c r="C1094" s="168" t="s">
        <v>19</v>
      </c>
      <c r="D1094" s="168" t="s">
        <v>12</v>
      </c>
      <c r="E1094" s="169">
        <v>42444</v>
      </c>
      <c r="F1094" s="170">
        <v>5.44</v>
      </c>
      <c r="G1094" s="171" t="s">
        <v>13</v>
      </c>
      <c r="H1094" s="168" t="s">
        <v>14</v>
      </c>
      <c r="I1094" s="171">
        <v>1</v>
      </c>
      <c r="J1094" s="171" t="s">
        <v>15</v>
      </c>
      <c r="K1094" s="171" t="s">
        <v>76</v>
      </c>
      <c r="L1094" s="168" t="s">
        <v>77</v>
      </c>
    </row>
    <row r="1095" spans="1:12" x14ac:dyDescent="0.2">
      <c r="A1095" s="168" t="s">
        <v>74</v>
      </c>
      <c r="B1095" s="168" t="s">
        <v>75</v>
      </c>
      <c r="C1095" s="168" t="s">
        <v>19</v>
      </c>
      <c r="D1095" s="168" t="s">
        <v>12</v>
      </c>
      <c r="E1095" s="169">
        <v>42444</v>
      </c>
      <c r="F1095" s="170">
        <v>91.419743999999994</v>
      </c>
      <c r="G1095" s="171" t="s">
        <v>16</v>
      </c>
      <c r="H1095" s="168" t="s">
        <v>14</v>
      </c>
      <c r="I1095" s="171">
        <v>1</v>
      </c>
      <c r="J1095" s="171" t="s">
        <v>15</v>
      </c>
      <c r="K1095" s="171" t="s">
        <v>76</v>
      </c>
      <c r="L1095" s="168" t="s">
        <v>77</v>
      </c>
    </row>
    <row r="1096" spans="1:12" x14ac:dyDescent="0.2">
      <c r="A1096" s="168" t="s">
        <v>74</v>
      </c>
      <c r="B1096" s="168" t="s">
        <v>75</v>
      </c>
      <c r="C1096" s="168" t="s">
        <v>19</v>
      </c>
      <c r="D1096" s="168" t="s">
        <v>12</v>
      </c>
      <c r="E1096" s="169">
        <v>42444</v>
      </c>
      <c r="F1096" s="170">
        <v>2.13</v>
      </c>
      <c r="G1096" s="171" t="s">
        <v>13</v>
      </c>
      <c r="H1096" s="168" t="s">
        <v>18</v>
      </c>
      <c r="I1096" s="171">
        <v>1</v>
      </c>
      <c r="J1096" s="171" t="s">
        <v>15</v>
      </c>
      <c r="K1096" s="171" t="s">
        <v>76</v>
      </c>
      <c r="L1096" s="168" t="s">
        <v>77</v>
      </c>
    </row>
    <row r="1097" spans="1:12" x14ac:dyDescent="0.2">
      <c r="A1097" s="168" t="s">
        <v>74</v>
      </c>
      <c r="B1097" s="168" t="s">
        <v>75</v>
      </c>
      <c r="C1097" s="168" t="s">
        <v>19</v>
      </c>
      <c r="D1097" s="168" t="s">
        <v>12</v>
      </c>
      <c r="E1097" s="169">
        <v>42444</v>
      </c>
      <c r="F1097" s="170">
        <v>35.794862999999999</v>
      </c>
      <c r="G1097" s="171" t="s">
        <v>16</v>
      </c>
      <c r="H1097" s="168" t="s">
        <v>18</v>
      </c>
      <c r="I1097" s="171">
        <v>1</v>
      </c>
      <c r="J1097" s="171" t="s">
        <v>15</v>
      </c>
      <c r="K1097" s="171" t="s">
        <v>76</v>
      </c>
      <c r="L1097" s="168" t="s">
        <v>77</v>
      </c>
    </row>
    <row r="1098" spans="1:12" x14ac:dyDescent="0.2">
      <c r="A1098" s="168" t="s">
        <v>74</v>
      </c>
      <c r="B1098" s="168" t="s">
        <v>75</v>
      </c>
      <c r="C1098" s="168" t="s">
        <v>19</v>
      </c>
      <c r="D1098" s="168" t="s">
        <v>12</v>
      </c>
      <c r="E1098" s="169">
        <v>42437</v>
      </c>
      <c r="F1098" s="170">
        <v>2.94</v>
      </c>
      <c r="G1098" s="171" t="s">
        <v>13</v>
      </c>
      <c r="H1098" s="168" t="s">
        <v>14</v>
      </c>
      <c r="I1098" s="171">
        <v>1</v>
      </c>
      <c r="J1098" s="171" t="s">
        <v>15</v>
      </c>
      <c r="K1098" s="171" t="s">
        <v>76</v>
      </c>
      <c r="L1098" s="168" t="s">
        <v>77</v>
      </c>
    </row>
    <row r="1099" spans="1:12" x14ac:dyDescent="0.2">
      <c r="A1099" s="168" t="s">
        <v>74</v>
      </c>
      <c r="B1099" s="168" t="s">
        <v>75</v>
      </c>
      <c r="C1099" s="168" t="s">
        <v>19</v>
      </c>
      <c r="D1099" s="168" t="s">
        <v>12</v>
      </c>
      <c r="E1099" s="169">
        <v>42437</v>
      </c>
      <c r="F1099" s="170">
        <v>42.173712000000002</v>
      </c>
      <c r="G1099" s="171" t="s">
        <v>16</v>
      </c>
      <c r="H1099" s="168" t="s">
        <v>14</v>
      </c>
      <c r="I1099" s="171">
        <v>1</v>
      </c>
      <c r="J1099" s="171" t="s">
        <v>15</v>
      </c>
      <c r="K1099" s="171" t="s">
        <v>76</v>
      </c>
      <c r="L1099" s="168" t="s">
        <v>77</v>
      </c>
    </row>
    <row r="1100" spans="1:12" x14ac:dyDescent="0.2">
      <c r="A1100" s="168" t="s">
        <v>74</v>
      </c>
      <c r="B1100" s="168" t="s">
        <v>75</v>
      </c>
      <c r="C1100" s="168" t="s">
        <v>19</v>
      </c>
      <c r="D1100" s="168" t="s">
        <v>12</v>
      </c>
      <c r="E1100" s="169">
        <v>42437</v>
      </c>
      <c r="F1100" s="170">
        <v>1.24</v>
      </c>
      <c r="G1100" s="171" t="s">
        <v>13</v>
      </c>
      <c r="H1100" s="168" t="s">
        <v>18</v>
      </c>
      <c r="I1100" s="171">
        <v>1</v>
      </c>
      <c r="J1100" s="171" t="s">
        <v>15</v>
      </c>
      <c r="K1100" s="171" t="s">
        <v>76</v>
      </c>
      <c r="L1100" s="168" t="s">
        <v>77</v>
      </c>
    </row>
    <row r="1101" spans="1:12" x14ac:dyDescent="0.2">
      <c r="A1101" s="168" t="s">
        <v>74</v>
      </c>
      <c r="B1101" s="168" t="s">
        <v>75</v>
      </c>
      <c r="C1101" s="168" t="s">
        <v>19</v>
      </c>
      <c r="D1101" s="168" t="s">
        <v>12</v>
      </c>
      <c r="E1101" s="169">
        <v>42437</v>
      </c>
      <c r="F1101" s="170">
        <v>17.787552000000002</v>
      </c>
      <c r="G1101" s="171" t="s">
        <v>16</v>
      </c>
      <c r="H1101" s="168" t="s">
        <v>18</v>
      </c>
      <c r="I1101" s="171">
        <v>1</v>
      </c>
      <c r="J1101" s="171" t="s">
        <v>15</v>
      </c>
      <c r="K1101" s="171" t="s">
        <v>76</v>
      </c>
      <c r="L1101" s="168" t="s">
        <v>77</v>
      </c>
    </row>
    <row r="1102" spans="1:12" x14ac:dyDescent="0.2">
      <c r="A1102" s="168" t="s">
        <v>74</v>
      </c>
      <c r="B1102" s="168" t="s">
        <v>75</v>
      </c>
      <c r="C1102" s="168" t="s">
        <v>19</v>
      </c>
      <c r="D1102" s="168" t="s">
        <v>12</v>
      </c>
      <c r="E1102" s="169">
        <v>42430</v>
      </c>
      <c r="F1102" s="170">
        <v>6.22</v>
      </c>
      <c r="G1102" s="171" t="s">
        <v>13</v>
      </c>
      <c r="H1102" s="168" t="s">
        <v>14</v>
      </c>
      <c r="I1102" s="171">
        <v>1</v>
      </c>
      <c r="J1102" s="171" t="s">
        <v>15</v>
      </c>
      <c r="K1102" s="171" t="s">
        <v>76</v>
      </c>
      <c r="L1102" s="168" t="s">
        <v>77</v>
      </c>
    </row>
    <row r="1103" spans="1:12" x14ac:dyDescent="0.2">
      <c r="A1103" s="168" t="s">
        <v>74</v>
      </c>
      <c r="B1103" s="168" t="s">
        <v>75</v>
      </c>
      <c r="C1103" s="168" t="s">
        <v>19</v>
      </c>
      <c r="D1103" s="168" t="s">
        <v>12</v>
      </c>
      <c r="E1103" s="169">
        <v>42430</v>
      </c>
      <c r="F1103" s="170">
        <v>86.319667199999998</v>
      </c>
      <c r="G1103" s="171" t="s">
        <v>16</v>
      </c>
      <c r="H1103" s="168" t="s">
        <v>14</v>
      </c>
      <c r="I1103" s="171">
        <v>1</v>
      </c>
      <c r="J1103" s="171" t="s">
        <v>15</v>
      </c>
      <c r="K1103" s="171" t="s">
        <v>76</v>
      </c>
      <c r="L1103" s="168" t="s">
        <v>77</v>
      </c>
    </row>
    <row r="1104" spans="1:12" x14ac:dyDescent="0.2">
      <c r="A1104" s="168" t="s">
        <v>74</v>
      </c>
      <c r="B1104" s="168" t="s">
        <v>75</v>
      </c>
      <c r="C1104" s="168" t="s">
        <v>19</v>
      </c>
      <c r="D1104" s="168" t="s">
        <v>12</v>
      </c>
      <c r="E1104" s="169">
        <v>42430</v>
      </c>
      <c r="F1104" s="170">
        <v>1.18</v>
      </c>
      <c r="G1104" s="171" t="s">
        <v>13</v>
      </c>
      <c r="H1104" s="168" t="s">
        <v>18</v>
      </c>
      <c r="I1104" s="171">
        <v>1</v>
      </c>
      <c r="J1104" s="171" t="s">
        <v>15</v>
      </c>
      <c r="K1104" s="171" t="s">
        <v>76</v>
      </c>
      <c r="L1104" s="168" t="s">
        <v>77</v>
      </c>
    </row>
    <row r="1105" spans="1:12" x14ac:dyDescent="0.2">
      <c r="A1105" s="168" t="s">
        <v>74</v>
      </c>
      <c r="B1105" s="168" t="s">
        <v>75</v>
      </c>
      <c r="C1105" s="168" t="s">
        <v>19</v>
      </c>
      <c r="D1105" s="168" t="s">
        <v>12</v>
      </c>
      <c r="E1105" s="169">
        <v>42430</v>
      </c>
      <c r="F1105" s="170">
        <v>16.375756800000001</v>
      </c>
      <c r="G1105" s="171" t="s">
        <v>16</v>
      </c>
      <c r="H1105" s="168" t="s">
        <v>18</v>
      </c>
      <c r="I1105" s="171">
        <v>1</v>
      </c>
      <c r="J1105" s="171" t="s">
        <v>15</v>
      </c>
      <c r="K1105" s="171" t="s">
        <v>76</v>
      </c>
      <c r="L1105" s="168" t="s">
        <v>77</v>
      </c>
    </row>
    <row r="1106" spans="1:12" x14ac:dyDescent="0.2">
      <c r="A1106" s="168" t="s">
        <v>74</v>
      </c>
      <c r="B1106" s="168" t="s">
        <v>75</v>
      </c>
      <c r="C1106" s="168" t="s">
        <v>19</v>
      </c>
      <c r="D1106" s="168" t="s">
        <v>12</v>
      </c>
      <c r="E1106" s="169">
        <v>42423</v>
      </c>
      <c r="F1106" s="170">
        <v>2.64</v>
      </c>
      <c r="G1106" s="171" t="s">
        <v>13</v>
      </c>
      <c r="H1106" s="168" t="s">
        <v>14</v>
      </c>
      <c r="I1106" s="171">
        <v>1</v>
      </c>
      <c r="J1106" s="171" t="s">
        <v>15</v>
      </c>
      <c r="K1106" s="171" t="s">
        <v>76</v>
      </c>
      <c r="L1106" s="168" t="s">
        <v>77</v>
      </c>
    </row>
    <row r="1107" spans="1:12" x14ac:dyDescent="0.2">
      <c r="A1107" s="168" t="s">
        <v>74</v>
      </c>
      <c r="B1107" s="168" t="s">
        <v>75</v>
      </c>
      <c r="C1107" s="168" t="s">
        <v>19</v>
      </c>
      <c r="D1107" s="168" t="s">
        <v>12</v>
      </c>
      <c r="E1107" s="169">
        <v>42423</v>
      </c>
      <c r="F1107" s="170">
        <v>32.519995199999997</v>
      </c>
      <c r="G1107" s="171" t="s">
        <v>16</v>
      </c>
      <c r="H1107" s="168" t="s">
        <v>14</v>
      </c>
      <c r="I1107" s="171">
        <v>1</v>
      </c>
      <c r="J1107" s="171" t="s">
        <v>15</v>
      </c>
      <c r="K1107" s="171" t="s">
        <v>76</v>
      </c>
      <c r="L1107" s="168" t="s">
        <v>77</v>
      </c>
    </row>
    <row r="1108" spans="1:12" x14ac:dyDescent="0.2">
      <c r="A1108" s="168" t="s">
        <v>74</v>
      </c>
      <c r="B1108" s="168" t="s">
        <v>75</v>
      </c>
      <c r="C1108" s="168" t="s">
        <v>19</v>
      </c>
      <c r="D1108" s="168" t="s">
        <v>12</v>
      </c>
      <c r="E1108" s="169">
        <v>42423</v>
      </c>
      <c r="F1108" s="170">
        <v>1.23</v>
      </c>
      <c r="G1108" s="171" t="s">
        <v>13</v>
      </c>
      <c r="H1108" s="168" t="s">
        <v>18</v>
      </c>
      <c r="I1108" s="171">
        <v>1</v>
      </c>
      <c r="J1108" s="171" t="s">
        <v>15</v>
      </c>
      <c r="K1108" s="171" t="s">
        <v>76</v>
      </c>
      <c r="L1108" s="168" t="s">
        <v>77</v>
      </c>
    </row>
    <row r="1109" spans="1:12" x14ac:dyDescent="0.2">
      <c r="A1109" s="168" t="s">
        <v>74</v>
      </c>
      <c r="B1109" s="168" t="s">
        <v>75</v>
      </c>
      <c r="C1109" s="168" t="s">
        <v>19</v>
      </c>
      <c r="D1109" s="168" t="s">
        <v>12</v>
      </c>
      <c r="E1109" s="169">
        <v>42423</v>
      </c>
      <c r="F1109" s="170">
        <v>15.151361400000001</v>
      </c>
      <c r="G1109" s="171" t="s">
        <v>16</v>
      </c>
      <c r="H1109" s="168" t="s">
        <v>18</v>
      </c>
      <c r="I1109" s="171">
        <v>1</v>
      </c>
      <c r="J1109" s="171" t="s">
        <v>15</v>
      </c>
      <c r="K1109" s="171" t="s">
        <v>76</v>
      </c>
      <c r="L1109" s="168" t="s">
        <v>77</v>
      </c>
    </row>
    <row r="1110" spans="1:12" x14ac:dyDescent="0.2">
      <c r="A1110" s="168" t="s">
        <v>74</v>
      </c>
      <c r="B1110" s="168" t="s">
        <v>75</v>
      </c>
      <c r="C1110" s="168" t="s">
        <v>19</v>
      </c>
      <c r="D1110" s="168" t="s">
        <v>12</v>
      </c>
      <c r="E1110" s="169">
        <v>42416</v>
      </c>
      <c r="F1110" s="170">
        <v>3.42</v>
      </c>
      <c r="G1110" s="171" t="s">
        <v>13</v>
      </c>
      <c r="H1110" s="168" t="s">
        <v>14</v>
      </c>
      <c r="I1110" s="171">
        <v>1</v>
      </c>
      <c r="J1110" s="171" t="s">
        <v>15</v>
      </c>
      <c r="K1110" s="171" t="s">
        <v>76</v>
      </c>
      <c r="L1110" s="168" t="s">
        <v>77</v>
      </c>
    </row>
    <row r="1111" spans="1:12" x14ac:dyDescent="0.2">
      <c r="A1111" s="168" t="s">
        <v>74</v>
      </c>
      <c r="B1111" s="168" t="s">
        <v>75</v>
      </c>
      <c r="C1111" s="168" t="s">
        <v>19</v>
      </c>
      <c r="D1111" s="168" t="s">
        <v>12</v>
      </c>
      <c r="E1111" s="169">
        <v>42416</v>
      </c>
      <c r="F1111" s="170">
        <v>29.8348488</v>
      </c>
      <c r="G1111" s="171" t="s">
        <v>16</v>
      </c>
      <c r="H1111" s="168" t="s">
        <v>14</v>
      </c>
      <c r="I1111" s="171">
        <v>1</v>
      </c>
      <c r="J1111" s="171" t="s">
        <v>15</v>
      </c>
      <c r="K1111" s="171" t="s">
        <v>76</v>
      </c>
      <c r="L1111" s="168" t="s">
        <v>77</v>
      </c>
    </row>
    <row r="1112" spans="1:12" x14ac:dyDescent="0.2">
      <c r="A1112" s="168" t="s">
        <v>74</v>
      </c>
      <c r="B1112" s="168" t="s">
        <v>75</v>
      </c>
      <c r="C1112" s="168" t="s">
        <v>19</v>
      </c>
      <c r="D1112" s="168" t="s">
        <v>12</v>
      </c>
      <c r="E1112" s="169">
        <v>42416</v>
      </c>
      <c r="F1112" s="170">
        <v>2.65</v>
      </c>
      <c r="G1112" s="171" t="s">
        <v>13</v>
      </c>
      <c r="H1112" s="168" t="s">
        <v>18</v>
      </c>
      <c r="I1112" s="171">
        <v>1</v>
      </c>
      <c r="J1112" s="171" t="s">
        <v>15</v>
      </c>
      <c r="K1112" s="171" t="s">
        <v>76</v>
      </c>
      <c r="L1112" s="168" t="s">
        <v>77</v>
      </c>
    </row>
    <row r="1113" spans="1:12" x14ac:dyDescent="0.2">
      <c r="A1113" s="168" t="s">
        <v>74</v>
      </c>
      <c r="B1113" s="168" t="s">
        <v>75</v>
      </c>
      <c r="C1113" s="168" t="s">
        <v>19</v>
      </c>
      <c r="D1113" s="168" t="s">
        <v>12</v>
      </c>
      <c r="E1113" s="169">
        <v>42416</v>
      </c>
      <c r="F1113" s="170">
        <v>23.117646000000001</v>
      </c>
      <c r="G1113" s="171" t="s">
        <v>16</v>
      </c>
      <c r="H1113" s="168" t="s">
        <v>18</v>
      </c>
      <c r="I1113" s="171">
        <v>1</v>
      </c>
      <c r="J1113" s="171" t="s">
        <v>15</v>
      </c>
      <c r="K1113" s="171" t="s">
        <v>76</v>
      </c>
      <c r="L1113" s="168" t="s">
        <v>77</v>
      </c>
    </row>
    <row r="1114" spans="1:12" x14ac:dyDescent="0.2">
      <c r="A1114" s="168" t="s">
        <v>74</v>
      </c>
      <c r="B1114" s="168" t="s">
        <v>75</v>
      </c>
      <c r="C1114" s="168" t="s">
        <v>19</v>
      </c>
      <c r="D1114" s="168" t="s">
        <v>12</v>
      </c>
      <c r="E1114" s="169">
        <v>42409</v>
      </c>
      <c r="F1114" s="170">
        <v>3.24</v>
      </c>
      <c r="G1114" s="171" t="s">
        <v>13</v>
      </c>
      <c r="H1114" s="168" t="s">
        <v>14</v>
      </c>
      <c r="I1114" s="171">
        <v>1</v>
      </c>
      <c r="J1114" s="171" t="s">
        <v>15</v>
      </c>
      <c r="K1114" s="171" t="s">
        <v>76</v>
      </c>
      <c r="L1114" s="168" t="s">
        <v>77</v>
      </c>
    </row>
    <row r="1115" spans="1:12" x14ac:dyDescent="0.2">
      <c r="A1115" s="168" t="s">
        <v>74</v>
      </c>
      <c r="B1115" s="168" t="s">
        <v>75</v>
      </c>
      <c r="C1115" s="168" t="s">
        <v>19</v>
      </c>
      <c r="D1115" s="168" t="s">
        <v>12</v>
      </c>
      <c r="E1115" s="169">
        <v>42409</v>
      </c>
      <c r="F1115" s="170">
        <v>29.318435999999998</v>
      </c>
      <c r="G1115" s="171" t="s">
        <v>16</v>
      </c>
      <c r="H1115" s="168" t="s">
        <v>14</v>
      </c>
      <c r="I1115" s="171">
        <v>1</v>
      </c>
      <c r="J1115" s="171" t="s">
        <v>15</v>
      </c>
      <c r="K1115" s="171" t="s">
        <v>76</v>
      </c>
      <c r="L1115" s="168" t="s">
        <v>77</v>
      </c>
    </row>
    <row r="1116" spans="1:12" x14ac:dyDescent="0.2">
      <c r="A1116" s="168" t="s">
        <v>74</v>
      </c>
      <c r="B1116" s="168" t="s">
        <v>75</v>
      </c>
      <c r="C1116" s="168" t="s">
        <v>19</v>
      </c>
      <c r="D1116" s="168" t="s">
        <v>12</v>
      </c>
      <c r="E1116" s="169">
        <v>42409</v>
      </c>
      <c r="F1116" s="170">
        <v>2.92</v>
      </c>
      <c r="G1116" s="171" t="s">
        <v>13</v>
      </c>
      <c r="H1116" s="168" t="s">
        <v>18</v>
      </c>
      <c r="I1116" s="171">
        <v>1</v>
      </c>
      <c r="J1116" s="171" t="s">
        <v>15</v>
      </c>
      <c r="K1116" s="171" t="s">
        <v>76</v>
      </c>
      <c r="L1116" s="168" t="s">
        <v>77</v>
      </c>
    </row>
    <row r="1117" spans="1:12" x14ac:dyDescent="0.2">
      <c r="A1117" s="168" t="s">
        <v>74</v>
      </c>
      <c r="B1117" s="168" t="s">
        <v>75</v>
      </c>
      <c r="C1117" s="168" t="s">
        <v>19</v>
      </c>
      <c r="D1117" s="168" t="s">
        <v>12</v>
      </c>
      <c r="E1117" s="169">
        <v>42409</v>
      </c>
      <c r="F1117" s="170">
        <v>26.422788000000001</v>
      </c>
      <c r="G1117" s="171" t="s">
        <v>16</v>
      </c>
      <c r="H1117" s="168" t="s">
        <v>18</v>
      </c>
      <c r="I1117" s="171">
        <v>1</v>
      </c>
      <c r="J1117" s="171" t="s">
        <v>15</v>
      </c>
      <c r="K1117" s="171" t="s">
        <v>76</v>
      </c>
      <c r="L1117" s="168" t="s">
        <v>77</v>
      </c>
    </row>
    <row r="1118" spans="1:12" x14ac:dyDescent="0.2">
      <c r="A1118" s="168" t="s">
        <v>74</v>
      </c>
      <c r="B1118" s="168" t="s">
        <v>75</v>
      </c>
      <c r="C1118" s="168" t="s">
        <v>19</v>
      </c>
      <c r="D1118" s="168" t="s">
        <v>12</v>
      </c>
      <c r="E1118" s="169">
        <v>42402</v>
      </c>
      <c r="F1118" s="170">
        <v>2.2000000000000002</v>
      </c>
      <c r="G1118" s="171" t="s">
        <v>13</v>
      </c>
      <c r="H1118" s="168" t="s">
        <v>14</v>
      </c>
      <c r="I1118" s="171">
        <v>1</v>
      </c>
      <c r="J1118" s="171" t="s">
        <v>15</v>
      </c>
      <c r="K1118" s="171" t="s">
        <v>76</v>
      </c>
      <c r="L1118" s="168" t="s">
        <v>77</v>
      </c>
    </row>
    <row r="1119" spans="1:12" x14ac:dyDescent="0.2">
      <c r="A1119" s="168" t="s">
        <v>74</v>
      </c>
      <c r="B1119" s="168" t="s">
        <v>75</v>
      </c>
      <c r="C1119" s="168" t="s">
        <v>19</v>
      </c>
      <c r="D1119" s="168" t="s">
        <v>12</v>
      </c>
      <c r="E1119" s="169">
        <v>42402</v>
      </c>
      <c r="F1119" s="170">
        <v>19.650708000000002</v>
      </c>
      <c r="G1119" s="171" t="s">
        <v>16</v>
      </c>
      <c r="H1119" s="168" t="s">
        <v>14</v>
      </c>
      <c r="I1119" s="171">
        <v>1</v>
      </c>
      <c r="J1119" s="171" t="s">
        <v>15</v>
      </c>
      <c r="K1119" s="171" t="s">
        <v>76</v>
      </c>
      <c r="L1119" s="168" t="s">
        <v>77</v>
      </c>
    </row>
    <row r="1120" spans="1:12" x14ac:dyDescent="0.2">
      <c r="A1120" s="168" t="s">
        <v>74</v>
      </c>
      <c r="B1120" s="168" t="s">
        <v>75</v>
      </c>
      <c r="C1120" s="168" t="s">
        <v>19</v>
      </c>
      <c r="D1120" s="168" t="s">
        <v>12</v>
      </c>
      <c r="E1120" s="169">
        <v>42402</v>
      </c>
      <c r="F1120" s="170">
        <v>3.03</v>
      </c>
      <c r="G1120" s="171" t="s">
        <v>13</v>
      </c>
      <c r="H1120" s="168" t="s">
        <v>18</v>
      </c>
      <c r="I1120" s="171">
        <v>1</v>
      </c>
      <c r="J1120" s="171" t="s">
        <v>15</v>
      </c>
      <c r="K1120" s="171" t="s">
        <v>76</v>
      </c>
      <c r="L1120" s="168" t="s">
        <v>77</v>
      </c>
    </row>
    <row r="1121" spans="1:12" x14ac:dyDescent="0.2">
      <c r="A1121" s="168" t="s">
        <v>74</v>
      </c>
      <c r="B1121" s="168" t="s">
        <v>75</v>
      </c>
      <c r="C1121" s="168" t="s">
        <v>19</v>
      </c>
      <c r="D1121" s="168" t="s">
        <v>12</v>
      </c>
      <c r="E1121" s="169">
        <v>42402</v>
      </c>
      <c r="F1121" s="170">
        <v>27.064384199999999</v>
      </c>
      <c r="G1121" s="171" t="s">
        <v>16</v>
      </c>
      <c r="H1121" s="168" t="s">
        <v>18</v>
      </c>
      <c r="I1121" s="171">
        <v>1</v>
      </c>
      <c r="J1121" s="171" t="s">
        <v>15</v>
      </c>
      <c r="K1121" s="171" t="s">
        <v>76</v>
      </c>
      <c r="L1121" s="168" t="s">
        <v>77</v>
      </c>
    </row>
    <row r="1122" spans="1:12" x14ac:dyDescent="0.2">
      <c r="A1122" s="168" t="s">
        <v>74</v>
      </c>
      <c r="B1122" s="168" t="s">
        <v>75</v>
      </c>
      <c r="C1122" s="168" t="s">
        <v>19</v>
      </c>
      <c r="D1122" s="168" t="s">
        <v>12</v>
      </c>
      <c r="E1122" s="169">
        <v>42395</v>
      </c>
      <c r="F1122" s="170">
        <v>4.3600000000000003</v>
      </c>
      <c r="G1122" s="171" t="s">
        <v>13</v>
      </c>
      <c r="H1122" s="168" t="s">
        <v>14</v>
      </c>
      <c r="I1122" s="171">
        <v>1</v>
      </c>
      <c r="J1122" s="171" t="s">
        <v>15</v>
      </c>
      <c r="K1122" s="171" t="s">
        <v>76</v>
      </c>
      <c r="L1122" s="168" t="s">
        <v>77</v>
      </c>
    </row>
    <row r="1123" spans="1:12" x14ac:dyDescent="0.2">
      <c r="A1123" s="168" t="s">
        <v>74</v>
      </c>
      <c r="B1123" s="168" t="s">
        <v>75</v>
      </c>
      <c r="C1123" s="168" t="s">
        <v>19</v>
      </c>
      <c r="D1123" s="168" t="s">
        <v>12</v>
      </c>
      <c r="E1123" s="169">
        <v>42395</v>
      </c>
      <c r="F1123" s="170">
        <v>41.744035199999999</v>
      </c>
      <c r="G1123" s="171" t="s">
        <v>16</v>
      </c>
      <c r="H1123" s="168" t="s">
        <v>14</v>
      </c>
      <c r="I1123" s="171">
        <v>1</v>
      </c>
      <c r="J1123" s="171" t="s">
        <v>15</v>
      </c>
      <c r="K1123" s="171" t="s">
        <v>76</v>
      </c>
      <c r="L1123" s="168" t="s">
        <v>77</v>
      </c>
    </row>
    <row r="1124" spans="1:12" x14ac:dyDescent="0.2">
      <c r="A1124" s="168" t="s">
        <v>74</v>
      </c>
      <c r="B1124" s="168" t="s">
        <v>75</v>
      </c>
      <c r="C1124" s="168" t="s">
        <v>19</v>
      </c>
      <c r="D1124" s="168" t="s">
        <v>12</v>
      </c>
      <c r="E1124" s="169">
        <v>42395</v>
      </c>
      <c r="F1124" s="170">
        <v>3.72</v>
      </c>
      <c r="G1124" s="171" t="s">
        <v>13</v>
      </c>
      <c r="H1124" s="168" t="s">
        <v>18</v>
      </c>
      <c r="I1124" s="171">
        <v>1</v>
      </c>
      <c r="J1124" s="171" t="s">
        <v>15</v>
      </c>
      <c r="K1124" s="171" t="s">
        <v>76</v>
      </c>
      <c r="L1124" s="168" t="s">
        <v>77</v>
      </c>
    </row>
    <row r="1125" spans="1:12" x14ac:dyDescent="0.2">
      <c r="A1125" s="168" t="s">
        <v>74</v>
      </c>
      <c r="B1125" s="168" t="s">
        <v>75</v>
      </c>
      <c r="C1125" s="168" t="s">
        <v>19</v>
      </c>
      <c r="D1125" s="168" t="s">
        <v>12</v>
      </c>
      <c r="E1125" s="169">
        <v>42395</v>
      </c>
      <c r="F1125" s="170">
        <v>35.616470399999997</v>
      </c>
      <c r="G1125" s="171" t="s">
        <v>16</v>
      </c>
      <c r="H1125" s="168" t="s">
        <v>18</v>
      </c>
      <c r="I1125" s="171">
        <v>1</v>
      </c>
      <c r="J1125" s="171" t="s">
        <v>15</v>
      </c>
      <c r="K1125" s="171" t="s">
        <v>76</v>
      </c>
      <c r="L1125" s="168" t="s">
        <v>77</v>
      </c>
    </row>
    <row r="1126" spans="1:12" x14ac:dyDescent="0.2">
      <c r="A1126" s="168" t="s">
        <v>74</v>
      </c>
      <c r="B1126" s="168" t="s">
        <v>75</v>
      </c>
      <c r="C1126" s="168" t="s">
        <v>19</v>
      </c>
      <c r="D1126" s="168" t="s">
        <v>12</v>
      </c>
      <c r="E1126" s="169">
        <v>42388</v>
      </c>
      <c r="F1126" s="170">
        <v>4.0999999999999996</v>
      </c>
      <c r="G1126" s="171" t="s">
        <v>13</v>
      </c>
      <c r="H1126" s="168" t="s">
        <v>14</v>
      </c>
      <c r="I1126" s="171">
        <v>1</v>
      </c>
      <c r="J1126" s="171" t="s">
        <v>15</v>
      </c>
      <c r="K1126" s="171" t="s">
        <v>76</v>
      </c>
      <c r="L1126" s="168" t="s">
        <v>77</v>
      </c>
    </row>
    <row r="1127" spans="1:12" x14ac:dyDescent="0.2">
      <c r="A1127" s="168" t="s">
        <v>74</v>
      </c>
      <c r="B1127" s="168" t="s">
        <v>75</v>
      </c>
      <c r="C1127" s="168" t="s">
        <v>19</v>
      </c>
      <c r="D1127" s="168" t="s">
        <v>12</v>
      </c>
      <c r="E1127" s="169">
        <v>42388</v>
      </c>
      <c r="F1127" s="170">
        <v>41.408934000000002</v>
      </c>
      <c r="G1127" s="171" t="s">
        <v>16</v>
      </c>
      <c r="H1127" s="168" t="s">
        <v>14</v>
      </c>
      <c r="I1127" s="171">
        <v>1</v>
      </c>
      <c r="J1127" s="171" t="s">
        <v>15</v>
      </c>
      <c r="K1127" s="171" t="s">
        <v>76</v>
      </c>
      <c r="L1127" s="168" t="s">
        <v>77</v>
      </c>
    </row>
    <row r="1128" spans="1:12" x14ac:dyDescent="0.2">
      <c r="A1128" s="168" t="s">
        <v>74</v>
      </c>
      <c r="B1128" s="168" t="s">
        <v>75</v>
      </c>
      <c r="C1128" s="168" t="s">
        <v>19</v>
      </c>
      <c r="D1128" s="168" t="s">
        <v>12</v>
      </c>
      <c r="E1128" s="169">
        <v>42388</v>
      </c>
      <c r="F1128" s="170">
        <v>2.79</v>
      </c>
      <c r="G1128" s="171" t="s">
        <v>13</v>
      </c>
      <c r="H1128" s="168" t="s">
        <v>18</v>
      </c>
      <c r="I1128" s="171">
        <v>1</v>
      </c>
      <c r="J1128" s="171" t="s">
        <v>15</v>
      </c>
      <c r="K1128" s="171" t="s">
        <v>76</v>
      </c>
      <c r="L1128" s="168" t="s">
        <v>77</v>
      </c>
    </row>
    <row r="1129" spans="1:12" x14ac:dyDescent="0.2">
      <c r="A1129" s="168" t="s">
        <v>74</v>
      </c>
      <c r="B1129" s="168" t="s">
        <v>75</v>
      </c>
      <c r="C1129" s="168" t="s">
        <v>19</v>
      </c>
      <c r="D1129" s="168" t="s">
        <v>12</v>
      </c>
      <c r="E1129" s="169">
        <v>42388</v>
      </c>
      <c r="F1129" s="170">
        <v>28.178274600000002</v>
      </c>
      <c r="G1129" s="171" t="s">
        <v>16</v>
      </c>
      <c r="H1129" s="168" t="s">
        <v>18</v>
      </c>
      <c r="I1129" s="171">
        <v>1</v>
      </c>
      <c r="J1129" s="171" t="s">
        <v>15</v>
      </c>
      <c r="K1129" s="171" t="s">
        <v>76</v>
      </c>
      <c r="L1129" s="168" t="s">
        <v>77</v>
      </c>
    </row>
    <row r="1130" spans="1:12" x14ac:dyDescent="0.2">
      <c r="A1130" s="168" t="s">
        <v>74</v>
      </c>
      <c r="B1130" s="168" t="s">
        <v>75</v>
      </c>
      <c r="C1130" s="168" t="s">
        <v>19</v>
      </c>
      <c r="D1130" s="168" t="s">
        <v>12</v>
      </c>
      <c r="E1130" s="169">
        <v>42381</v>
      </c>
      <c r="F1130" s="170">
        <v>3.45</v>
      </c>
      <c r="G1130" s="171" t="s">
        <v>13</v>
      </c>
      <c r="H1130" s="168" t="s">
        <v>14</v>
      </c>
      <c r="I1130" s="171">
        <v>1</v>
      </c>
      <c r="J1130" s="171" t="s">
        <v>15</v>
      </c>
      <c r="K1130" s="171" t="s">
        <v>76</v>
      </c>
      <c r="L1130" s="168" t="s">
        <v>77</v>
      </c>
    </row>
    <row r="1131" spans="1:12" x14ac:dyDescent="0.2">
      <c r="A1131" s="168" t="s">
        <v>74</v>
      </c>
      <c r="B1131" s="168" t="s">
        <v>75</v>
      </c>
      <c r="C1131" s="168" t="s">
        <v>19</v>
      </c>
      <c r="D1131" s="168" t="s">
        <v>12</v>
      </c>
      <c r="E1131" s="169">
        <v>42381</v>
      </c>
      <c r="F1131" s="170">
        <v>37.778948999999997</v>
      </c>
      <c r="G1131" s="171" t="s">
        <v>16</v>
      </c>
      <c r="H1131" s="168" t="s">
        <v>14</v>
      </c>
      <c r="I1131" s="171">
        <v>1</v>
      </c>
      <c r="J1131" s="171" t="s">
        <v>15</v>
      </c>
      <c r="K1131" s="171" t="s">
        <v>76</v>
      </c>
      <c r="L1131" s="168" t="s">
        <v>77</v>
      </c>
    </row>
    <row r="1132" spans="1:12" x14ac:dyDescent="0.2">
      <c r="A1132" s="168" t="s">
        <v>74</v>
      </c>
      <c r="B1132" s="168" t="s">
        <v>75</v>
      </c>
      <c r="C1132" s="168" t="s">
        <v>19</v>
      </c>
      <c r="D1132" s="168" t="s">
        <v>12</v>
      </c>
      <c r="E1132" s="169">
        <v>42381</v>
      </c>
      <c r="F1132" s="170">
        <v>2.5299999999999998</v>
      </c>
      <c r="G1132" s="171" t="s">
        <v>13</v>
      </c>
      <c r="H1132" s="168" t="s">
        <v>18</v>
      </c>
      <c r="I1132" s="171">
        <v>1</v>
      </c>
      <c r="J1132" s="171" t="s">
        <v>15</v>
      </c>
      <c r="K1132" s="171" t="s">
        <v>76</v>
      </c>
      <c r="L1132" s="168" t="s">
        <v>77</v>
      </c>
    </row>
    <row r="1133" spans="1:12" x14ac:dyDescent="0.2">
      <c r="A1133" s="168" t="s">
        <v>74</v>
      </c>
      <c r="B1133" s="168" t="s">
        <v>75</v>
      </c>
      <c r="C1133" s="168" t="s">
        <v>19</v>
      </c>
      <c r="D1133" s="168" t="s">
        <v>12</v>
      </c>
      <c r="E1133" s="169">
        <v>42381</v>
      </c>
      <c r="F1133" s="170">
        <v>27.704562599999999</v>
      </c>
      <c r="G1133" s="171" t="s">
        <v>16</v>
      </c>
      <c r="H1133" s="168" t="s">
        <v>18</v>
      </c>
      <c r="I1133" s="171">
        <v>1</v>
      </c>
      <c r="J1133" s="171" t="s">
        <v>15</v>
      </c>
      <c r="K1133" s="171" t="s">
        <v>76</v>
      </c>
      <c r="L1133" s="168" t="s">
        <v>77</v>
      </c>
    </row>
    <row r="1134" spans="1:12" x14ac:dyDescent="0.2">
      <c r="A1134" s="168" t="s">
        <v>74</v>
      </c>
      <c r="B1134" s="168" t="s">
        <v>75</v>
      </c>
      <c r="C1134" s="168" t="s">
        <v>19</v>
      </c>
      <c r="D1134" s="168" t="s">
        <v>12</v>
      </c>
      <c r="E1134" s="169">
        <v>42374</v>
      </c>
      <c r="F1134" s="170">
        <v>2.98</v>
      </c>
      <c r="G1134" s="171" t="s">
        <v>13</v>
      </c>
      <c r="H1134" s="168" t="s">
        <v>14</v>
      </c>
      <c r="I1134" s="171">
        <v>1</v>
      </c>
      <c r="J1134" s="171" t="s">
        <v>15</v>
      </c>
      <c r="K1134" s="171" t="s">
        <v>76</v>
      </c>
      <c r="L1134" s="168" t="s">
        <v>77</v>
      </c>
    </row>
    <row r="1135" spans="1:12" x14ac:dyDescent="0.2">
      <c r="A1135" s="168" t="s">
        <v>74</v>
      </c>
      <c r="B1135" s="168" t="s">
        <v>75</v>
      </c>
      <c r="C1135" s="168" t="s">
        <v>19</v>
      </c>
      <c r="D1135" s="168" t="s">
        <v>12</v>
      </c>
      <c r="E1135" s="169">
        <v>42374</v>
      </c>
      <c r="F1135" s="170">
        <v>30.4700232</v>
      </c>
      <c r="G1135" s="171" t="s">
        <v>16</v>
      </c>
      <c r="H1135" s="168" t="s">
        <v>14</v>
      </c>
      <c r="I1135" s="171">
        <v>1</v>
      </c>
      <c r="J1135" s="171" t="s">
        <v>15</v>
      </c>
      <c r="K1135" s="171" t="s">
        <v>76</v>
      </c>
      <c r="L1135" s="168" t="s">
        <v>77</v>
      </c>
    </row>
    <row r="1136" spans="1:12" x14ac:dyDescent="0.2">
      <c r="A1136" s="168" t="s">
        <v>74</v>
      </c>
      <c r="B1136" s="168" t="s">
        <v>75</v>
      </c>
      <c r="C1136" s="168" t="s">
        <v>19</v>
      </c>
      <c r="D1136" s="168" t="s">
        <v>12</v>
      </c>
      <c r="E1136" s="169">
        <v>42374</v>
      </c>
      <c r="F1136" s="170">
        <v>2.46</v>
      </c>
      <c r="G1136" s="171" t="s">
        <v>13</v>
      </c>
      <c r="H1136" s="168" t="s">
        <v>18</v>
      </c>
      <c r="I1136" s="171">
        <v>1</v>
      </c>
      <c r="J1136" s="171" t="s">
        <v>15</v>
      </c>
      <c r="K1136" s="171" t="s">
        <v>76</v>
      </c>
      <c r="L1136" s="168" t="s">
        <v>77</v>
      </c>
    </row>
    <row r="1137" spans="1:12" x14ac:dyDescent="0.2">
      <c r="A1137" s="168" t="s">
        <v>74</v>
      </c>
      <c r="B1137" s="168" t="s">
        <v>75</v>
      </c>
      <c r="C1137" s="168" t="s">
        <v>19</v>
      </c>
      <c r="D1137" s="168" t="s">
        <v>12</v>
      </c>
      <c r="E1137" s="169">
        <v>42374</v>
      </c>
      <c r="F1137" s="170">
        <v>25.153106399999999</v>
      </c>
      <c r="G1137" s="171" t="s">
        <v>16</v>
      </c>
      <c r="H1137" s="168" t="s">
        <v>18</v>
      </c>
      <c r="I1137" s="171">
        <v>1</v>
      </c>
      <c r="J1137" s="171" t="s">
        <v>15</v>
      </c>
      <c r="K1137" s="171" t="s">
        <v>76</v>
      </c>
      <c r="L1137" s="168" t="s">
        <v>77</v>
      </c>
    </row>
    <row r="1138" spans="1:12" x14ac:dyDescent="0.2">
      <c r="A1138" s="168" t="s">
        <v>74</v>
      </c>
      <c r="B1138" s="168" t="s">
        <v>75</v>
      </c>
      <c r="C1138" s="168" t="s">
        <v>19</v>
      </c>
      <c r="D1138" s="168" t="s">
        <v>12</v>
      </c>
      <c r="E1138" s="169">
        <v>42367</v>
      </c>
      <c r="F1138" s="170">
        <v>2.79</v>
      </c>
      <c r="G1138" s="171" t="s">
        <v>13</v>
      </c>
      <c r="H1138" s="168" t="s">
        <v>14</v>
      </c>
      <c r="I1138" s="171">
        <v>1</v>
      </c>
      <c r="J1138" s="171" t="s">
        <v>15</v>
      </c>
      <c r="K1138" s="171" t="s">
        <v>76</v>
      </c>
      <c r="L1138" s="168" t="s">
        <v>77</v>
      </c>
    </row>
    <row r="1139" spans="1:12" x14ac:dyDescent="0.2">
      <c r="A1139" s="168" t="s">
        <v>74</v>
      </c>
      <c r="B1139" s="168" t="s">
        <v>75</v>
      </c>
      <c r="C1139" s="168" t="s">
        <v>19</v>
      </c>
      <c r="D1139" s="168" t="s">
        <v>12</v>
      </c>
      <c r="E1139" s="169">
        <v>42367</v>
      </c>
      <c r="F1139" s="170">
        <v>30.784357799999999</v>
      </c>
      <c r="G1139" s="171" t="s">
        <v>16</v>
      </c>
      <c r="H1139" s="168" t="s">
        <v>14</v>
      </c>
      <c r="I1139" s="171">
        <v>1</v>
      </c>
      <c r="J1139" s="171" t="s">
        <v>15</v>
      </c>
      <c r="K1139" s="171" t="s">
        <v>76</v>
      </c>
      <c r="L1139" s="168" t="s">
        <v>77</v>
      </c>
    </row>
    <row r="1140" spans="1:12" x14ac:dyDescent="0.2">
      <c r="A1140" s="168" t="s">
        <v>74</v>
      </c>
      <c r="B1140" s="168" t="s">
        <v>75</v>
      </c>
      <c r="C1140" s="168" t="s">
        <v>19</v>
      </c>
      <c r="D1140" s="168" t="s">
        <v>12</v>
      </c>
      <c r="E1140" s="169">
        <v>42367</v>
      </c>
      <c r="F1140" s="170">
        <v>2.81</v>
      </c>
      <c r="G1140" s="171" t="s">
        <v>13</v>
      </c>
      <c r="H1140" s="168" t="s">
        <v>18</v>
      </c>
      <c r="I1140" s="171">
        <v>1</v>
      </c>
      <c r="J1140" s="171" t="s">
        <v>15</v>
      </c>
      <c r="K1140" s="171" t="s">
        <v>76</v>
      </c>
      <c r="L1140" s="168" t="s">
        <v>77</v>
      </c>
    </row>
    <row r="1141" spans="1:12" x14ac:dyDescent="0.2">
      <c r="A1141" s="168" t="s">
        <v>74</v>
      </c>
      <c r="B1141" s="168" t="s">
        <v>75</v>
      </c>
      <c r="C1141" s="168" t="s">
        <v>19</v>
      </c>
      <c r="D1141" s="168" t="s">
        <v>12</v>
      </c>
      <c r="E1141" s="169">
        <v>42367</v>
      </c>
      <c r="F1141" s="170">
        <v>31.0050341</v>
      </c>
      <c r="G1141" s="171" t="s">
        <v>16</v>
      </c>
      <c r="H1141" s="168" t="s">
        <v>18</v>
      </c>
      <c r="I1141" s="171">
        <v>1</v>
      </c>
      <c r="J1141" s="171" t="s">
        <v>15</v>
      </c>
      <c r="K1141" s="171" t="s">
        <v>76</v>
      </c>
      <c r="L1141" s="168" t="s">
        <v>77</v>
      </c>
    </row>
    <row r="1142" spans="1:12" x14ac:dyDescent="0.2">
      <c r="A1142" s="168" t="s">
        <v>74</v>
      </c>
      <c r="B1142" s="168" t="s">
        <v>75</v>
      </c>
      <c r="C1142" s="168" t="s">
        <v>19</v>
      </c>
      <c r="D1142" s="168" t="s">
        <v>12</v>
      </c>
      <c r="E1142" s="169">
        <v>42360</v>
      </c>
      <c r="F1142" s="170">
        <v>3.4</v>
      </c>
      <c r="G1142" s="171" t="s">
        <v>13</v>
      </c>
      <c r="H1142" s="168" t="s">
        <v>14</v>
      </c>
      <c r="I1142" s="171">
        <v>1</v>
      </c>
      <c r="J1142" s="171" t="s">
        <v>15</v>
      </c>
      <c r="K1142" s="171" t="s">
        <v>76</v>
      </c>
      <c r="L1142" s="168" t="s">
        <v>77</v>
      </c>
    </row>
    <row r="1143" spans="1:12" x14ac:dyDescent="0.2">
      <c r="A1143" s="168" t="s">
        <v>74</v>
      </c>
      <c r="B1143" s="168" t="s">
        <v>75</v>
      </c>
      <c r="C1143" s="168" t="s">
        <v>19</v>
      </c>
      <c r="D1143" s="168" t="s">
        <v>12</v>
      </c>
      <c r="E1143" s="169">
        <v>42360</v>
      </c>
      <c r="F1143" s="170">
        <v>39.414839999999998</v>
      </c>
      <c r="G1143" s="171" t="s">
        <v>16</v>
      </c>
      <c r="H1143" s="168" t="s">
        <v>14</v>
      </c>
      <c r="I1143" s="171">
        <v>1</v>
      </c>
      <c r="J1143" s="171" t="s">
        <v>15</v>
      </c>
      <c r="K1143" s="171" t="s">
        <v>76</v>
      </c>
      <c r="L1143" s="168" t="s">
        <v>77</v>
      </c>
    </row>
    <row r="1144" spans="1:12" x14ac:dyDescent="0.2">
      <c r="A1144" s="168" t="s">
        <v>74</v>
      </c>
      <c r="B1144" s="168" t="s">
        <v>75</v>
      </c>
      <c r="C1144" s="168" t="s">
        <v>19</v>
      </c>
      <c r="D1144" s="168" t="s">
        <v>12</v>
      </c>
      <c r="E1144" s="169">
        <v>42360</v>
      </c>
      <c r="F1144" s="170">
        <v>4.34</v>
      </c>
      <c r="G1144" s="171" t="s">
        <v>13</v>
      </c>
      <c r="H1144" s="168" t="s">
        <v>18</v>
      </c>
      <c r="I1144" s="171">
        <v>1</v>
      </c>
      <c r="J1144" s="171" t="s">
        <v>15</v>
      </c>
      <c r="K1144" s="171" t="s">
        <v>76</v>
      </c>
      <c r="L1144" s="168" t="s">
        <v>77</v>
      </c>
    </row>
    <row r="1145" spans="1:12" x14ac:dyDescent="0.2">
      <c r="A1145" s="168" t="s">
        <v>74</v>
      </c>
      <c r="B1145" s="168" t="s">
        <v>75</v>
      </c>
      <c r="C1145" s="168" t="s">
        <v>19</v>
      </c>
      <c r="D1145" s="168" t="s">
        <v>12</v>
      </c>
      <c r="E1145" s="169">
        <v>42360</v>
      </c>
      <c r="F1145" s="170">
        <v>50.311883899999998</v>
      </c>
      <c r="G1145" s="171" t="s">
        <v>16</v>
      </c>
      <c r="H1145" s="168" t="s">
        <v>18</v>
      </c>
      <c r="I1145" s="171">
        <v>1</v>
      </c>
      <c r="J1145" s="171" t="s">
        <v>15</v>
      </c>
      <c r="K1145" s="171" t="s">
        <v>76</v>
      </c>
      <c r="L1145" s="168" t="s">
        <v>77</v>
      </c>
    </row>
    <row r="1146" spans="1:12" x14ac:dyDescent="0.2">
      <c r="A1146" s="168" t="s">
        <v>74</v>
      </c>
      <c r="B1146" s="168" t="s">
        <v>75</v>
      </c>
      <c r="C1146" s="168" t="s">
        <v>19</v>
      </c>
      <c r="D1146" s="168" t="s">
        <v>12</v>
      </c>
      <c r="E1146" s="169">
        <v>42339</v>
      </c>
      <c r="F1146" s="170">
        <v>1.1200000000000001</v>
      </c>
      <c r="G1146" s="171" t="s">
        <v>13</v>
      </c>
      <c r="H1146" s="168" t="s">
        <v>14</v>
      </c>
      <c r="I1146" s="171">
        <v>1</v>
      </c>
      <c r="J1146" s="171" t="s">
        <v>15</v>
      </c>
      <c r="K1146" s="171" t="s">
        <v>76</v>
      </c>
      <c r="L1146" s="168" t="s">
        <v>77</v>
      </c>
    </row>
    <row r="1147" spans="1:12" x14ac:dyDescent="0.2">
      <c r="A1147" s="168" t="s">
        <v>74</v>
      </c>
      <c r="B1147" s="168" t="s">
        <v>75</v>
      </c>
      <c r="C1147" s="168" t="s">
        <v>19</v>
      </c>
      <c r="D1147" s="168" t="s">
        <v>12</v>
      </c>
      <c r="E1147" s="169">
        <v>42339</v>
      </c>
      <c r="F1147" s="170">
        <v>13.1518464</v>
      </c>
      <c r="G1147" s="171" t="s">
        <v>16</v>
      </c>
      <c r="H1147" s="168" t="s">
        <v>14</v>
      </c>
      <c r="I1147" s="171">
        <v>1</v>
      </c>
      <c r="J1147" s="171" t="s">
        <v>15</v>
      </c>
      <c r="K1147" s="171" t="s">
        <v>76</v>
      </c>
      <c r="L1147" s="168" t="s">
        <v>77</v>
      </c>
    </row>
    <row r="1148" spans="1:12" x14ac:dyDescent="0.2">
      <c r="A1148" s="168" t="s">
        <v>74</v>
      </c>
      <c r="B1148" s="168" t="s">
        <v>75</v>
      </c>
      <c r="C1148" s="168" t="s">
        <v>19</v>
      </c>
      <c r="D1148" s="168" t="s">
        <v>12</v>
      </c>
      <c r="E1148" s="169">
        <v>42339</v>
      </c>
      <c r="F1148" s="170">
        <v>1.53</v>
      </c>
      <c r="G1148" s="171" t="s">
        <v>13</v>
      </c>
      <c r="H1148" s="168" t="s">
        <v>18</v>
      </c>
      <c r="I1148" s="171">
        <v>1</v>
      </c>
      <c r="J1148" s="171" t="s">
        <v>15</v>
      </c>
      <c r="K1148" s="171" t="s">
        <v>76</v>
      </c>
      <c r="L1148" s="168" t="s">
        <v>77</v>
      </c>
    </row>
    <row r="1149" spans="1:12" x14ac:dyDescent="0.2">
      <c r="A1149" s="168" t="s">
        <v>74</v>
      </c>
      <c r="B1149" s="168" t="s">
        <v>75</v>
      </c>
      <c r="C1149" s="168" t="s">
        <v>19</v>
      </c>
      <c r="D1149" s="168" t="s">
        <v>12</v>
      </c>
      <c r="E1149" s="169">
        <v>42339</v>
      </c>
      <c r="F1149" s="170">
        <v>17.966361599999999</v>
      </c>
      <c r="G1149" s="171" t="s">
        <v>16</v>
      </c>
      <c r="H1149" s="168" t="s">
        <v>18</v>
      </c>
      <c r="I1149" s="171">
        <v>1</v>
      </c>
      <c r="J1149" s="171" t="s">
        <v>15</v>
      </c>
      <c r="K1149" s="171" t="s">
        <v>76</v>
      </c>
      <c r="L1149" s="168" t="s">
        <v>77</v>
      </c>
    </row>
    <row r="1150" spans="1:12" x14ac:dyDescent="0.2">
      <c r="A1150" s="168" t="s">
        <v>74</v>
      </c>
      <c r="B1150" s="168" t="s">
        <v>75</v>
      </c>
      <c r="C1150" s="168" t="s">
        <v>19</v>
      </c>
      <c r="D1150" s="168" t="s">
        <v>12</v>
      </c>
      <c r="E1150" s="169">
        <v>42311</v>
      </c>
      <c r="F1150" s="170">
        <v>10.9</v>
      </c>
      <c r="G1150" s="171" t="s">
        <v>13</v>
      </c>
      <c r="H1150" s="168" t="s">
        <v>14</v>
      </c>
      <c r="I1150" s="171">
        <v>1</v>
      </c>
      <c r="J1150" s="171" t="s">
        <v>15</v>
      </c>
      <c r="K1150" s="171" t="s">
        <v>76</v>
      </c>
      <c r="L1150" s="168" t="s">
        <v>77</v>
      </c>
    </row>
    <row r="1151" spans="1:12" x14ac:dyDescent="0.2">
      <c r="A1151" s="168" t="s">
        <v>74</v>
      </c>
      <c r="B1151" s="168" t="s">
        <v>75</v>
      </c>
      <c r="C1151" s="168" t="s">
        <v>19</v>
      </c>
      <c r="D1151" s="168" t="s">
        <v>12</v>
      </c>
      <c r="E1151" s="169">
        <v>42311</v>
      </c>
      <c r="F1151" s="170">
        <v>106.81455</v>
      </c>
      <c r="G1151" s="171" t="s">
        <v>16</v>
      </c>
      <c r="H1151" s="168" t="s">
        <v>14</v>
      </c>
      <c r="I1151" s="171">
        <v>1</v>
      </c>
      <c r="J1151" s="171" t="s">
        <v>15</v>
      </c>
      <c r="K1151" s="171" t="s">
        <v>76</v>
      </c>
      <c r="L1151" s="168" t="s">
        <v>77</v>
      </c>
    </row>
    <row r="1152" spans="1:12" x14ac:dyDescent="0.2">
      <c r="A1152" s="168" t="s">
        <v>74</v>
      </c>
      <c r="B1152" s="168" t="s">
        <v>75</v>
      </c>
      <c r="C1152" s="168" t="s">
        <v>19</v>
      </c>
      <c r="D1152" s="168" t="s">
        <v>12</v>
      </c>
      <c r="E1152" s="169">
        <v>42311</v>
      </c>
      <c r="F1152" s="170">
        <v>3.56</v>
      </c>
      <c r="G1152" s="171" t="s">
        <v>13</v>
      </c>
      <c r="H1152" s="168" t="s">
        <v>18</v>
      </c>
      <c r="I1152" s="171">
        <v>1</v>
      </c>
      <c r="J1152" s="171" t="s">
        <v>15</v>
      </c>
      <c r="K1152" s="171" t="s">
        <v>76</v>
      </c>
      <c r="L1152" s="168" t="s">
        <v>77</v>
      </c>
    </row>
    <row r="1153" spans="1:12" x14ac:dyDescent="0.2">
      <c r="A1153" s="168" t="s">
        <v>74</v>
      </c>
      <c r="B1153" s="168" t="s">
        <v>75</v>
      </c>
      <c r="C1153" s="168" t="s">
        <v>19</v>
      </c>
      <c r="D1153" s="168" t="s">
        <v>12</v>
      </c>
      <c r="E1153" s="169">
        <v>42311</v>
      </c>
      <c r="F1153" s="170">
        <v>34.8862199</v>
      </c>
      <c r="G1153" s="171" t="s">
        <v>16</v>
      </c>
      <c r="H1153" s="168" t="s">
        <v>18</v>
      </c>
      <c r="I1153" s="171">
        <v>1</v>
      </c>
      <c r="J1153" s="171" t="s">
        <v>15</v>
      </c>
      <c r="K1153" s="171" t="s">
        <v>76</v>
      </c>
      <c r="L1153" s="168" t="s">
        <v>77</v>
      </c>
    </row>
    <row r="1154" spans="1:12" x14ac:dyDescent="0.2">
      <c r="A1154" s="168" t="s">
        <v>74</v>
      </c>
      <c r="B1154" s="168" t="s">
        <v>75</v>
      </c>
      <c r="C1154" s="168" t="s">
        <v>19</v>
      </c>
      <c r="D1154" s="168" t="s">
        <v>12</v>
      </c>
      <c r="E1154" s="169">
        <v>42304</v>
      </c>
      <c r="F1154" s="170">
        <v>4.9400000000000004</v>
      </c>
      <c r="G1154" s="171" t="s">
        <v>13</v>
      </c>
      <c r="H1154" s="168" t="s">
        <v>14</v>
      </c>
      <c r="I1154" s="171">
        <v>1</v>
      </c>
      <c r="J1154" s="171" t="s">
        <v>15</v>
      </c>
      <c r="K1154" s="171" t="s">
        <v>76</v>
      </c>
      <c r="L1154" s="168" t="s">
        <v>77</v>
      </c>
    </row>
    <row r="1155" spans="1:12" x14ac:dyDescent="0.2">
      <c r="A1155" s="168" t="s">
        <v>74</v>
      </c>
      <c r="B1155" s="168" t="s">
        <v>75</v>
      </c>
      <c r="C1155" s="168" t="s">
        <v>19</v>
      </c>
      <c r="D1155" s="168" t="s">
        <v>12</v>
      </c>
      <c r="E1155" s="169">
        <v>42304</v>
      </c>
      <c r="F1155" s="170">
        <v>59.162625599999998</v>
      </c>
      <c r="G1155" s="171" t="s">
        <v>16</v>
      </c>
      <c r="H1155" s="168" t="s">
        <v>14</v>
      </c>
      <c r="I1155" s="171">
        <v>1</v>
      </c>
      <c r="J1155" s="171" t="s">
        <v>15</v>
      </c>
      <c r="K1155" s="171" t="s">
        <v>76</v>
      </c>
      <c r="L1155" s="168" t="s">
        <v>77</v>
      </c>
    </row>
    <row r="1156" spans="1:12" x14ac:dyDescent="0.2">
      <c r="A1156" s="168" t="s">
        <v>74</v>
      </c>
      <c r="B1156" s="168" t="s">
        <v>75</v>
      </c>
      <c r="C1156" s="168" t="s">
        <v>19</v>
      </c>
      <c r="D1156" s="168" t="s">
        <v>12</v>
      </c>
      <c r="E1156" s="169">
        <v>42304</v>
      </c>
      <c r="F1156" s="170">
        <v>1.44</v>
      </c>
      <c r="G1156" s="171" t="s">
        <v>13</v>
      </c>
      <c r="H1156" s="168" t="s">
        <v>18</v>
      </c>
      <c r="I1156" s="171">
        <v>1</v>
      </c>
      <c r="J1156" s="171" t="s">
        <v>15</v>
      </c>
      <c r="K1156" s="171" t="s">
        <v>76</v>
      </c>
      <c r="L1156" s="168" t="s">
        <v>77</v>
      </c>
    </row>
    <row r="1157" spans="1:12" x14ac:dyDescent="0.2">
      <c r="A1157" s="168" t="s">
        <v>74</v>
      </c>
      <c r="B1157" s="168" t="s">
        <v>75</v>
      </c>
      <c r="C1157" s="168" t="s">
        <v>19</v>
      </c>
      <c r="D1157" s="168" t="s">
        <v>12</v>
      </c>
      <c r="E1157" s="169">
        <v>42304</v>
      </c>
      <c r="F1157" s="170">
        <v>17.2457855</v>
      </c>
      <c r="G1157" s="171" t="s">
        <v>16</v>
      </c>
      <c r="H1157" s="168" t="s">
        <v>18</v>
      </c>
      <c r="I1157" s="171">
        <v>1</v>
      </c>
      <c r="J1157" s="171" t="s">
        <v>15</v>
      </c>
      <c r="K1157" s="171" t="s">
        <v>76</v>
      </c>
      <c r="L1157" s="168" t="s">
        <v>77</v>
      </c>
    </row>
    <row r="1158" spans="1:12" x14ac:dyDescent="0.2">
      <c r="A1158" s="168" t="s">
        <v>74</v>
      </c>
      <c r="B1158" s="168" t="s">
        <v>75</v>
      </c>
      <c r="C1158" s="168" t="s">
        <v>19</v>
      </c>
      <c r="D1158" s="168" t="s">
        <v>12</v>
      </c>
      <c r="E1158" s="169">
        <v>42297</v>
      </c>
      <c r="F1158" s="170">
        <v>4.32</v>
      </c>
      <c r="G1158" s="171" t="s">
        <v>13</v>
      </c>
      <c r="H1158" s="168" t="s">
        <v>14</v>
      </c>
      <c r="I1158" s="171">
        <v>1</v>
      </c>
      <c r="J1158" s="171" t="s">
        <v>15</v>
      </c>
      <c r="K1158" s="171" t="s">
        <v>76</v>
      </c>
      <c r="L1158" s="168" t="s">
        <v>77</v>
      </c>
    </row>
    <row r="1159" spans="1:12" x14ac:dyDescent="0.2">
      <c r="A1159" s="168" t="s">
        <v>74</v>
      </c>
      <c r="B1159" s="168" t="s">
        <v>75</v>
      </c>
      <c r="C1159" s="168" t="s">
        <v>19</v>
      </c>
      <c r="D1159" s="168" t="s">
        <v>12</v>
      </c>
      <c r="E1159" s="169">
        <v>42297</v>
      </c>
      <c r="F1159" s="170">
        <v>42.081638300000002</v>
      </c>
      <c r="G1159" s="171" t="s">
        <v>16</v>
      </c>
      <c r="H1159" s="168" t="s">
        <v>14</v>
      </c>
      <c r="I1159" s="171">
        <v>1</v>
      </c>
      <c r="J1159" s="171" t="s">
        <v>15</v>
      </c>
      <c r="K1159" s="171" t="s">
        <v>76</v>
      </c>
      <c r="L1159" s="168" t="s">
        <v>77</v>
      </c>
    </row>
    <row r="1160" spans="1:12" x14ac:dyDescent="0.2">
      <c r="A1160" s="168" t="s">
        <v>74</v>
      </c>
      <c r="B1160" s="168" t="s">
        <v>75</v>
      </c>
      <c r="C1160" s="168" t="s">
        <v>19</v>
      </c>
      <c r="D1160" s="168" t="s">
        <v>12</v>
      </c>
      <c r="E1160" s="169">
        <v>42297</v>
      </c>
      <c r="F1160" s="170">
        <v>2.5299999999999998</v>
      </c>
      <c r="G1160" s="171" t="s">
        <v>13</v>
      </c>
      <c r="H1160" s="168" t="s">
        <v>18</v>
      </c>
      <c r="I1160" s="171">
        <v>1</v>
      </c>
      <c r="J1160" s="171" t="s">
        <v>15</v>
      </c>
      <c r="K1160" s="171" t="s">
        <v>76</v>
      </c>
      <c r="L1160" s="168" t="s">
        <v>77</v>
      </c>
    </row>
    <row r="1161" spans="1:12" x14ac:dyDescent="0.2">
      <c r="A1161" s="168" t="s">
        <v>74</v>
      </c>
      <c r="B1161" s="168" t="s">
        <v>75</v>
      </c>
      <c r="C1161" s="168" t="s">
        <v>19</v>
      </c>
      <c r="D1161" s="168" t="s">
        <v>12</v>
      </c>
      <c r="E1161" s="169">
        <v>42297</v>
      </c>
      <c r="F1161" s="170">
        <v>24.6450335</v>
      </c>
      <c r="G1161" s="171" t="s">
        <v>16</v>
      </c>
      <c r="H1161" s="168" t="s">
        <v>18</v>
      </c>
      <c r="I1161" s="171">
        <v>1</v>
      </c>
      <c r="J1161" s="171" t="s">
        <v>15</v>
      </c>
      <c r="K1161" s="171" t="s">
        <v>76</v>
      </c>
      <c r="L1161" s="168" t="s">
        <v>77</v>
      </c>
    </row>
    <row r="1162" spans="1:12" x14ac:dyDescent="0.2">
      <c r="A1162" s="168" t="s">
        <v>74</v>
      </c>
      <c r="B1162" s="168" t="s">
        <v>75</v>
      </c>
      <c r="C1162" s="168" t="s">
        <v>19</v>
      </c>
      <c r="D1162" s="168" t="s">
        <v>12</v>
      </c>
      <c r="E1162" s="169">
        <v>42290</v>
      </c>
      <c r="F1162" s="170">
        <v>4.92</v>
      </c>
      <c r="G1162" s="171" t="s">
        <v>13</v>
      </c>
      <c r="H1162" s="168" t="s">
        <v>14</v>
      </c>
      <c r="I1162" s="171">
        <v>1</v>
      </c>
      <c r="J1162" s="171" t="s">
        <v>15</v>
      </c>
      <c r="K1162" s="171" t="s">
        <v>76</v>
      </c>
      <c r="L1162" s="168" t="s">
        <v>77</v>
      </c>
    </row>
    <row r="1163" spans="1:12" x14ac:dyDescent="0.2">
      <c r="A1163" s="168" t="s">
        <v>74</v>
      </c>
      <c r="B1163" s="168" t="s">
        <v>75</v>
      </c>
      <c r="C1163" s="168" t="s">
        <v>19</v>
      </c>
      <c r="D1163" s="168" t="s">
        <v>12</v>
      </c>
      <c r="E1163" s="169">
        <v>42290</v>
      </c>
      <c r="F1163" s="170">
        <v>50.183114400000001</v>
      </c>
      <c r="G1163" s="171" t="s">
        <v>16</v>
      </c>
      <c r="H1163" s="168" t="s">
        <v>14</v>
      </c>
      <c r="I1163" s="171">
        <v>1</v>
      </c>
      <c r="J1163" s="171" t="s">
        <v>15</v>
      </c>
      <c r="K1163" s="171" t="s">
        <v>76</v>
      </c>
      <c r="L1163" s="168" t="s">
        <v>77</v>
      </c>
    </row>
    <row r="1164" spans="1:12" x14ac:dyDescent="0.2">
      <c r="A1164" s="168" t="s">
        <v>74</v>
      </c>
      <c r="B1164" s="168" t="s">
        <v>75</v>
      </c>
      <c r="C1164" s="168" t="s">
        <v>19</v>
      </c>
      <c r="D1164" s="168" t="s">
        <v>12</v>
      </c>
      <c r="E1164" s="169">
        <v>42290</v>
      </c>
      <c r="F1164" s="170">
        <v>3.72</v>
      </c>
      <c r="G1164" s="171" t="s">
        <v>13</v>
      </c>
      <c r="H1164" s="168" t="s">
        <v>18</v>
      </c>
      <c r="I1164" s="171">
        <v>1</v>
      </c>
      <c r="J1164" s="171" t="s">
        <v>15</v>
      </c>
      <c r="K1164" s="171" t="s">
        <v>76</v>
      </c>
      <c r="L1164" s="168" t="s">
        <v>77</v>
      </c>
    </row>
    <row r="1165" spans="1:12" x14ac:dyDescent="0.2">
      <c r="A1165" s="168" t="s">
        <v>74</v>
      </c>
      <c r="B1165" s="168" t="s">
        <v>75</v>
      </c>
      <c r="C1165" s="168" t="s">
        <v>19</v>
      </c>
      <c r="D1165" s="168" t="s">
        <v>12</v>
      </c>
      <c r="E1165" s="169">
        <v>42290</v>
      </c>
      <c r="F1165" s="170">
        <v>37.943330400000001</v>
      </c>
      <c r="G1165" s="171" t="s">
        <v>16</v>
      </c>
      <c r="H1165" s="168" t="s">
        <v>18</v>
      </c>
      <c r="I1165" s="171">
        <v>1</v>
      </c>
      <c r="J1165" s="171" t="s">
        <v>15</v>
      </c>
      <c r="K1165" s="171" t="s">
        <v>76</v>
      </c>
      <c r="L1165" s="168" t="s">
        <v>77</v>
      </c>
    </row>
    <row r="1166" spans="1:12" x14ac:dyDescent="0.2">
      <c r="A1166" s="168" t="s">
        <v>74</v>
      </c>
      <c r="B1166" s="168" t="s">
        <v>75</v>
      </c>
      <c r="C1166" s="168" t="s">
        <v>19</v>
      </c>
      <c r="D1166" s="168" t="s">
        <v>12</v>
      </c>
      <c r="E1166" s="169">
        <v>42283</v>
      </c>
      <c r="F1166" s="170">
        <v>4.2</v>
      </c>
      <c r="G1166" s="171" t="s">
        <v>13</v>
      </c>
      <c r="H1166" s="168" t="s">
        <v>14</v>
      </c>
      <c r="I1166" s="171">
        <v>1</v>
      </c>
      <c r="J1166" s="171" t="s">
        <v>15</v>
      </c>
      <c r="K1166" s="171" t="s">
        <v>76</v>
      </c>
      <c r="L1166" s="168" t="s">
        <v>77</v>
      </c>
    </row>
    <row r="1167" spans="1:12" x14ac:dyDescent="0.2">
      <c r="A1167" s="168" t="s">
        <v>74</v>
      </c>
      <c r="B1167" s="168" t="s">
        <v>75</v>
      </c>
      <c r="C1167" s="168" t="s">
        <v>19</v>
      </c>
      <c r="D1167" s="168" t="s">
        <v>12</v>
      </c>
      <c r="E1167" s="169">
        <v>42283</v>
      </c>
      <c r="F1167" s="170">
        <v>41.963543999999999</v>
      </c>
      <c r="G1167" s="171" t="s">
        <v>16</v>
      </c>
      <c r="H1167" s="168" t="s">
        <v>14</v>
      </c>
      <c r="I1167" s="171">
        <v>1</v>
      </c>
      <c r="J1167" s="171" t="s">
        <v>15</v>
      </c>
      <c r="K1167" s="171" t="s">
        <v>76</v>
      </c>
      <c r="L1167" s="168" t="s">
        <v>77</v>
      </c>
    </row>
    <row r="1168" spans="1:12" x14ac:dyDescent="0.2">
      <c r="A1168" s="168" t="s">
        <v>74</v>
      </c>
      <c r="B1168" s="168" t="s">
        <v>75</v>
      </c>
      <c r="C1168" s="168" t="s">
        <v>19</v>
      </c>
      <c r="D1168" s="168" t="s">
        <v>12</v>
      </c>
      <c r="E1168" s="169">
        <v>42283</v>
      </c>
      <c r="F1168" s="170">
        <v>3.94</v>
      </c>
      <c r="G1168" s="171" t="s">
        <v>13</v>
      </c>
      <c r="H1168" s="168" t="s">
        <v>18</v>
      </c>
      <c r="I1168" s="171">
        <v>1</v>
      </c>
      <c r="J1168" s="171" t="s">
        <v>15</v>
      </c>
      <c r="K1168" s="171" t="s">
        <v>76</v>
      </c>
      <c r="L1168" s="168" t="s">
        <v>77</v>
      </c>
    </row>
    <row r="1169" spans="1:12" x14ac:dyDescent="0.2">
      <c r="A1169" s="168" t="s">
        <v>74</v>
      </c>
      <c r="B1169" s="168" t="s">
        <v>75</v>
      </c>
      <c r="C1169" s="168" t="s">
        <v>19</v>
      </c>
      <c r="D1169" s="168" t="s">
        <v>12</v>
      </c>
      <c r="E1169" s="169">
        <v>42283</v>
      </c>
      <c r="F1169" s="170">
        <v>39.365800700000001</v>
      </c>
      <c r="G1169" s="171" t="s">
        <v>16</v>
      </c>
      <c r="H1169" s="168" t="s">
        <v>18</v>
      </c>
      <c r="I1169" s="171">
        <v>1</v>
      </c>
      <c r="J1169" s="171" t="s">
        <v>15</v>
      </c>
      <c r="K1169" s="171" t="s">
        <v>76</v>
      </c>
      <c r="L1169" s="168" t="s">
        <v>77</v>
      </c>
    </row>
    <row r="1170" spans="1:12" x14ac:dyDescent="0.2">
      <c r="A1170" s="168" t="s">
        <v>74</v>
      </c>
      <c r="B1170" s="168" t="s">
        <v>75</v>
      </c>
      <c r="C1170" s="168" t="s">
        <v>19</v>
      </c>
      <c r="D1170" s="168" t="s">
        <v>12</v>
      </c>
      <c r="E1170" s="169">
        <v>42276</v>
      </c>
      <c r="F1170" s="170">
        <v>3.24</v>
      </c>
      <c r="G1170" s="171" t="s">
        <v>13</v>
      </c>
      <c r="H1170" s="168" t="s">
        <v>14</v>
      </c>
      <c r="I1170" s="171">
        <v>1</v>
      </c>
      <c r="J1170" s="171" t="s">
        <v>15</v>
      </c>
      <c r="K1170" s="171" t="s">
        <v>76</v>
      </c>
      <c r="L1170" s="168" t="s">
        <v>77</v>
      </c>
    </row>
    <row r="1171" spans="1:12" x14ac:dyDescent="0.2">
      <c r="A1171" s="168" t="s">
        <v>74</v>
      </c>
      <c r="B1171" s="168" t="s">
        <v>75</v>
      </c>
      <c r="C1171" s="168" t="s">
        <v>19</v>
      </c>
      <c r="D1171" s="168" t="s">
        <v>12</v>
      </c>
      <c r="E1171" s="169">
        <v>42276</v>
      </c>
      <c r="F1171" s="170">
        <v>32.696136000000003</v>
      </c>
      <c r="G1171" s="171" t="s">
        <v>16</v>
      </c>
      <c r="H1171" s="168" t="s">
        <v>14</v>
      </c>
      <c r="I1171" s="171">
        <v>1</v>
      </c>
      <c r="J1171" s="171" t="s">
        <v>15</v>
      </c>
      <c r="K1171" s="171" t="s">
        <v>76</v>
      </c>
      <c r="L1171" s="168" t="s">
        <v>77</v>
      </c>
    </row>
    <row r="1172" spans="1:12" x14ac:dyDescent="0.2">
      <c r="A1172" s="168" t="s">
        <v>74</v>
      </c>
      <c r="B1172" s="168" t="s">
        <v>75</v>
      </c>
      <c r="C1172" s="168" t="s">
        <v>19</v>
      </c>
      <c r="D1172" s="168" t="s">
        <v>12</v>
      </c>
      <c r="E1172" s="169">
        <v>42276</v>
      </c>
      <c r="F1172" s="170">
        <v>3.13</v>
      </c>
      <c r="G1172" s="171" t="s">
        <v>13</v>
      </c>
      <c r="H1172" s="168" t="s">
        <v>18</v>
      </c>
      <c r="I1172" s="171">
        <v>1</v>
      </c>
      <c r="J1172" s="171" t="s">
        <v>15</v>
      </c>
      <c r="K1172" s="171" t="s">
        <v>76</v>
      </c>
      <c r="L1172" s="168" t="s">
        <v>77</v>
      </c>
    </row>
    <row r="1173" spans="1:12" x14ac:dyDescent="0.2">
      <c r="A1173" s="168" t="s">
        <v>74</v>
      </c>
      <c r="B1173" s="168" t="s">
        <v>75</v>
      </c>
      <c r="C1173" s="168" t="s">
        <v>19</v>
      </c>
      <c r="D1173" s="168" t="s">
        <v>12</v>
      </c>
      <c r="E1173" s="169">
        <v>42276</v>
      </c>
      <c r="F1173" s="170">
        <v>31.5860819</v>
      </c>
      <c r="G1173" s="171" t="s">
        <v>16</v>
      </c>
      <c r="H1173" s="168" t="s">
        <v>18</v>
      </c>
      <c r="I1173" s="171">
        <v>1</v>
      </c>
      <c r="J1173" s="171" t="s">
        <v>15</v>
      </c>
      <c r="K1173" s="171" t="s">
        <v>76</v>
      </c>
      <c r="L1173" s="168" t="s">
        <v>77</v>
      </c>
    </row>
    <row r="1174" spans="1:12" x14ac:dyDescent="0.2">
      <c r="A1174" s="168" t="s">
        <v>74</v>
      </c>
      <c r="B1174" s="168" t="s">
        <v>75</v>
      </c>
      <c r="C1174" s="168" t="s">
        <v>19</v>
      </c>
      <c r="D1174" s="168" t="s">
        <v>12</v>
      </c>
      <c r="E1174" s="169">
        <v>42269</v>
      </c>
      <c r="F1174" s="170">
        <v>5.14</v>
      </c>
      <c r="G1174" s="171" t="s">
        <v>13</v>
      </c>
      <c r="H1174" s="168" t="s">
        <v>14</v>
      </c>
      <c r="I1174" s="171">
        <v>1</v>
      </c>
      <c r="J1174" s="171" t="s">
        <v>15</v>
      </c>
      <c r="K1174" s="171" t="s">
        <v>76</v>
      </c>
      <c r="L1174" s="168" t="s">
        <v>77</v>
      </c>
    </row>
    <row r="1175" spans="1:12" x14ac:dyDescent="0.2">
      <c r="A1175" s="168" t="s">
        <v>74</v>
      </c>
      <c r="B1175" s="168" t="s">
        <v>75</v>
      </c>
      <c r="C1175" s="168" t="s">
        <v>19</v>
      </c>
      <c r="D1175" s="168" t="s">
        <v>12</v>
      </c>
      <c r="E1175" s="169">
        <v>42269</v>
      </c>
      <c r="F1175" s="170">
        <v>54.956263200000002</v>
      </c>
      <c r="G1175" s="171" t="s">
        <v>16</v>
      </c>
      <c r="H1175" s="168" t="s">
        <v>14</v>
      </c>
      <c r="I1175" s="171">
        <v>1</v>
      </c>
      <c r="J1175" s="171" t="s">
        <v>15</v>
      </c>
      <c r="K1175" s="171" t="s">
        <v>76</v>
      </c>
      <c r="L1175" s="168" t="s">
        <v>77</v>
      </c>
    </row>
    <row r="1176" spans="1:12" x14ac:dyDescent="0.2">
      <c r="A1176" s="168" t="s">
        <v>74</v>
      </c>
      <c r="B1176" s="168" t="s">
        <v>75</v>
      </c>
      <c r="C1176" s="168" t="s">
        <v>19</v>
      </c>
      <c r="D1176" s="168" t="s">
        <v>12</v>
      </c>
      <c r="E1176" s="169">
        <v>42269</v>
      </c>
      <c r="F1176" s="170">
        <v>4.3</v>
      </c>
      <c r="G1176" s="171" t="s">
        <v>13</v>
      </c>
      <c r="H1176" s="168" t="s">
        <v>18</v>
      </c>
      <c r="I1176" s="171">
        <v>1</v>
      </c>
      <c r="J1176" s="171" t="s">
        <v>15</v>
      </c>
      <c r="K1176" s="171" t="s">
        <v>76</v>
      </c>
      <c r="L1176" s="168" t="s">
        <v>77</v>
      </c>
    </row>
    <row r="1177" spans="1:12" x14ac:dyDescent="0.2">
      <c r="A1177" s="168" t="s">
        <v>74</v>
      </c>
      <c r="B1177" s="168" t="s">
        <v>75</v>
      </c>
      <c r="C1177" s="168" t="s">
        <v>19</v>
      </c>
      <c r="D1177" s="168" t="s">
        <v>12</v>
      </c>
      <c r="E1177" s="169">
        <v>42269</v>
      </c>
      <c r="F1177" s="170">
        <v>45.975083900000001</v>
      </c>
      <c r="G1177" s="171" t="s">
        <v>16</v>
      </c>
      <c r="H1177" s="168" t="s">
        <v>18</v>
      </c>
      <c r="I1177" s="171">
        <v>1</v>
      </c>
      <c r="J1177" s="171" t="s">
        <v>15</v>
      </c>
      <c r="K1177" s="171" t="s">
        <v>76</v>
      </c>
      <c r="L1177" s="168" t="s">
        <v>77</v>
      </c>
    </row>
    <row r="1178" spans="1:12" x14ac:dyDescent="0.2">
      <c r="A1178" s="168" t="s">
        <v>74</v>
      </c>
      <c r="B1178" s="168" t="s">
        <v>75</v>
      </c>
      <c r="C1178" s="168" t="s">
        <v>19</v>
      </c>
      <c r="D1178" s="168" t="s">
        <v>12</v>
      </c>
      <c r="E1178" s="169">
        <v>42262</v>
      </c>
      <c r="F1178" s="170">
        <v>4.5</v>
      </c>
      <c r="G1178" s="171" t="s">
        <v>13</v>
      </c>
      <c r="H1178" s="168" t="s">
        <v>14</v>
      </c>
      <c r="I1178" s="171">
        <v>1</v>
      </c>
      <c r="J1178" s="171" t="s">
        <v>15</v>
      </c>
      <c r="K1178" s="171" t="s">
        <v>76</v>
      </c>
      <c r="L1178" s="168" t="s">
        <v>77</v>
      </c>
    </row>
    <row r="1179" spans="1:12" x14ac:dyDescent="0.2">
      <c r="A1179" s="168" t="s">
        <v>74</v>
      </c>
      <c r="B1179" s="168" t="s">
        <v>75</v>
      </c>
      <c r="C1179" s="168" t="s">
        <v>19</v>
      </c>
      <c r="D1179" s="168" t="s">
        <v>12</v>
      </c>
      <c r="E1179" s="169">
        <v>42262</v>
      </c>
      <c r="F1179" s="170">
        <v>50.44032</v>
      </c>
      <c r="G1179" s="171" t="s">
        <v>16</v>
      </c>
      <c r="H1179" s="168" t="s">
        <v>14</v>
      </c>
      <c r="I1179" s="171">
        <v>1</v>
      </c>
      <c r="J1179" s="171" t="s">
        <v>15</v>
      </c>
      <c r="K1179" s="171" t="s">
        <v>76</v>
      </c>
      <c r="L1179" s="168" t="s">
        <v>77</v>
      </c>
    </row>
    <row r="1180" spans="1:12" x14ac:dyDescent="0.2">
      <c r="A1180" s="168" t="s">
        <v>74</v>
      </c>
      <c r="B1180" s="168" t="s">
        <v>75</v>
      </c>
      <c r="C1180" s="168" t="s">
        <v>19</v>
      </c>
      <c r="D1180" s="168" t="s">
        <v>12</v>
      </c>
      <c r="E1180" s="169">
        <v>42262</v>
      </c>
      <c r="F1180" s="170">
        <v>2.12</v>
      </c>
      <c r="G1180" s="171" t="s">
        <v>13</v>
      </c>
      <c r="H1180" s="168" t="s">
        <v>18</v>
      </c>
      <c r="I1180" s="171">
        <v>1</v>
      </c>
      <c r="J1180" s="171" t="s">
        <v>15</v>
      </c>
      <c r="K1180" s="171" t="s">
        <v>76</v>
      </c>
      <c r="L1180" s="168" t="s">
        <v>77</v>
      </c>
    </row>
    <row r="1181" spans="1:12" x14ac:dyDescent="0.2">
      <c r="A1181" s="168" t="s">
        <v>74</v>
      </c>
      <c r="B1181" s="168" t="s">
        <v>75</v>
      </c>
      <c r="C1181" s="168" t="s">
        <v>19</v>
      </c>
      <c r="D1181" s="168" t="s">
        <v>12</v>
      </c>
      <c r="E1181" s="169">
        <v>42262</v>
      </c>
      <c r="F1181" s="170">
        <v>23.762995199999999</v>
      </c>
      <c r="G1181" s="171" t="s">
        <v>16</v>
      </c>
      <c r="H1181" s="168" t="s">
        <v>18</v>
      </c>
      <c r="I1181" s="171">
        <v>1</v>
      </c>
      <c r="J1181" s="171" t="s">
        <v>15</v>
      </c>
      <c r="K1181" s="171" t="s">
        <v>76</v>
      </c>
      <c r="L1181" s="168" t="s">
        <v>77</v>
      </c>
    </row>
    <row r="1182" spans="1:12" x14ac:dyDescent="0.2">
      <c r="A1182" s="168" t="s">
        <v>74</v>
      </c>
      <c r="B1182" s="168" t="s">
        <v>75</v>
      </c>
      <c r="C1182" s="168" t="s">
        <v>19</v>
      </c>
      <c r="D1182" s="168" t="s">
        <v>12</v>
      </c>
      <c r="E1182" s="169">
        <v>42255</v>
      </c>
      <c r="F1182" s="170">
        <v>3.1</v>
      </c>
      <c r="G1182" s="171" t="s">
        <v>13</v>
      </c>
      <c r="H1182" s="168" t="s">
        <v>14</v>
      </c>
      <c r="I1182" s="171">
        <v>1</v>
      </c>
      <c r="J1182" s="171" t="s">
        <v>15</v>
      </c>
      <c r="K1182" s="171" t="s">
        <v>76</v>
      </c>
      <c r="L1182" s="168" t="s">
        <v>77</v>
      </c>
    </row>
    <row r="1183" spans="1:12" x14ac:dyDescent="0.2">
      <c r="A1183" s="168" t="s">
        <v>74</v>
      </c>
      <c r="B1183" s="168" t="s">
        <v>75</v>
      </c>
      <c r="C1183" s="168" t="s">
        <v>19</v>
      </c>
      <c r="D1183" s="168" t="s">
        <v>12</v>
      </c>
      <c r="E1183" s="169">
        <v>42255</v>
      </c>
      <c r="F1183" s="170">
        <v>43.046909999999997</v>
      </c>
      <c r="G1183" s="171" t="s">
        <v>16</v>
      </c>
      <c r="H1183" s="168" t="s">
        <v>14</v>
      </c>
      <c r="I1183" s="171">
        <v>1</v>
      </c>
      <c r="J1183" s="171" t="s">
        <v>15</v>
      </c>
      <c r="K1183" s="171" t="s">
        <v>76</v>
      </c>
      <c r="L1183" s="168" t="s">
        <v>77</v>
      </c>
    </row>
    <row r="1184" spans="1:12" x14ac:dyDescent="0.2">
      <c r="A1184" s="168" t="s">
        <v>74</v>
      </c>
      <c r="B1184" s="168" t="s">
        <v>75</v>
      </c>
      <c r="C1184" s="168" t="s">
        <v>19</v>
      </c>
      <c r="D1184" s="168" t="s">
        <v>12</v>
      </c>
      <c r="E1184" s="169">
        <v>42255</v>
      </c>
      <c r="F1184" s="170">
        <v>2.0299999999999998</v>
      </c>
      <c r="G1184" s="171" t="s">
        <v>13</v>
      </c>
      <c r="H1184" s="168" t="s">
        <v>18</v>
      </c>
      <c r="I1184" s="171">
        <v>1</v>
      </c>
      <c r="J1184" s="171" t="s">
        <v>15</v>
      </c>
      <c r="K1184" s="171" t="s">
        <v>76</v>
      </c>
      <c r="L1184" s="168" t="s">
        <v>77</v>
      </c>
    </row>
    <row r="1185" spans="1:12" x14ac:dyDescent="0.2">
      <c r="A1185" s="168" t="s">
        <v>74</v>
      </c>
      <c r="B1185" s="168" t="s">
        <v>75</v>
      </c>
      <c r="C1185" s="168" t="s">
        <v>19</v>
      </c>
      <c r="D1185" s="168" t="s">
        <v>12</v>
      </c>
      <c r="E1185" s="169">
        <v>42255</v>
      </c>
      <c r="F1185" s="170">
        <v>28.1887829</v>
      </c>
      <c r="G1185" s="171" t="s">
        <v>16</v>
      </c>
      <c r="H1185" s="168" t="s">
        <v>18</v>
      </c>
      <c r="I1185" s="171">
        <v>1</v>
      </c>
      <c r="J1185" s="171" t="s">
        <v>15</v>
      </c>
      <c r="K1185" s="171" t="s">
        <v>76</v>
      </c>
      <c r="L1185" s="168" t="s">
        <v>77</v>
      </c>
    </row>
    <row r="1186" spans="1:12" x14ac:dyDescent="0.2">
      <c r="A1186" s="168" t="s">
        <v>74</v>
      </c>
      <c r="B1186" s="168" t="s">
        <v>75</v>
      </c>
      <c r="C1186" s="168" t="s">
        <v>19</v>
      </c>
      <c r="D1186" s="168" t="s">
        <v>12</v>
      </c>
      <c r="E1186" s="169">
        <v>42248</v>
      </c>
      <c r="F1186" s="170">
        <v>1.97</v>
      </c>
      <c r="G1186" s="171" t="s">
        <v>13</v>
      </c>
      <c r="H1186" s="168" t="s">
        <v>14</v>
      </c>
      <c r="I1186" s="171">
        <v>1</v>
      </c>
      <c r="J1186" s="171" t="s">
        <v>15</v>
      </c>
      <c r="K1186" s="171" t="s">
        <v>76</v>
      </c>
      <c r="L1186" s="168" t="s">
        <v>77</v>
      </c>
    </row>
    <row r="1187" spans="1:12" x14ac:dyDescent="0.2">
      <c r="A1187" s="168" t="s">
        <v>74</v>
      </c>
      <c r="B1187" s="168" t="s">
        <v>75</v>
      </c>
      <c r="C1187" s="168" t="s">
        <v>19</v>
      </c>
      <c r="D1187" s="168" t="s">
        <v>12</v>
      </c>
      <c r="E1187" s="169">
        <v>42248</v>
      </c>
      <c r="F1187" s="170">
        <v>23.313886199999999</v>
      </c>
      <c r="G1187" s="171" t="s">
        <v>16</v>
      </c>
      <c r="H1187" s="168" t="s">
        <v>14</v>
      </c>
      <c r="I1187" s="171">
        <v>1</v>
      </c>
      <c r="J1187" s="171" t="s">
        <v>15</v>
      </c>
      <c r="K1187" s="171" t="s">
        <v>76</v>
      </c>
      <c r="L1187" s="168" t="s">
        <v>77</v>
      </c>
    </row>
    <row r="1188" spans="1:12" x14ac:dyDescent="0.2">
      <c r="A1188" s="168" t="s">
        <v>74</v>
      </c>
      <c r="B1188" s="168" t="s">
        <v>75</v>
      </c>
      <c r="C1188" s="168" t="s">
        <v>19</v>
      </c>
      <c r="D1188" s="168" t="s">
        <v>12</v>
      </c>
      <c r="E1188" s="169">
        <v>42248</v>
      </c>
      <c r="F1188" s="170">
        <v>3.18</v>
      </c>
      <c r="G1188" s="171" t="s">
        <v>13</v>
      </c>
      <c r="H1188" s="168" t="s">
        <v>18</v>
      </c>
      <c r="I1188" s="171">
        <v>1</v>
      </c>
      <c r="J1188" s="171" t="s">
        <v>15</v>
      </c>
      <c r="K1188" s="171" t="s">
        <v>76</v>
      </c>
      <c r="L1188" s="168" t="s">
        <v>77</v>
      </c>
    </row>
    <row r="1189" spans="1:12" x14ac:dyDescent="0.2">
      <c r="A1189" s="168" t="s">
        <v>74</v>
      </c>
      <c r="B1189" s="168" t="s">
        <v>75</v>
      </c>
      <c r="C1189" s="168" t="s">
        <v>19</v>
      </c>
      <c r="D1189" s="168" t="s">
        <v>12</v>
      </c>
      <c r="E1189" s="169">
        <v>42248</v>
      </c>
      <c r="F1189" s="170">
        <v>37.633582799999999</v>
      </c>
      <c r="G1189" s="171" t="s">
        <v>16</v>
      </c>
      <c r="H1189" s="168" t="s">
        <v>18</v>
      </c>
      <c r="I1189" s="171">
        <v>1</v>
      </c>
      <c r="J1189" s="171" t="s">
        <v>15</v>
      </c>
      <c r="K1189" s="171" t="s">
        <v>76</v>
      </c>
      <c r="L1189" s="168" t="s">
        <v>77</v>
      </c>
    </row>
    <row r="1190" spans="1:12" x14ac:dyDescent="0.2">
      <c r="A1190" s="168" t="s">
        <v>74</v>
      </c>
      <c r="B1190" s="168" t="s">
        <v>75</v>
      </c>
      <c r="C1190" s="168" t="s">
        <v>19</v>
      </c>
      <c r="D1190" s="168" t="s">
        <v>12</v>
      </c>
      <c r="E1190" s="169">
        <v>42241</v>
      </c>
      <c r="F1190" s="170">
        <v>3.21</v>
      </c>
      <c r="G1190" s="171" t="s">
        <v>13</v>
      </c>
      <c r="H1190" s="168" t="s">
        <v>14</v>
      </c>
      <c r="I1190" s="171">
        <v>1</v>
      </c>
      <c r="J1190" s="171" t="s">
        <v>15</v>
      </c>
      <c r="K1190" s="171" t="s">
        <v>76</v>
      </c>
      <c r="L1190" s="168" t="s">
        <v>77</v>
      </c>
    </row>
    <row r="1191" spans="1:12" x14ac:dyDescent="0.2">
      <c r="A1191" s="168" t="s">
        <v>74</v>
      </c>
      <c r="B1191" s="168" t="s">
        <v>75</v>
      </c>
      <c r="C1191" s="168" t="s">
        <v>19</v>
      </c>
      <c r="D1191" s="168" t="s">
        <v>12</v>
      </c>
      <c r="E1191" s="169">
        <v>42241</v>
      </c>
      <c r="F1191" s="170">
        <v>32.955593399999998</v>
      </c>
      <c r="G1191" s="171" t="s">
        <v>16</v>
      </c>
      <c r="H1191" s="168" t="s">
        <v>14</v>
      </c>
      <c r="I1191" s="171">
        <v>1</v>
      </c>
      <c r="J1191" s="171" t="s">
        <v>15</v>
      </c>
      <c r="K1191" s="171" t="s">
        <v>76</v>
      </c>
      <c r="L1191" s="168" t="s">
        <v>77</v>
      </c>
    </row>
    <row r="1192" spans="1:12" x14ac:dyDescent="0.2">
      <c r="A1192" s="168" t="s">
        <v>74</v>
      </c>
      <c r="B1192" s="168" t="s">
        <v>75</v>
      </c>
      <c r="C1192" s="168" t="s">
        <v>19</v>
      </c>
      <c r="D1192" s="168" t="s">
        <v>12</v>
      </c>
      <c r="E1192" s="169">
        <v>42241</v>
      </c>
      <c r="F1192" s="170">
        <v>2.54</v>
      </c>
      <c r="G1192" s="171" t="s">
        <v>13</v>
      </c>
      <c r="H1192" s="168" t="s">
        <v>18</v>
      </c>
      <c r="I1192" s="171">
        <v>1</v>
      </c>
      <c r="J1192" s="171" t="s">
        <v>15</v>
      </c>
      <c r="K1192" s="171" t="s">
        <v>76</v>
      </c>
      <c r="L1192" s="168" t="s">
        <v>77</v>
      </c>
    </row>
    <row r="1193" spans="1:12" x14ac:dyDescent="0.2">
      <c r="A1193" s="168" t="s">
        <v>74</v>
      </c>
      <c r="B1193" s="168" t="s">
        <v>75</v>
      </c>
      <c r="C1193" s="168" t="s">
        <v>19</v>
      </c>
      <c r="D1193" s="168" t="s">
        <v>12</v>
      </c>
      <c r="E1193" s="169">
        <v>42241</v>
      </c>
      <c r="F1193" s="170">
        <v>26.077011599999999</v>
      </c>
      <c r="G1193" s="171" t="s">
        <v>16</v>
      </c>
      <c r="H1193" s="168" t="s">
        <v>18</v>
      </c>
      <c r="I1193" s="171">
        <v>1</v>
      </c>
      <c r="J1193" s="171" t="s">
        <v>15</v>
      </c>
      <c r="K1193" s="171" t="s">
        <v>76</v>
      </c>
      <c r="L1193" s="168" t="s">
        <v>77</v>
      </c>
    </row>
    <row r="1194" spans="1:12" x14ac:dyDescent="0.2">
      <c r="A1194" s="168" t="s">
        <v>74</v>
      </c>
      <c r="B1194" s="168" t="s">
        <v>75</v>
      </c>
      <c r="C1194" s="168" t="s">
        <v>19</v>
      </c>
      <c r="D1194" s="168" t="s">
        <v>12</v>
      </c>
      <c r="E1194" s="169">
        <v>42234</v>
      </c>
      <c r="F1194" s="170">
        <v>3.74</v>
      </c>
      <c r="G1194" s="171" t="s">
        <v>13</v>
      </c>
      <c r="H1194" s="168" t="s">
        <v>14</v>
      </c>
      <c r="I1194" s="171">
        <v>1</v>
      </c>
      <c r="J1194" s="171" t="s">
        <v>15</v>
      </c>
      <c r="K1194" s="171" t="s">
        <v>76</v>
      </c>
      <c r="L1194" s="168" t="s">
        <v>77</v>
      </c>
    </row>
    <row r="1195" spans="1:12" x14ac:dyDescent="0.2">
      <c r="A1195" s="168" t="s">
        <v>74</v>
      </c>
      <c r="B1195" s="168" t="s">
        <v>75</v>
      </c>
      <c r="C1195" s="168" t="s">
        <v>19</v>
      </c>
      <c r="D1195" s="168" t="s">
        <v>12</v>
      </c>
      <c r="E1195" s="169">
        <v>42234</v>
      </c>
      <c r="F1195" s="170">
        <v>52.121163600000003</v>
      </c>
      <c r="G1195" s="171" t="s">
        <v>16</v>
      </c>
      <c r="H1195" s="168" t="s">
        <v>14</v>
      </c>
      <c r="I1195" s="171">
        <v>1</v>
      </c>
      <c r="J1195" s="171" t="s">
        <v>15</v>
      </c>
      <c r="K1195" s="171" t="s">
        <v>76</v>
      </c>
      <c r="L1195" s="168" t="s">
        <v>77</v>
      </c>
    </row>
    <row r="1196" spans="1:12" x14ac:dyDescent="0.2">
      <c r="A1196" s="168" t="s">
        <v>74</v>
      </c>
      <c r="B1196" s="168" t="s">
        <v>75</v>
      </c>
      <c r="C1196" s="168" t="s">
        <v>19</v>
      </c>
      <c r="D1196" s="168" t="s">
        <v>12</v>
      </c>
      <c r="E1196" s="169">
        <v>42234</v>
      </c>
      <c r="F1196" s="170">
        <v>2.5</v>
      </c>
      <c r="G1196" s="171" t="s">
        <v>13</v>
      </c>
      <c r="H1196" s="168" t="s">
        <v>18</v>
      </c>
      <c r="I1196" s="171">
        <v>1</v>
      </c>
      <c r="J1196" s="171" t="s">
        <v>15</v>
      </c>
      <c r="K1196" s="171" t="s">
        <v>76</v>
      </c>
      <c r="L1196" s="168" t="s">
        <v>77</v>
      </c>
    </row>
    <row r="1197" spans="1:12" x14ac:dyDescent="0.2">
      <c r="A1197" s="168" t="s">
        <v>74</v>
      </c>
      <c r="B1197" s="168" t="s">
        <v>75</v>
      </c>
      <c r="C1197" s="168" t="s">
        <v>19</v>
      </c>
      <c r="D1197" s="168" t="s">
        <v>12</v>
      </c>
      <c r="E1197" s="169">
        <v>42234</v>
      </c>
      <c r="F1197" s="170">
        <v>34.840350000000001</v>
      </c>
      <c r="G1197" s="171" t="s">
        <v>16</v>
      </c>
      <c r="H1197" s="168" t="s">
        <v>18</v>
      </c>
      <c r="I1197" s="171">
        <v>1</v>
      </c>
      <c r="J1197" s="171" t="s">
        <v>15</v>
      </c>
      <c r="K1197" s="171" t="s">
        <v>76</v>
      </c>
      <c r="L1197" s="168" t="s">
        <v>77</v>
      </c>
    </row>
    <row r="1198" spans="1:12" x14ac:dyDescent="0.2">
      <c r="A1198" s="168" t="s">
        <v>74</v>
      </c>
      <c r="B1198" s="168" t="s">
        <v>75</v>
      </c>
      <c r="C1198" s="168" t="s">
        <v>19</v>
      </c>
      <c r="D1198" s="168" t="s">
        <v>12</v>
      </c>
      <c r="E1198" s="169">
        <v>42227</v>
      </c>
      <c r="F1198" s="170">
        <v>5.22</v>
      </c>
      <c r="G1198" s="171" t="s">
        <v>13</v>
      </c>
      <c r="H1198" s="168" t="s">
        <v>14</v>
      </c>
      <c r="I1198" s="171">
        <v>1</v>
      </c>
      <c r="J1198" s="171" t="s">
        <v>15</v>
      </c>
      <c r="K1198" s="171" t="s">
        <v>76</v>
      </c>
      <c r="L1198" s="168" t="s">
        <v>77</v>
      </c>
    </row>
    <row r="1199" spans="1:12" x14ac:dyDescent="0.2">
      <c r="A1199" s="168" t="s">
        <v>74</v>
      </c>
      <c r="B1199" s="168" t="s">
        <v>75</v>
      </c>
      <c r="C1199" s="168" t="s">
        <v>19</v>
      </c>
      <c r="D1199" s="168" t="s">
        <v>12</v>
      </c>
      <c r="E1199" s="169">
        <v>42227</v>
      </c>
      <c r="F1199" s="170">
        <v>45.755074700000002</v>
      </c>
      <c r="G1199" s="171" t="s">
        <v>16</v>
      </c>
      <c r="H1199" s="168" t="s">
        <v>14</v>
      </c>
      <c r="I1199" s="171">
        <v>1</v>
      </c>
      <c r="J1199" s="171" t="s">
        <v>15</v>
      </c>
      <c r="K1199" s="171" t="s">
        <v>76</v>
      </c>
      <c r="L1199" s="168" t="s">
        <v>77</v>
      </c>
    </row>
    <row r="1200" spans="1:12" x14ac:dyDescent="0.2">
      <c r="A1200" s="168" t="s">
        <v>74</v>
      </c>
      <c r="B1200" s="168" t="s">
        <v>75</v>
      </c>
      <c r="C1200" s="168" t="s">
        <v>19</v>
      </c>
      <c r="D1200" s="168" t="s">
        <v>12</v>
      </c>
      <c r="E1200" s="169">
        <v>42227</v>
      </c>
      <c r="F1200" s="170">
        <v>3.01</v>
      </c>
      <c r="G1200" s="171" t="s">
        <v>13</v>
      </c>
      <c r="H1200" s="168" t="s">
        <v>18</v>
      </c>
      <c r="I1200" s="171">
        <v>1</v>
      </c>
      <c r="J1200" s="171" t="s">
        <v>15</v>
      </c>
      <c r="K1200" s="171" t="s">
        <v>76</v>
      </c>
      <c r="L1200" s="168" t="s">
        <v>77</v>
      </c>
    </row>
    <row r="1201" spans="1:12" x14ac:dyDescent="0.2">
      <c r="A1201" s="168" t="s">
        <v>74</v>
      </c>
      <c r="B1201" s="168" t="s">
        <v>75</v>
      </c>
      <c r="C1201" s="168" t="s">
        <v>19</v>
      </c>
      <c r="D1201" s="168" t="s">
        <v>12</v>
      </c>
      <c r="E1201" s="169">
        <v>42227</v>
      </c>
      <c r="F1201" s="170">
        <v>26.383673300000002</v>
      </c>
      <c r="G1201" s="171" t="s">
        <v>16</v>
      </c>
      <c r="H1201" s="168" t="s">
        <v>18</v>
      </c>
      <c r="I1201" s="171">
        <v>1</v>
      </c>
      <c r="J1201" s="171" t="s">
        <v>15</v>
      </c>
      <c r="K1201" s="171" t="s">
        <v>76</v>
      </c>
      <c r="L1201" s="168" t="s">
        <v>77</v>
      </c>
    </row>
    <row r="1202" spans="1:12" x14ac:dyDescent="0.2">
      <c r="A1202" s="168" t="s">
        <v>74</v>
      </c>
      <c r="B1202" s="168" t="s">
        <v>75</v>
      </c>
      <c r="C1202" s="168" t="s">
        <v>19</v>
      </c>
      <c r="D1202" s="168" t="s">
        <v>12</v>
      </c>
      <c r="E1202" s="169">
        <v>42220</v>
      </c>
      <c r="F1202" s="170">
        <v>4.16</v>
      </c>
      <c r="G1202" s="171" t="s">
        <v>13</v>
      </c>
      <c r="H1202" s="168" t="s">
        <v>14</v>
      </c>
      <c r="I1202" s="171">
        <v>1</v>
      </c>
      <c r="J1202" s="171" t="s">
        <v>15</v>
      </c>
      <c r="K1202" s="171" t="s">
        <v>76</v>
      </c>
      <c r="L1202" s="168" t="s">
        <v>77</v>
      </c>
    </row>
    <row r="1203" spans="1:12" x14ac:dyDescent="0.2">
      <c r="A1203" s="168" t="s">
        <v>74</v>
      </c>
      <c r="B1203" s="168" t="s">
        <v>75</v>
      </c>
      <c r="C1203" s="168" t="s">
        <v>19</v>
      </c>
      <c r="D1203" s="168" t="s">
        <v>12</v>
      </c>
      <c r="E1203" s="169">
        <v>42220</v>
      </c>
      <c r="F1203" s="170">
        <v>26.922854399999999</v>
      </c>
      <c r="G1203" s="171" t="s">
        <v>16</v>
      </c>
      <c r="H1203" s="168" t="s">
        <v>14</v>
      </c>
      <c r="I1203" s="171">
        <v>1</v>
      </c>
      <c r="J1203" s="171" t="s">
        <v>15</v>
      </c>
      <c r="K1203" s="171" t="s">
        <v>76</v>
      </c>
      <c r="L1203" s="168" t="s">
        <v>77</v>
      </c>
    </row>
    <row r="1204" spans="1:12" x14ac:dyDescent="0.2">
      <c r="A1204" s="168" t="s">
        <v>74</v>
      </c>
      <c r="B1204" s="168" t="s">
        <v>75</v>
      </c>
      <c r="C1204" s="168" t="s">
        <v>19</v>
      </c>
      <c r="D1204" s="168" t="s">
        <v>12</v>
      </c>
      <c r="E1204" s="169">
        <v>42220</v>
      </c>
      <c r="F1204" s="170">
        <v>2.96</v>
      </c>
      <c r="G1204" s="171" t="s">
        <v>13</v>
      </c>
      <c r="H1204" s="168" t="s">
        <v>18</v>
      </c>
      <c r="I1204" s="171">
        <v>1</v>
      </c>
      <c r="J1204" s="171" t="s">
        <v>15</v>
      </c>
      <c r="K1204" s="171" t="s">
        <v>76</v>
      </c>
      <c r="L1204" s="168" t="s">
        <v>77</v>
      </c>
    </row>
    <row r="1205" spans="1:12" x14ac:dyDescent="0.2">
      <c r="A1205" s="168" t="s">
        <v>74</v>
      </c>
      <c r="B1205" s="168" t="s">
        <v>75</v>
      </c>
      <c r="C1205" s="168" t="s">
        <v>19</v>
      </c>
      <c r="D1205" s="168" t="s">
        <v>12</v>
      </c>
      <c r="E1205" s="169">
        <v>42220</v>
      </c>
      <c r="F1205" s="170">
        <v>19.1566464</v>
      </c>
      <c r="G1205" s="171" t="s">
        <v>16</v>
      </c>
      <c r="H1205" s="168" t="s">
        <v>18</v>
      </c>
      <c r="I1205" s="171">
        <v>1</v>
      </c>
      <c r="J1205" s="171" t="s">
        <v>15</v>
      </c>
      <c r="K1205" s="171" t="s">
        <v>76</v>
      </c>
      <c r="L1205" s="168" t="s">
        <v>77</v>
      </c>
    </row>
    <row r="1206" spans="1:12" x14ac:dyDescent="0.2">
      <c r="A1206" s="168" t="s">
        <v>74</v>
      </c>
      <c r="B1206" s="168" t="s">
        <v>75</v>
      </c>
      <c r="C1206" s="168" t="s">
        <v>19</v>
      </c>
      <c r="D1206" s="168" t="s">
        <v>12</v>
      </c>
      <c r="E1206" s="169">
        <v>42213</v>
      </c>
      <c r="F1206" s="170">
        <v>1.94</v>
      </c>
      <c r="G1206" s="171" t="s">
        <v>13</v>
      </c>
      <c r="H1206" s="168" t="s">
        <v>14</v>
      </c>
      <c r="I1206" s="171">
        <v>1</v>
      </c>
      <c r="J1206" s="171" t="s">
        <v>15</v>
      </c>
      <c r="K1206" s="171" t="s">
        <v>76</v>
      </c>
      <c r="L1206" s="168" t="s">
        <v>77</v>
      </c>
    </row>
    <row r="1207" spans="1:12" x14ac:dyDescent="0.2">
      <c r="A1207" s="168" t="s">
        <v>74</v>
      </c>
      <c r="B1207" s="168" t="s">
        <v>75</v>
      </c>
      <c r="C1207" s="168" t="s">
        <v>19</v>
      </c>
      <c r="D1207" s="168" t="s">
        <v>12</v>
      </c>
      <c r="E1207" s="169">
        <v>42213</v>
      </c>
      <c r="F1207" s="170">
        <v>15.2573627</v>
      </c>
      <c r="G1207" s="171" t="s">
        <v>16</v>
      </c>
      <c r="H1207" s="168" t="s">
        <v>14</v>
      </c>
      <c r="I1207" s="171">
        <v>1</v>
      </c>
      <c r="J1207" s="171" t="s">
        <v>15</v>
      </c>
      <c r="K1207" s="171" t="s">
        <v>76</v>
      </c>
      <c r="L1207" s="168" t="s">
        <v>77</v>
      </c>
    </row>
    <row r="1208" spans="1:12" x14ac:dyDescent="0.2">
      <c r="A1208" s="168" t="s">
        <v>74</v>
      </c>
      <c r="B1208" s="168" t="s">
        <v>75</v>
      </c>
      <c r="C1208" s="168" t="s">
        <v>19</v>
      </c>
      <c r="D1208" s="168" t="s">
        <v>12</v>
      </c>
      <c r="E1208" s="169">
        <v>42213</v>
      </c>
      <c r="F1208" s="170">
        <v>1.78</v>
      </c>
      <c r="G1208" s="171" t="s">
        <v>13</v>
      </c>
      <c r="H1208" s="168" t="s">
        <v>18</v>
      </c>
      <c r="I1208" s="171">
        <v>1</v>
      </c>
      <c r="J1208" s="171" t="s">
        <v>15</v>
      </c>
      <c r="K1208" s="171" t="s">
        <v>76</v>
      </c>
      <c r="L1208" s="168" t="s">
        <v>77</v>
      </c>
    </row>
    <row r="1209" spans="1:12" x14ac:dyDescent="0.2">
      <c r="A1209" s="168" t="s">
        <v>74</v>
      </c>
      <c r="B1209" s="168" t="s">
        <v>75</v>
      </c>
      <c r="C1209" s="168" t="s">
        <v>19</v>
      </c>
      <c r="D1209" s="168" t="s">
        <v>12</v>
      </c>
      <c r="E1209" s="169">
        <v>42213</v>
      </c>
      <c r="F1209" s="170">
        <v>13.999023599999999</v>
      </c>
      <c r="G1209" s="171" t="s">
        <v>16</v>
      </c>
      <c r="H1209" s="168" t="s">
        <v>18</v>
      </c>
      <c r="I1209" s="171">
        <v>1</v>
      </c>
      <c r="J1209" s="171" t="s">
        <v>15</v>
      </c>
      <c r="K1209" s="171" t="s">
        <v>76</v>
      </c>
      <c r="L1209" s="168" t="s">
        <v>77</v>
      </c>
    </row>
    <row r="1210" spans="1:12" x14ac:dyDescent="0.2">
      <c r="A1210" s="168" t="s">
        <v>74</v>
      </c>
      <c r="B1210" s="168" t="s">
        <v>75</v>
      </c>
      <c r="C1210" s="168" t="s">
        <v>19</v>
      </c>
      <c r="D1210" s="168" t="s">
        <v>12</v>
      </c>
      <c r="E1210" s="169">
        <v>42206</v>
      </c>
      <c r="F1210" s="170">
        <v>2.56</v>
      </c>
      <c r="G1210" s="171" t="s">
        <v>13</v>
      </c>
      <c r="H1210" s="168" t="s">
        <v>14</v>
      </c>
      <c r="I1210" s="171">
        <v>1</v>
      </c>
      <c r="J1210" s="171" t="s">
        <v>15</v>
      </c>
      <c r="K1210" s="171" t="s">
        <v>76</v>
      </c>
      <c r="L1210" s="168" t="s">
        <v>77</v>
      </c>
    </row>
    <row r="1211" spans="1:12" x14ac:dyDescent="0.2">
      <c r="A1211" s="168" t="s">
        <v>74</v>
      </c>
      <c r="B1211" s="168" t="s">
        <v>75</v>
      </c>
      <c r="C1211" s="168" t="s">
        <v>19</v>
      </c>
      <c r="D1211" s="168" t="s">
        <v>12</v>
      </c>
      <c r="E1211" s="169">
        <v>42206</v>
      </c>
      <c r="F1211" s="170">
        <v>14.027212799999999</v>
      </c>
      <c r="G1211" s="171" t="s">
        <v>16</v>
      </c>
      <c r="H1211" s="168" t="s">
        <v>14</v>
      </c>
      <c r="I1211" s="171">
        <v>1</v>
      </c>
      <c r="J1211" s="171" t="s">
        <v>15</v>
      </c>
      <c r="K1211" s="171" t="s">
        <v>76</v>
      </c>
      <c r="L1211" s="168" t="s">
        <v>77</v>
      </c>
    </row>
    <row r="1212" spans="1:12" x14ac:dyDescent="0.2">
      <c r="A1212" s="168" t="s">
        <v>74</v>
      </c>
      <c r="B1212" s="168" t="s">
        <v>75</v>
      </c>
      <c r="C1212" s="168" t="s">
        <v>19</v>
      </c>
      <c r="D1212" s="168" t="s">
        <v>12</v>
      </c>
      <c r="E1212" s="169">
        <v>42206</v>
      </c>
      <c r="F1212" s="170">
        <v>1.98</v>
      </c>
      <c r="G1212" s="171" t="s">
        <v>13</v>
      </c>
      <c r="H1212" s="168" t="s">
        <v>18</v>
      </c>
      <c r="I1212" s="171">
        <v>1</v>
      </c>
      <c r="J1212" s="171" t="s">
        <v>15</v>
      </c>
      <c r="K1212" s="171" t="s">
        <v>76</v>
      </c>
      <c r="L1212" s="168" t="s">
        <v>77</v>
      </c>
    </row>
    <row r="1213" spans="1:12" x14ac:dyDescent="0.2">
      <c r="A1213" s="168" t="s">
        <v>74</v>
      </c>
      <c r="B1213" s="168" t="s">
        <v>75</v>
      </c>
      <c r="C1213" s="168" t="s">
        <v>19</v>
      </c>
      <c r="D1213" s="168" t="s">
        <v>12</v>
      </c>
      <c r="E1213" s="169">
        <v>42206</v>
      </c>
      <c r="F1213" s="170">
        <v>10.8491724</v>
      </c>
      <c r="G1213" s="171" t="s">
        <v>16</v>
      </c>
      <c r="H1213" s="168" t="s">
        <v>18</v>
      </c>
      <c r="I1213" s="171">
        <v>1</v>
      </c>
      <c r="J1213" s="171" t="s">
        <v>15</v>
      </c>
      <c r="K1213" s="171" t="s">
        <v>76</v>
      </c>
      <c r="L1213" s="168" t="s">
        <v>77</v>
      </c>
    </row>
    <row r="1214" spans="1:12" x14ac:dyDescent="0.2">
      <c r="A1214" s="168" t="s">
        <v>74</v>
      </c>
      <c r="B1214" s="168" t="s">
        <v>75</v>
      </c>
      <c r="C1214" s="168" t="s">
        <v>19</v>
      </c>
      <c r="D1214" s="168" t="s">
        <v>12</v>
      </c>
      <c r="E1214" s="169">
        <v>42199</v>
      </c>
      <c r="F1214" s="170">
        <v>1.79</v>
      </c>
      <c r="G1214" s="171" t="s">
        <v>13</v>
      </c>
      <c r="H1214" s="168" t="s">
        <v>14</v>
      </c>
      <c r="I1214" s="171">
        <v>1</v>
      </c>
      <c r="J1214" s="171" t="s">
        <v>15</v>
      </c>
      <c r="K1214" s="171" t="s">
        <v>76</v>
      </c>
      <c r="L1214" s="168" t="s">
        <v>77</v>
      </c>
    </row>
    <row r="1215" spans="1:12" x14ac:dyDescent="0.2">
      <c r="A1215" s="168" t="s">
        <v>74</v>
      </c>
      <c r="B1215" s="168" t="s">
        <v>75</v>
      </c>
      <c r="C1215" s="168" t="s">
        <v>19</v>
      </c>
      <c r="D1215" s="168" t="s">
        <v>12</v>
      </c>
      <c r="E1215" s="169">
        <v>42199</v>
      </c>
      <c r="F1215" s="170">
        <v>8.3749445999999992</v>
      </c>
      <c r="G1215" s="171" t="s">
        <v>16</v>
      </c>
      <c r="H1215" s="168" t="s">
        <v>14</v>
      </c>
      <c r="I1215" s="171">
        <v>1</v>
      </c>
      <c r="J1215" s="171" t="s">
        <v>15</v>
      </c>
      <c r="K1215" s="171" t="s">
        <v>76</v>
      </c>
      <c r="L1215" s="168" t="s">
        <v>77</v>
      </c>
    </row>
    <row r="1216" spans="1:12" x14ac:dyDescent="0.2">
      <c r="A1216" s="168" t="s">
        <v>74</v>
      </c>
      <c r="B1216" s="168" t="s">
        <v>75</v>
      </c>
      <c r="C1216" s="168" t="s">
        <v>19</v>
      </c>
      <c r="D1216" s="168" t="s">
        <v>12</v>
      </c>
      <c r="E1216" s="169">
        <v>42199</v>
      </c>
      <c r="F1216" s="170">
        <v>1.0900000000000001</v>
      </c>
      <c r="G1216" s="171" t="s">
        <v>13</v>
      </c>
      <c r="H1216" s="168" t="s">
        <v>18</v>
      </c>
      <c r="I1216" s="171">
        <v>1</v>
      </c>
      <c r="J1216" s="171" t="s">
        <v>15</v>
      </c>
      <c r="K1216" s="171" t="s">
        <v>76</v>
      </c>
      <c r="L1216" s="168" t="s">
        <v>77</v>
      </c>
    </row>
    <row r="1217" spans="1:12" x14ac:dyDescent="0.2">
      <c r="A1217" s="168" t="s">
        <v>74</v>
      </c>
      <c r="B1217" s="168" t="s">
        <v>75</v>
      </c>
      <c r="C1217" s="168" t="s">
        <v>19</v>
      </c>
      <c r="D1217" s="168" t="s">
        <v>12</v>
      </c>
      <c r="E1217" s="169">
        <v>42199</v>
      </c>
      <c r="F1217" s="170">
        <v>5.0998266000000001</v>
      </c>
      <c r="G1217" s="171" t="s">
        <v>16</v>
      </c>
      <c r="H1217" s="168" t="s">
        <v>18</v>
      </c>
      <c r="I1217" s="171">
        <v>1</v>
      </c>
      <c r="J1217" s="171" t="s">
        <v>15</v>
      </c>
      <c r="K1217" s="171" t="s">
        <v>76</v>
      </c>
      <c r="L1217" s="168" t="s">
        <v>77</v>
      </c>
    </row>
    <row r="1218" spans="1:12" x14ac:dyDescent="0.2">
      <c r="A1218" s="168" t="s">
        <v>74</v>
      </c>
      <c r="B1218" s="168" t="s">
        <v>75</v>
      </c>
      <c r="C1218" s="168" t="s">
        <v>19</v>
      </c>
      <c r="D1218" s="168" t="s">
        <v>12</v>
      </c>
      <c r="E1218" s="169">
        <v>42192</v>
      </c>
      <c r="F1218" s="170">
        <v>1.46</v>
      </c>
      <c r="G1218" s="171" t="s">
        <v>13</v>
      </c>
      <c r="H1218" s="168" t="s">
        <v>14</v>
      </c>
      <c r="I1218" s="171">
        <v>1</v>
      </c>
      <c r="J1218" s="171" t="s">
        <v>15</v>
      </c>
      <c r="K1218" s="171" t="s">
        <v>76</v>
      </c>
      <c r="L1218" s="168" t="s">
        <v>77</v>
      </c>
    </row>
    <row r="1219" spans="1:12" x14ac:dyDescent="0.2">
      <c r="A1219" s="168" t="s">
        <v>74</v>
      </c>
      <c r="B1219" s="168" t="s">
        <v>75</v>
      </c>
      <c r="C1219" s="168" t="s">
        <v>19</v>
      </c>
      <c r="D1219" s="168" t="s">
        <v>12</v>
      </c>
      <c r="E1219" s="169">
        <v>42192</v>
      </c>
      <c r="F1219" s="170">
        <v>8.1338352</v>
      </c>
      <c r="G1219" s="171" t="s">
        <v>16</v>
      </c>
      <c r="H1219" s="168" t="s">
        <v>14</v>
      </c>
      <c r="I1219" s="171">
        <v>1</v>
      </c>
      <c r="J1219" s="171" t="s">
        <v>15</v>
      </c>
      <c r="K1219" s="171" t="s">
        <v>76</v>
      </c>
      <c r="L1219" s="168" t="s">
        <v>77</v>
      </c>
    </row>
    <row r="1220" spans="1:12" x14ac:dyDescent="0.2">
      <c r="A1220" s="168" t="s">
        <v>74</v>
      </c>
      <c r="B1220" s="168" t="s">
        <v>75</v>
      </c>
      <c r="C1220" s="168" t="s">
        <v>19</v>
      </c>
      <c r="D1220" s="168" t="s">
        <v>12</v>
      </c>
      <c r="E1220" s="169">
        <v>42192</v>
      </c>
      <c r="F1220" s="170">
        <v>0.61</v>
      </c>
      <c r="G1220" s="171" t="s">
        <v>13</v>
      </c>
      <c r="H1220" s="168" t="s">
        <v>18</v>
      </c>
      <c r="I1220" s="171">
        <v>1</v>
      </c>
      <c r="J1220" s="171" t="s">
        <v>15</v>
      </c>
      <c r="K1220" s="171" t="s">
        <v>76</v>
      </c>
      <c r="L1220" s="168" t="s">
        <v>77</v>
      </c>
    </row>
    <row r="1221" spans="1:12" x14ac:dyDescent="0.2">
      <c r="A1221" s="168" t="s">
        <v>74</v>
      </c>
      <c r="B1221" s="168" t="s">
        <v>75</v>
      </c>
      <c r="C1221" s="168" t="s">
        <v>19</v>
      </c>
      <c r="D1221" s="168" t="s">
        <v>12</v>
      </c>
      <c r="E1221" s="169">
        <v>42192</v>
      </c>
      <c r="F1221" s="170">
        <v>3.3983832</v>
      </c>
      <c r="G1221" s="171" t="s">
        <v>16</v>
      </c>
      <c r="H1221" s="168" t="s">
        <v>18</v>
      </c>
      <c r="I1221" s="171">
        <v>1</v>
      </c>
      <c r="J1221" s="171" t="s">
        <v>15</v>
      </c>
      <c r="K1221" s="171" t="s">
        <v>76</v>
      </c>
      <c r="L1221" s="168" t="s">
        <v>77</v>
      </c>
    </row>
    <row r="1222" spans="1:12" x14ac:dyDescent="0.2">
      <c r="A1222" s="168" t="s">
        <v>74</v>
      </c>
      <c r="B1222" s="168" t="s">
        <v>75</v>
      </c>
      <c r="C1222" s="168" t="s">
        <v>19</v>
      </c>
      <c r="D1222" s="168" t="s">
        <v>12</v>
      </c>
      <c r="E1222" s="169">
        <v>42185</v>
      </c>
      <c r="F1222" s="170">
        <v>1.86</v>
      </c>
      <c r="G1222" s="171" t="s">
        <v>13</v>
      </c>
      <c r="H1222" s="168" t="s">
        <v>14</v>
      </c>
      <c r="I1222" s="171">
        <v>1</v>
      </c>
      <c r="J1222" s="171" t="s">
        <v>15</v>
      </c>
      <c r="K1222" s="171" t="s">
        <v>76</v>
      </c>
      <c r="L1222" s="168" t="s">
        <v>77</v>
      </c>
    </row>
    <row r="1223" spans="1:12" x14ac:dyDescent="0.2">
      <c r="A1223" s="168" t="s">
        <v>74</v>
      </c>
      <c r="B1223" s="168" t="s">
        <v>75</v>
      </c>
      <c r="C1223" s="168" t="s">
        <v>19</v>
      </c>
      <c r="D1223" s="168" t="s">
        <v>12</v>
      </c>
      <c r="E1223" s="169">
        <v>42185</v>
      </c>
      <c r="F1223" s="170">
        <v>11.215465200000001</v>
      </c>
      <c r="G1223" s="171" t="s">
        <v>16</v>
      </c>
      <c r="H1223" s="168" t="s">
        <v>14</v>
      </c>
      <c r="I1223" s="171">
        <v>1</v>
      </c>
      <c r="J1223" s="171" t="s">
        <v>15</v>
      </c>
      <c r="K1223" s="171" t="s">
        <v>76</v>
      </c>
      <c r="L1223" s="168" t="s">
        <v>77</v>
      </c>
    </row>
    <row r="1224" spans="1:12" x14ac:dyDescent="0.2">
      <c r="A1224" s="168" t="s">
        <v>74</v>
      </c>
      <c r="B1224" s="168" t="s">
        <v>75</v>
      </c>
      <c r="C1224" s="168" t="s">
        <v>19</v>
      </c>
      <c r="D1224" s="168" t="s">
        <v>12</v>
      </c>
      <c r="E1224" s="169">
        <v>42185</v>
      </c>
      <c r="F1224" s="170">
        <v>0.96</v>
      </c>
      <c r="G1224" s="171" t="s">
        <v>13</v>
      </c>
      <c r="H1224" s="168" t="s">
        <v>18</v>
      </c>
      <c r="I1224" s="171">
        <v>1</v>
      </c>
      <c r="J1224" s="171" t="s">
        <v>15</v>
      </c>
      <c r="K1224" s="171" t="s">
        <v>76</v>
      </c>
      <c r="L1224" s="168" t="s">
        <v>77</v>
      </c>
    </row>
    <row r="1225" spans="1:12" x14ac:dyDescent="0.2">
      <c r="A1225" s="168" t="s">
        <v>74</v>
      </c>
      <c r="B1225" s="168" t="s">
        <v>75</v>
      </c>
      <c r="C1225" s="168" t="s">
        <v>19</v>
      </c>
      <c r="D1225" s="168" t="s">
        <v>12</v>
      </c>
      <c r="E1225" s="169">
        <v>42185</v>
      </c>
      <c r="F1225" s="170">
        <v>5.7886271999999996</v>
      </c>
      <c r="G1225" s="171" t="s">
        <v>16</v>
      </c>
      <c r="H1225" s="168" t="s">
        <v>18</v>
      </c>
      <c r="I1225" s="171">
        <v>1</v>
      </c>
      <c r="J1225" s="171" t="s">
        <v>15</v>
      </c>
      <c r="K1225" s="171" t="s">
        <v>76</v>
      </c>
      <c r="L1225" s="168" t="s">
        <v>77</v>
      </c>
    </row>
    <row r="1226" spans="1:12" x14ac:dyDescent="0.2">
      <c r="A1226" s="168" t="s">
        <v>74</v>
      </c>
      <c r="B1226" s="168" t="s">
        <v>75</v>
      </c>
      <c r="C1226" s="168" t="s">
        <v>19</v>
      </c>
      <c r="D1226" s="168" t="s">
        <v>12</v>
      </c>
      <c r="E1226" s="169">
        <v>42171</v>
      </c>
      <c r="F1226" s="170">
        <v>1.99</v>
      </c>
      <c r="G1226" s="171" t="s">
        <v>13</v>
      </c>
      <c r="H1226" s="168" t="s">
        <v>14</v>
      </c>
      <c r="I1226" s="171">
        <v>1</v>
      </c>
      <c r="J1226" s="171" t="s">
        <v>15</v>
      </c>
      <c r="K1226" s="171" t="s">
        <v>76</v>
      </c>
      <c r="L1226" s="168" t="s">
        <v>77</v>
      </c>
    </row>
    <row r="1227" spans="1:12" x14ac:dyDescent="0.2">
      <c r="A1227" s="168" t="s">
        <v>74</v>
      </c>
      <c r="B1227" s="168" t="s">
        <v>75</v>
      </c>
      <c r="C1227" s="168" t="s">
        <v>19</v>
      </c>
      <c r="D1227" s="168" t="s">
        <v>12</v>
      </c>
      <c r="E1227" s="169">
        <v>42171</v>
      </c>
      <c r="F1227" s="170">
        <v>12.281484000000001</v>
      </c>
      <c r="G1227" s="171" t="s">
        <v>16</v>
      </c>
      <c r="H1227" s="168" t="s">
        <v>14</v>
      </c>
      <c r="I1227" s="171">
        <v>1</v>
      </c>
      <c r="J1227" s="171" t="s">
        <v>15</v>
      </c>
      <c r="K1227" s="171" t="s">
        <v>76</v>
      </c>
      <c r="L1227" s="168" t="s">
        <v>77</v>
      </c>
    </row>
    <row r="1228" spans="1:12" x14ac:dyDescent="0.2">
      <c r="A1228" s="168" t="s">
        <v>74</v>
      </c>
      <c r="B1228" s="168" t="s">
        <v>75</v>
      </c>
      <c r="C1228" s="168" t="s">
        <v>19</v>
      </c>
      <c r="D1228" s="168" t="s">
        <v>12</v>
      </c>
      <c r="E1228" s="169">
        <v>42171</v>
      </c>
      <c r="F1228" s="170">
        <v>1.68</v>
      </c>
      <c r="G1228" s="171" t="s">
        <v>13</v>
      </c>
      <c r="H1228" s="168" t="s">
        <v>18</v>
      </c>
      <c r="I1228" s="171">
        <v>1</v>
      </c>
      <c r="J1228" s="171" t="s">
        <v>15</v>
      </c>
      <c r="K1228" s="171" t="s">
        <v>76</v>
      </c>
      <c r="L1228" s="168" t="s">
        <v>77</v>
      </c>
    </row>
    <row r="1229" spans="1:12" x14ac:dyDescent="0.2">
      <c r="A1229" s="168" t="s">
        <v>74</v>
      </c>
      <c r="B1229" s="168" t="s">
        <v>75</v>
      </c>
      <c r="C1229" s="168" t="s">
        <v>19</v>
      </c>
      <c r="D1229" s="168" t="s">
        <v>12</v>
      </c>
      <c r="E1229" s="169">
        <v>42171</v>
      </c>
      <c r="F1229" s="170">
        <v>10.368288</v>
      </c>
      <c r="G1229" s="171" t="s">
        <v>16</v>
      </c>
      <c r="H1229" s="168" t="s">
        <v>18</v>
      </c>
      <c r="I1229" s="171">
        <v>1</v>
      </c>
      <c r="J1229" s="171" t="s">
        <v>15</v>
      </c>
      <c r="K1229" s="171" t="s">
        <v>76</v>
      </c>
      <c r="L1229" s="168" t="s">
        <v>77</v>
      </c>
    </row>
    <row r="1230" spans="1:12" x14ac:dyDescent="0.2">
      <c r="A1230" s="168" t="s">
        <v>74</v>
      </c>
      <c r="B1230" s="168" t="s">
        <v>75</v>
      </c>
      <c r="C1230" s="168" t="s">
        <v>19</v>
      </c>
      <c r="D1230" s="168" t="s">
        <v>12</v>
      </c>
      <c r="E1230" s="169">
        <v>42164</v>
      </c>
      <c r="F1230" s="170">
        <v>1.93</v>
      </c>
      <c r="G1230" s="171" t="s">
        <v>13</v>
      </c>
      <c r="H1230" s="168" t="s">
        <v>14</v>
      </c>
      <c r="I1230" s="171">
        <v>1</v>
      </c>
      <c r="J1230" s="171" t="s">
        <v>15</v>
      </c>
      <c r="K1230" s="171" t="s">
        <v>76</v>
      </c>
      <c r="L1230" s="168" t="s">
        <v>77</v>
      </c>
    </row>
    <row r="1231" spans="1:12" x14ac:dyDescent="0.2">
      <c r="A1231" s="168" t="s">
        <v>74</v>
      </c>
      <c r="B1231" s="168" t="s">
        <v>75</v>
      </c>
      <c r="C1231" s="168" t="s">
        <v>19</v>
      </c>
      <c r="D1231" s="168" t="s">
        <v>12</v>
      </c>
      <c r="E1231" s="169">
        <v>42164</v>
      </c>
      <c r="F1231" s="170">
        <v>10.848838799999999</v>
      </c>
      <c r="G1231" s="171" t="s">
        <v>16</v>
      </c>
      <c r="H1231" s="168" t="s">
        <v>14</v>
      </c>
      <c r="I1231" s="171">
        <v>1</v>
      </c>
      <c r="J1231" s="171" t="s">
        <v>15</v>
      </c>
      <c r="K1231" s="171" t="s">
        <v>76</v>
      </c>
      <c r="L1231" s="168" t="s">
        <v>77</v>
      </c>
    </row>
    <row r="1232" spans="1:12" x14ac:dyDescent="0.2">
      <c r="A1232" s="168" t="s">
        <v>74</v>
      </c>
      <c r="B1232" s="168" t="s">
        <v>75</v>
      </c>
      <c r="C1232" s="168" t="s">
        <v>19</v>
      </c>
      <c r="D1232" s="168" t="s">
        <v>12</v>
      </c>
      <c r="E1232" s="169">
        <v>42164</v>
      </c>
      <c r="F1232" s="170">
        <v>3.44</v>
      </c>
      <c r="G1232" s="171" t="s">
        <v>13</v>
      </c>
      <c r="H1232" s="168" t="s">
        <v>18</v>
      </c>
      <c r="I1232" s="171">
        <v>1</v>
      </c>
      <c r="J1232" s="171" t="s">
        <v>15</v>
      </c>
      <c r="K1232" s="171" t="s">
        <v>76</v>
      </c>
      <c r="L1232" s="168" t="s">
        <v>77</v>
      </c>
    </row>
    <row r="1233" spans="1:12" x14ac:dyDescent="0.2">
      <c r="A1233" s="168" t="s">
        <v>74</v>
      </c>
      <c r="B1233" s="168" t="s">
        <v>75</v>
      </c>
      <c r="C1233" s="168" t="s">
        <v>19</v>
      </c>
      <c r="D1233" s="168" t="s">
        <v>12</v>
      </c>
      <c r="E1233" s="169">
        <v>42164</v>
      </c>
      <c r="F1233" s="170">
        <v>19.336790400000002</v>
      </c>
      <c r="G1233" s="171" t="s">
        <v>16</v>
      </c>
      <c r="H1233" s="168" t="s">
        <v>18</v>
      </c>
      <c r="I1233" s="171">
        <v>1</v>
      </c>
      <c r="J1233" s="171" t="s">
        <v>15</v>
      </c>
      <c r="K1233" s="171" t="s">
        <v>76</v>
      </c>
      <c r="L1233" s="168" t="s">
        <v>77</v>
      </c>
    </row>
    <row r="1234" spans="1:12" x14ac:dyDescent="0.2">
      <c r="A1234" s="168" t="s">
        <v>74</v>
      </c>
      <c r="B1234" s="168" t="s">
        <v>75</v>
      </c>
      <c r="C1234" s="168" t="s">
        <v>19</v>
      </c>
      <c r="D1234" s="168" t="s">
        <v>12</v>
      </c>
      <c r="E1234" s="169">
        <v>42157</v>
      </c>
      <c r="F1234" s="170">
        <v>2.4</v>
      </c>
      <c r="G1234" s="171" t="s">
        <v>13</v>
      </c>
      <c r="H1234" s="168" t="s">
        <v>14</v>
      </c>
      <c r="I1234" s="171">
        <v>1</v>
      </c>
      <c r="J1234" s="171" t="s">
        <v>15</v>
      </c>
      <c r="K1234" s="171" t="s">
        <v>76</v>
      </c>
      <c r="L1234" s="168" t="s">
        <v>77</v>
      </c>
    </row>
    <row r="1235" spans="1:12" x14ac:dyDescent="0.2">
      <c r="A1235" s="168" t="s">
        <v>74</v>
      </c>
      <c r="B1235" s="168" t="s">
        <v>75</v>
      </c>
      <c r="C1235" s="168" t="s">
        <v>19</v>
      </c>
      <c r="D1235" s="168" t="s">
        <v>12</v>
      </c>
      <c r="E1235" s="169">
        <v>42157</v>
      </c>
      <c r="F1235" s="170">
        <v>15.052032000000001</v>
      </c>
      <c r="G1235" s="171" t="s">
        <v>16</v>
      </c>
      <c r="H1235" s="168" t="s">
        <v>14</v>
      </c>
      <c r="I1235" s="171">
        <v>1</v>
      </c>
      <c r="J1235" s="171" t="s">
        <v>15</v>
      </c>
      <c r="K1235" s="171" t="s">
        <v>76</v>
      </c>
      <c r="L1235" s="168" t="s">
        <v>77</v>
      </c>
    </row>
    <row r="1236" spans="1:12" x14ac:dyDescent="0.2">
      <c r="A1236" s="168" t="s">
        <v>74</v>
      </c>
      <c r="B1236" s="168" t="s">
        <v>75</v>
      </c>
      <c r="C1236" s="168" t="s">
        <v>19</v>
      </c>
      <c r="D1236" s="168" t="s">
        <v>12</v>
      </c>
      <c r="E1236" s="169">
        <v>42157</v>
      </c>
      <c r="F1236" s="170">
        <v>1.96</v>
      </c>
      <c r="G1236" s="171" t="s">
        <v>13</v>
      </c>
      <c r="H1236" s="168" t="s">
        <v>18</v>
      </c>
      <c r="I1236" s="171">
        <v>1</v>
      </c>
      <c r="J1236" s="171" t="s">
        <v>15</v>
      </c>
      <c r="K1236" s="171" t="s">
        <v>76</v>
      </c>
      <c r="L1236" s="168" t="s">
        <v>77</v>
      </c>
    </row>
    <row r="1237" spans="1:12" x14ac:dyDescent="0.2">
      <c r="A1237" s="168" t="s">
        <v>74</v>
      </c>
      <c r="B1237" s="168" t="s">
        <v>75</v>
      </c>
      <c r="C1237" s="168" t="s">
        <v>19</v>
      </c>
      <c r="D1237" s="168" t="s">
        <v>12</v>
      </c>
      <c r="E1237" s="169">
        <v>42157</v>
      </c>
      <c r="F1237" s="170">
        <v>12.2924928</v>
      </c>
      <c r="G1237" s="171" t="s">
        <v>16</v>
      </c>
      <c r="H1237" s="168" t="s">
        <v>18</v>
      </c>
      <c r="I1237" s="171">
        <v>1</v>
      </c>
      <c r="J1237" s="171" t="s">
        <v>15</v>
      </c>
      <c r="K1237" s="171" t="s">
        <v>76</v>
      </c>
      <c r="L1237" s="168" t="s">
        <v>77</v>
      </c>
    </row>
    <row r="1238" spans="1:12" x14ac:dyDescent="0.2">
      <c r="A1238" s="168" t="s">
        <v>74</v>
      </c>
      <c r="B1238" s="168" t="s">
        <v>75</v>
      </c>
      <c r="C1238" s="168" t="s">
        <v>19</v>
      </c>
      <c r="D1238" s="168" t="s">
        <v>12</v>
      </c>
      <c r="E1238" s="169">
        <v>42151</v>
      </c>
      <c r="F1238" s="170">
        <v>2.7</v>
      </c>
      <c r="G1238" s="171" t="s">
        <v>13</v>
      </c>
      <c r="H1238" s="168" t="s">
        <v>14</v>
      </c>
      <c r="I1238" s="171">
        <v>1</v>
      </c>
      <c r="J1238" s="171" t="s">
        <v>15</v>
      </c>
      <c r="K1238" s="171" t="s">
        <v>76</v>
      </c>
      <c r="L1238" s="168" t="s">
        <v>77</v>
      </c>
    </row>
    <row r="1239" spans="1:12" x14ac:dyDescent="0.2">
      <c r="A1239" s="168" t="s">
        <v>74</v>
      </c>
      <c r="B1239" s="168" t="s">
        <v>75</v>
      </c>
      <c r="C1239" s="168" t="s">
        <v>19</v>
      </c>
      <c r="D1239" s="168" t="s">
        <v>12</v>
      </c>
      <c r="E1239" s="169">
        <v>42151</v>
      </c>
      <c r="F1239" s="170">
        <v>20.15361</v>
      </c>
      <c r="G1239" s="171" t="s">
        <v>16</v>
      </c>
      <c r="H1239" s="168" t="s">
        <v>14</v>
      </c>
      <c r="I1239" s="171">
        <v>1</v>
      </c>
      <c r="J1239" s="171" t="s">
        <v>15</v>
      </c>
      <c r="K1239" s="171" t="s">
        <v>76</v>
      </c>
      <c r="L1239" s="168" t="s">
        <v>77</v>
      </c>
    </row>
    <row r="1240" spans="1:12" x14ac:dyDescent="0.2">
      <c r="A1240" s="168" t="s">
        <v>74</v>
      </c>
      <c r="B1240" s="168" t="s">
        <v>75</v>
      </c>
      <c r="C1240" s="168" t="s">
        <v>19</v>
      </c>
      <c r="D1240" s="168" t="s">
        <v>12</v>
      </c>
      <c r="E1240" s="169">
        <v>42151</v>
      </c>
      <c r="F1240" s="170">
        <v>1.76</v>
      </c>
      <c r="G1240" s="171" t="s">
        <v>13</v>
      </c>
      <c r="H1240" s="168" t="s">
        <v>18</v>
      </c>
      <c r="I1240" s="171">
        <v>1</v>
      </c>
      <c r="J1240" s="171" t="s">
        <v>15</v>
      </c>
      <c r="K1240" s="171" t="s">
        <v>76</v>
      </c>
      <c r="L1240" s="168" t="s">
        <v>77</v>
      </c>
    </row>
    <row r="1241" spans="1:12" x14ac:dyDescent="0.2">
      <c r="A1241" s="168" t="s">
        <v>74</v>
      </c>
      <c r="B1241" s="168" t="s">
        <v>75</v>
      </c>
      <c r="C1241" s="168" t="s">
        <v>19</v>
      </c>
      <c r="D1241" s="168" t="s">
        <v>12</v>
      </c>
      <c r="E1241" s="169">
        <v>42151</v>
      </c>
      <c r="F1241" s="170">
        <v>13.137168000000001</v>
      </c>
      <c r="G1241" s="171" t="s">
        <v>16</v>
      </c>
      <c r="H1241" s="168" t="s">
        <v>18</v>
      </c>
      <c r="I1241" s="171">
        <v>1</v>
      </c>
      <c r="J1241" s="171" t="s">
        <v>15</v>
      </c>
      <c r="K1241" s="171" t="s">
        <v>76</v>
      </c>
      <c r="L1241" s="168" t="s">
        <v>77</v>
      </c>
    </row>
    <row r="1242" spans="1:12" x14ac:dyDescent="0.2">
      <c r="A1242" s="168" t="s">
        <v>74</v>
      </c>
      <c r="B1242" s="168" t="s">
        <v>75</v>
      </c>
      <c r="C1242" s="168" t="s">
        <v>19</v>
      </c>
      <c r="D1242" s="168" t="s">
        <v>12</v>
      </c>
      <c r="E1242" s="169">
        <v>42143</v>
      </c>
      <c r="F1242" s="170">
        <v>2.3199999999999998</v>
      </c>
      <c r="G1242" s="171" t="s">
        <v>13</v>
      </c>
      <c r="H1242" s="168" t="s">
        <v>14</v>
      </c>
      <c r="I1242" s="171">
        <v>1</v>
      </c>
      <c r="J1242" s="171" t="s">
        <v>15</v>
      </c>
      <c r="K1242" s="171" t="s">
        <v>76</v>
      </c>
      <c r="L1242" s="168" t="s">
        <v>77</v>
      </c>
    </row>
    <row r="1243" spans="1:12" x14ac:dyDescent="0.2">
      <c r="A1243" s="168" t="s">
        <v>74</v>
      </c>
      <c r="B1243" s="168" t="s">
        <v>75</v>
      </c>
      <c r="C1243" s="168" t="s">
        <v>19</v>
      </c>
      <c r="D1243" s="168" t="s">
        <v>12</v>
      </c>
      <c r="E1243" s="169">
        <v>42143</v>
      </c>
      <c r="F1243" s="170">
        <v>18.439406399999999</v>
      </c>
      <c r="G1243" s="171" t="s">
        <v>16</v>
      </c>
      <c r="H1243" s="168" t="s">
        <v>14</v>
      </c>
      <c r="I1243" s="171">
        <v>1</v>
      </c>
      <c r="J1243" s="171" t="s">
        <v>15</v>
      </c>
      <c r="K1243" s="171" t="s">
        <v>76</v>
      </c>
      <c r="L1243" s="168" t="s">
        <v>77</v>
      </c>
    </row>
    <row r="1244" spans="1:12" x14ac:dyDescent="0.2">
      <c r="A1244" s="168" t="s">
        <v>74</v>
      </c>
      <c r="B1244" s="168" t="s">
        <v>75</v>
      </c>
      <c r="C1244" s="168" t="s">
        <v>19</v>
      </c>
      <c r="D1244" s="168" t="s">
        <v>12</v>
      </c>
      <c r="E1244" s="169">
        <v>42143</v>
      </c>
      <c r="F1244" s="170">
        <v>2.17</v>
      </c>
      <c r="G1244" s="171" t="s">
        <v>13</v>
      </c>
      <c r="H1244" s="168" t="s">
        <v>18</v>
      </c>
      <c r="I1244" s="171">
        <v>1</v>
      </c>
      <c r="J1244" s="171" t="s">
        <v>15</v>
      </c>
      <c r="K1244" s="171" t="s">
        <v>76</v>
      </c>
      <c r="L1244" s="168" t="s">
        <v>77</v>
      </c>
    </row>
    <row r="1245" spans="1:12" x14ac:dyDescent="0.2">
      <c r="A1245" s="168" t="s">
        <v>74</v>
      </c>
      <c r="B1245" s="168" t="s">
        <v>75</v>
      </c>
      <c r="C1245" s="168" t="s">
        <v>19</v>
      </c>
      <c r="D1245" s="168" t="s">
        <v>12</v>
      </c>
      <c r="E1245" s="169">
        <v>42143</v>
      </c>
      <c r="F1245" s="170">
        <v>17.2472034</v>
      </c>
      <c r="G1245" s="171" t="s">
        <v>16</v>
      </c>
      <c r="H1245" s="168" t="s">
        <v>18</v>
      </c>
      <c r="I1245" s="171">
        <v>1</v>
      </c>
      <c r="J1245" s="171" t="s">
        <v>15</v>
      </c>
      <c r="K1245" s="171" t="s">
        <v>76</v>
      </c>
      <c r="L1245" s="168" t="s">
        <v>77</v>
      </c>
    </row>
    <row r="1246" spans="1:12" x14ac:dyDescent="0.2">
      <c r="A1246" s="168" t="s">
        <v>74</v>
      </c>
      <c r="B1246" s="168" t="s">
        <v>75</v>
      </c>
      <c r="C1246" s="168" t="s">
        <v>19</v>
      </c>
      <c r="D1246" s="168" t="s">
        <v>12</v>
      </c>
      <c r="E1246" s="169">
        <v>42136</v>
      </c>
      <c r="F1246" s="170">
        <v>2.5</v>
      </c>
      <c r="G1246" s="171" t="s">
        <v>13</v>
      </c>
      <c r="H1246" s="168" t="s">
        <v>14</v>
      </c>
      <c r="I1246" s="171">
        <v>1</v>
      </c>
      <c r="J1246" s="171" t="s">
        <v>15</v>
      </c>
      <c r="K1246" s="171" t="s">
        <v>76</v>
      </c>
      <c r="L1246" s="168" t="s">
        <v>77</v>
      </c>
    </row>
    <row r="1247" spans="1:12" x14ac:dyDescent="0.2">
      <c r="A1247" s="168" t="s">
        <v>74</v>
      </c>
      <c r="B1247" s="168" t="s">
        <v>75</v>
      </c>
      <c r="C1247" s="168" t="s">
        <v>19</v>
      </c>
      <c r="D1247" s="168" t="s">
        <v>12</v>
      </c>
      <c r="E1247" s="169">
        <v>42136</v>
      </c>
      <c r="F1247" s="170">
        <v>21.204450000000001</v>
      </c>
      <c r="G1247" s="171" t="s">
        <v>16</v>
      </c>
      <c r="H1247" s="168" t="s">
        <v>14</v>
      </c>
      <c r="I1247" s="171">
        <v>1</v>
      </c>
      <c r="J1247" s="171" t="s">
        <v>15</v>
      </c>
      <c r="K1247" s="171" t="s">
        <v>76</v>
      </c>
      <c r="L1247" s="168" t="s">
        <v>77</v>
      </c>
    </row>
    <row r="1248" spans="1:12" x14ac:dyDescent="0.2">
      <c r="A1248" s="168" t="s">
        <v>74</v>
      </c>
      <c r="B1248" s="168" t="s">
        <v>75</v>
      </c>
      <c r="C1248" s="168" t="s">
        <v>19</v>
      </c>
      <c r="D1248" s="168" t="s">
        <v>12</v>
      </c>
      <c r="E1248" s="169">
        <v>42136</v>
      </c>
      <c r="F1248" s="170">
        <v>2.0699999999999998</v>
      </c>
      <c r="G1248" s="171" t="s">
        <v>13</v>
      </c>
      <c r="H1248" s="168" t="s">
        <v>18</v>
      </c>
      <c r="I1248" s="171">
        <v>1</v>
      </c>
      <c r="J1248" s="171" t="s">
        <v>15</v>
      </c>
      <c r="K1248" s="171" t="s">
        <v>76</v>
      </c>
      <c r="L1248" s="168" t="s">
        <v>77</v>
      </c>
    </row>
    <row r="1249" spans="1:12" x14ac:dyDescent="0.2">
      <c r="A1249" s="168" t="s">
        <v>74</v>
      </c>
      <c r="B1249" s="168" t="s">
        <v>75</v>
      </c>
      <c r="C1249" s="168" t="s">
        <v>19</v>
      </c>
      <c r="D1249" s="168" t="s">
        <v>12</v>
      </c>
      <c r="E1249" s="169">
        <v>42136</v>
      </c>
      <c r="F1249" s="170">
        <v>17.557284599999999</v>
      </c>
      <c r="G1249" s="171" t="s">
        <v>16</v>
      </c>
      <c r="H1249" s="168" t="s">
        <v>18</v>
      </c>
      <c r="I1249" s="171">
        <v>1</v>
      </c>
      <c r="J1249" s="171" t="s">
        <v>15</v>
      </c>
      <c r="K1249" s="171" t="s">
        <v>76</v>
      </c>
      <c r="L1249" s="168" t="s">
        <v>77</v>
      </c>
    </row>
    <row r="1250" spans="1:12" x14ac:dyDescent="0.2">
      <c r="A1250" s="168" t="s">
        <v>74</v>
      </c>
      <c r="B1250" s="168" t="s">
        <v>75</v>
      </c>
      <c r="C1250" s="168" t="s">
        <v>19</v>
      </c>
      <c r="D1250" s="168" t="s">
        <v>12</v>
      </c>
      <c r="E1250" s="169">
        <v>42129</v>
      </c>
      <c r="F1250" s="170">
        <v>4.54</v>
      </c>
      <c r="G1250" s="171" t="s">
        <v>13</v>
      </c>
      <c r="H1250" s="168" t="s">
        <v>14</v>
      </c>
      <c r="I1250" s="171">
        <v>1</v>
      </c>
      <c r="J1250" s="171" t="s">
        <v>15</v>
      </c>
      <c r="K1250" s="171" t="s">
        <v>76</v>
      </c>
      <c r="L1250" s="168" t="s">
        <v>77</v>
      </c>
    </row>
    <row r="1251" spans="1:12" x14ac:dyDescent="0.2">
      <c r="A1251" s="168" t="s">
        <v>74</v>
      </c>
      <c r="B1251" s="168" t="s">
        <v>75</v>
      </c>
      <c r="C1251" s="168" t="s">
        <v>19</v>
      </c>
      <c r="D1251" s="168" t="s">
        <v>12</v>
      </c>
      <c r="E1251" s="169">
        <v>42129</v>
      </c>
      <c r="F1251" s="170">
        <v>41.498505600000001</v>
      </c>
      <c r="G1251" s="171" t="s">
        <v>16</v>
      </c>
      <c r="H1251" s="168" t="s">
        <v>14</v>
      </c>
      <c r="I1251" s="171">
        <v>1</v>
      </c>
      <c r="J1251" s="171" t="s">
        <v>15</v>
      </c>
      <c r="K1251" s="171" t="s">
        <v>76</v>
      </c>
      <c r="L1251" s="168" t="s">
        <v>77</v>
      </c>
    </row>
    <row r="1252" spans="1:12" x14ac:dyDescent="0.2">
      <c r="A1252" s="168" t="s">
        <v>74</v>
      </c>
      <c r="B1252" s="168" t="s">
        <v>75</v>
      </c>
      <c r="C1252" s="168" t="s">
        <v>19</v>
      </c>
      <c r="D1252" s="168" t="s">
        <v>12</v>
      </c>
      <c r="E1252" s="169">
        <v>42129</v>
      </c>
      <c r="F1252" s="170">
        <v>2.97</v>
      </c>
      <c r="G1252" s="171" t="s">
        <v>13</v>
      </c>
      <c r="H1252" s="168" t="s">
        <v>18</v>
      </c>
      <c r="I1252" s="171">
        <v>1</v>
      </c>
      <c r="J1252" s="171" t="s">
        <v>15</v>
      </c>
      <c r="K1252" s="171" t="s">
        <v>76</v>
      </c>
      <c r="L1252" s="168" t="s">
        <v>77</v>
      </c>
    </row>
    <row r="1253" spans="1:12" x14ac:dyDescent="0.2">
      <c r="A1253" s="168" t="s">
        <v>74</v>
      </c>
      <c r="B1253" s="168" t="s">
        <v>75</v>
      </c>
      <c r="C1253" s="168" t="s">
        <v>19</v>
      </c>
      <c r="D1253" s="168" t="s">
        <v>12</v>
      </c>
      <c r="E1253" s="169">
        <v>42129</v>
      </c>
      <c r="F1253" s="170">
        <v>27.147700799999999</v>
      </c>
      <c r="G1253" s="171" t="s">
        <v>16</v>
      </c>
      <c r="H1253" s="168" t="s">
        <v>18</v>
      </c>
      <c r="I1253" s="171">
        <v>1</v>
      </c>
      <c r="J1253" s="171" t="s">
        <v>15</v>
      </c>
      <c r="K1253" s="171" t="s">
        <v>76</v>
      </c>
      <c r="L1253" s="168" t="s">
        <v>77</v>
      </c>
    </row>
    <row r="1254" spans="1:12" x14ac:dyDescent="0.2">
      <c r="A1254" s="168" t="s">
        <v>74</v>
      </c>
      <c r="B1254" s="168" t="s">
        <v>75</v>
      </c>
      <c r="C1254" s="168" t="s">
        <v>19</v>
      </c>
      <c r="D1254" s="168" t="s">
        <v>12</v>
      </c>
      <c r="E1254" s="169">
        <v>42122</v>
      </c>
      <c r="F1254" s="170">
        <v>5.22</v>
      </c>
      <c r="G1254" s="171" t="s">
        <v>13</v>
      </c>
      <c r="H1254" s="168" t="s">
        <v>14</v>
      </c>
      <c r="I1254" s="171">
        <v>1</v>
      </c>
      <c r="J1254" s="171" t="s">
        <v>15</v>
      </c>
      <c r="K1254" s="171" t="s">
        <v>76</v>
      </c>
      <c r="L1254" s="168" t="s">
        <v>77</v>
      </c>
    </row>
    <row r="1255" spans="1:12" x14ac:dyDescent="0.2">
      <c r="A1255" s="168" t="s">
        <v>74</v>
      </c>
      <c r="B1255" s="168" t="s">
        <v>75</v>
      </c>
      <c r="C1255" s="168" t="s">
        <v>19</v>
      </c>
      <c r="D1255" s="168" t="s">
        <v>12</v>
      </c>
      <c r="E1255" s="169">
        <v>42122</v>
      </c>
      <c r="F1255" s="170">
        <v>51.153390000000002</v>
      </c>
      <c r="G1255" s="171" t="s">
        <v>16</v>
      </c>
      <c r="H1255" s="168" t="s">
        <v>14</v>
      </c>
      <c r="I1255" s="171">
        <v>1</v>
      </c>
      <c r="J1255" s="171" t="s">
        <v>15</v>
      </c>
      <c r="K1255" s="171" t="s">
        <v>76</v>
      </c>
      <c r="L1255" s="168" t="s">
        <v>77</v>
      </c>
    </row>
    <row r="1256" spans="1:12" x14ac:dyDescent="0.2">
      <c r="A1256" s="168" t="s">
        <v>74</v>
      </c>
      <c r="B1256" s="168" t="s">
        <v>75</v>
      </c>
      <c r="C1256" s="168" t="s">
        <v>19</v>
      </c>
      <c r="D1256" s="168" t="s">
        <v>12</v>
      </c>
      <c r="E1256" s="169">
        <v>42122</v>
      </c>
      <c r="F1256" s="170">
        <v>2.1</v>
      </c>
      <c r="G1256" s="171" t="s">
        <v>13</v>
      </c>
      <c r="H1256" s="168" t="s">
        <v>18</v>
      </c>
      <c r="I1256" s="171">
        <v>1</v>
      </c>
      <c r="J1256" s="171" t="s">
        <v>15</v>
      </c>
      <c r="K1256" s="171" t="s">
        <v>76</v>
      </c>
      <c r="L1256" s="168" t="s">
        <v>77</v>
      </c>
    </row>
    <row r="1257" spans="1:12" x14ac:dyDescent="0.2">
      <c r="A1257" s="168" t="s">
        <v>74</v>
      </c>
      <c r="B1257" s="168" t="s">
        <v>75</v>
      </c>
      <c r="C1257" s="168" t="s">
        <v>19</v>
      </c>
      <c r="D1257" s="168" t="s">
        <v>12</v>
      </c>
      <c r="E1257" s="169">
        <v>42122</v>
      </c>
      <c r="F1257" s="170">
        <v>20.578949999999999</v>
      </c>
      <c r="G1257" s="171" t="s">
        <v>16</v>
      </c>
      <c r="H1257" s="168" t="s">
        <v>18</v>
      </c>
      <c r="I1257" s="171">
        <v>1</v>
      </c>
      <c r="J1257" s="171" t="s">
        <v>15</v>
      </c>
      <c r="K1257" s="171" t="s">
        <v>76</v>
      </c>
      <c r="L1257" s="168" t="s">
        <v>77</v>
      </c>
    </row>
    <row r="1258" spans="1:12" x14ac:dyDescent="0.2">
      <c r="A1258" s="168" t="s">
        <v>74</v>
      </c>
      <c r="B1258" s="168" t="s">
        <v>75</v>
      </c>
      <c r="C1258" s="168" t="s">
        <v>19</v>
      </c>
      <c r="D1258" s="168" t="s">
        <v>12</v>
      </c>
      <c r="E1258" s="169">
        <v>42115</v>
      </c>
      <c r="F1258" s="170">
        <v>4.68</v>
      </c>
      <c r="G1258" s="171" t="s">
        <v>13</v>
      </c>
      <c r="H1258" s="168" t="s">
        <v>14</v>
      </c>
      <c r="I1258" s="171">
        <v>1</v>
      </c>
      <c r="J1258" s="171" t="s">
        <v>15</v>
      </c>
      <c r="K1258" s="171" t="s">
        <v>76</v>
      </c>
      <c r="L1258" s="168" t="s">
        <v>77</v>
      </c>
    </row>
    <row r="1259" spans="1:12" x14ac:dyDescent="0.2">
      <c r="A1259" s="168" t="s">
        <v>74</v>
      </c>
      <c r="B1259" s="168" t="s">
        <v>75</v>
      </c>
      <c r="C1259" s="168" t="s">
        <v>19</v>
      </c>
      <c r="D1259" s="168" t="s">
        <v>12</v>
      </c>
      <c r="E1259" s="169">
        <v>42115</v>
      </c>
      <c r="F1259" s="170">
        <v>56.087834399999998</v>
      </c>
      <c r="G1259" s="171" t="s">
        <v>16</v>
      </c>
      <c r="H1259" s="168" t="s">
        <v>14</v>
      </c>
      <c r="I1259" s="171">
        <v>1</v>
      </c>
      <c r="J1259" s="171" t="s">
        <v>15</v>
      </c>
      <c r="K1259" s="171" t="s">
        <v>76</v>
      </c>
      <c r="L1259" s="168" t="s">
        <v>77</v>
      </c>
    </row>
    <row r="1260" spans="1:12" x14ac:dyDescent="0.2">
      <c r="A1260" s="168" t="s">
        <v>74</v>
      </c>
      <c r="B1260" s="168" t="s">
        <v>75</v>
      </c>
      <c r="C1260" s="168" t="s">
        <v>19</v>
      </c>
      <c r="D1260" s="168" t="s">
        <v>12</v>
      </c>
      <c r="E1260" s="169">
        <v>42115</v>
      </c>
      <c r="F1260" s="170">
        <v>2.63</v>
      </c>
      <c r="G1260" s="171" t="s">
        <v>13</v>
      </c>
      <c r="H1260" s="168" t="s">
        <v>18</v>
      </c>
      <c r="I1260" s="171">
        <v>1</v>
      </c>
      <c r="J1260" s="171" t="s">
        <v>15</v>
      </c>
      <c r="K1260" s="171" t="s">
        <v>76</v>
      </c>
      <c r="L1260" s="168" t="s">
        <v>77</v>
      </c>
    </row>
    <row r="1261" spans="1:12" x14ac:dyDescent="0.2">
      <c r="A1261" s="168" t="s">
        <v>74</v>
      </c>
      <c r="B1261" s="168" t="s">
        <v>75</v>
      </c>
      <c r="C1261" s="168" t="s">
        <v>19</v>
      </c>
      <c r="D1261" s="168" t="s">
        <v>12</v>
      </c>
      <c r="E1261" s="169">
        <v>42115</v>
      </c>
      <c r="F1261" s="170">
        <v>31.519445399999999</v>
      </c>
      <c r="G1261" s="171" t="s">
        <v>16</v>
      </c>
      <c r="H1261" s="168" t="s">
        <v>18</v>
      </c>
      <c r="I1261" s="171">
        <v>1</v>
      </c>
      <c r="J1261" s="171" t="s">
        <v>15</v>
      </c>
      <c r="K1261" s="171" t="s">
        <v>76</v>
      </c>
      <c r="L1261" s="168" t="s">
        <v>77</v>
      </c>
    </row>
    <row r="1262" spans="1:12" x14ac:dyDescent="0.2">
      <c r="A1262" s="168" t="s">
        <v>74</v>
      </c>
      <c r="B1262" s="168" t="s">
        <v>75</v>
      </c>
      <c r="C1262" s="168" t="s">
        <v>19</v>
      </c>
      <c r="D1262" s="168" t="s">
        <v>12</v>
      </c>
      <c r="E1262" s="169">
        <v>42108</v>
      </c>
      <c r="F1262" s="170">
        <v>5.78</v>
      </c>
      <c r="G1262" s="171" t="s">
        <v>13</v>
      </c>
      <c r="H1262" s="168" t="s">
        <v>14</v>
      </c>
      <c r="I1262" s="171">
        <v>1</v>
      </c>
      <c r="J1262" s="171" t="s">
        <v>15</v>
      </c>
      <c r="K1262" s="171" t="s">
        <v>76</v>
      </c>
      <c r="L1262" s="168" t="s">
        <v>77</v>
      </c>
    </row>
    <row r="1263" spans="1:12" x14ac:dyDescent="0.2">
      <c r="A1263" s="168" t="s">
        <v>74</v>
      </c>
      <c r="B1263" s="168" t="s">
        <v>75</v>
      </c>
      <c r="C1263" s="168" t="s">
        <v>19</v>
      </c>
      <c r="D1263" s="168" t="s">
        <v>12</v>
      </c>
      <c r="E1263" s="169">
        <v>42108</v>
      </c>
      <c r="F1263" s="170">
        <v>56.062647599999998</v>
      </c>
      <c r="G1263" s="171" t="s">
        <v>16</v>
      </c>
      <c r="H1263" s="168" t="s">
        <v>14</v>
      </c>
      <c r="I1263" s="171">
        <v>1</v>
      </c>
      <c r="J1263" s="171" t="s">
        <v>15</v>
      </c>
      <c r="K1263" s="171" t="s">
        <v>76</v>
      </c>
      <c r="L1263" s="168" t="s">
        <v>77</v>
      </c>
    </row>
    <row r="1264" spans="1:12" x14ac:dyDescent="0.2">
      <c r="A1264" s="168" t="s">
        <v>74</v>
      </c>
      <c r="B1264" s="168" t="s">
        <v>75</v>
      </c>
      <c r="C1264" s="168" t="s">
        <v>19</v>
      </c>
      <c r="D1264" s="168" t="s">
        <v>12</v>
      </c>
      <c r="E1264" s="169">
        <v>42108</v>
      </c>
      <c r="F1264" s="170">
        <v>3.04</v>
      </c>
      <c r="G1264" s="171" t="s">
        <v>13</v>
      </c>
      <c r="H1264" s="168" t="s">
        <v>18</v>
      </c>
      <c r="I1264" s="171">
        <v>1</v>
      </c>
      <c r="J1264" s="171" t="s">
        <v>15</v>
      </c>
      <c r="K1264" s="171" t="s">
        <v>76</v>
      </c>
      <c r="L1264" s="168" t="s">
        <v>77</v>
      </c>
    </row>
    <row r="1265" spans="1:12" x14ac:dyDescent="0.2">
      <c r="A1265" s="168" t="s">
        <v>74</v>
      </c>
      <c r="B1265" s="168" t="s">
        <v>75</v>
      </c>
      <c r="C1265" s="168" t="s">
        <v>19</v>
      </c>
      <c r="D1265" s="168" t="s">
        <v>12</v>
      </c>
      <c r="E1265" s="169">
        <v>42108</v>
      </c>
      <c r="F1265" s="170">
        <v>29.4862368</v>
      </c>
      <c r="G1265" s="171" t="s">
        <v>16</v>
      </c>
      <c r="H1265" s="168" t="s">
        <v>18</v>
      </c>
      <c r="I1265" s="171">
        <v>1</v>
      </c>
      <c r="J1265" s="171" t="s">
        <v>15</v>
      </c>
      <c r="K1265" s="171" t="s">
        <v>76</v>
      </c>
      <c r="L1265" s="168" t="s">
        <v>77</v>
      </c>
    </row>
    <row r="1266" spans="1:12" x14ac:dyDescent="0.2">
      <c r="A1266" s="168" t="s">
        <v>74</v>
      </c>
      <c r="B1266" s="168" t="s">
        <v>75</v>
      </c>
      <c r="C1266" s="168" t="s">
        <v>19</v>
      </c>
      <c r="D1266" s="168" t="s">
        <v>12</v>
      </c>
      <c r="E1266" s="169">
        <v>42100</v>
      </c>
      <c r="F1266" s="170">
        <v>5.72</v>
      </c>
      <c r="G1266" s="171" t="s">
        <v>13</v>
      </c>
      <c r="H1266" s="168" t="s">
        <v>14</v>
      </c>
      <c r="I1266" s="171">
        <v>1</v>
      </c>
      <c r="J1266" s="171" t="s">
        <v>15</v>
      </c>
      <c r="K1266" s="171" t="s">
        <v>76</v>
      </c>
      <c r="L1266" s="168" t="s">
        <v>77</v>
      </c>
    </row>
    <row r="1267" spans="1:12" x14ac:dyDescent="0.2">
      <c r="A1267" s="168" t="s">
        <v>74</v>
      </c>
      <c r="B1267" s="168" t="s">
        <v>75</v>
      </c>
      <c r="C1267" s="168" t="s">
        <v>19</v>
      </c>
      <c r="D1267" s="168" t="s">
        <v>12</v>
      </c>
      <c r="E1267" s="169">
        <v>42100</v>
      </c>
      <c r="F1267" s="170">
        <v>47.752504799999997</v>
      </c>
      <c r="G1267" s="171" t="s">
        <v>16</v>
      </c>
      <c r="H1267" s="168" t="s">
        <v>14</v>
      </c>
      <c r="I1267" s="171">
        <v>1</v>
      </c>
      <c r="J1267" s="171" t="s">
        <v>15</v>
      </c>
      <c r="K1267" s="171" t="s">
        <v>76</v>
      </c>
      <c r="L1267" s="168" t="s">
        <v>77</v>
      </c>
    </row>
    <row r="1268" spans="1:12" x14ac:dyDescent="0.2">
      <c r="A1268" s="168" t="s">
        <v>74</v>
      </c>
      <c r="B1268" s="168" t="s">
        <v>75</v>
      </c>
      <c r="C1268" s="168" t="s">
        <v>19</v>
      </c>
      <c r="D1268" s="168" t="s">
        <v>12</v>
      </c>
      <c r="E1268" s="169">
        <v>42100</v>
      </c>
      <c r="F1268" s="170">
        <v>4.5599999999999996</v>
      </c>
      <c r="G1268" s="171" t="s">
        <v>13</v>
      </c>
      <c r="H1268" s="168" t="s">
        <v>18</v>
      </c>
      <c r="I1268" s="171">
        <v>1</v>
      </c>
      <c r="J1268" s="171" t="s">
        <v>15</v>
      </c>
      <c r="K1268" s="171" t="s">
        <v>76</v>
      </c>
      <c r="L1268" s="168" t="s">
        <v>77</v>
      </c>
    </row>
    <row r="1269" spans="1:12" x14ac:dyDescent="0.2">
      <c r="A1269" s="168" t="s">
        <v>74</v>
      </c>
      <c r="B1269" s="168" t="s">
        <v>75</v>
      </c>
      <c r="C1269" s="168" t="s">
        <v>19</v>
      </c>
      <c r="D1269" s="168" t="s">
        <v>12</v>
      </c>
      <c r="E1269" s="169">
        <v>42100</v>
      </c>
      <c r="F1269" s="170">
        <v>38.068430399999997</v>
      </c>
      <c r="G1269" s="171" t="s">
        <v>16</v>
      </c>
      <c r="H1269" s="168" t="s">
        <v>18</v>
      </c>
      <c r="I1269" s="171">
        <v>1</v>
      </c>
      <c r="J1269" s="171" t="s">
        <v>15</v>
      </c>
      <c r="K1269" s="171" t="s">
        <v>76</v>
      </c>
      <c r="L1269" s="168" t="s">
        <v>77</v>
      </c>
    </row>
    <row r="1270" spans="1:12" x14ac:dyDescent="0.2">
      <c r="A1270" s="168" t="s">
        <v>74</v>
      </c>
      <c r="B1270" s="168" t="s">
        <v>75</v>
      </c>
      <c r="C1270" s="168" t="s">
        <v>19</v>
      </c>
      <c r="D1270" s="168" t="s">
        <v>12</v>
      </c>
      <c r="E1270" s="169">
        <v>42059</v>
      </c>
      <c r="F1270" s="170">
        <v>3.36</v>
      </c>
      <c r="G1270" s="171" t="s">
        <v>13</v>
      </c>
      <c r="H1270" s="168" t="s">
        <v>14</v>
      </c>
      <c r="I1270" s="171">
        <v>1</v>
      </c>
      <c r="J1270" s="171" t="s">
        <v>15</v>
      </c>
      <c r="K1270" s="171" t="s">
        <v>76</v>
      </c>
      <c r="L1270" s="168" t="s">
        <v>77</v>
      </c>
    </row>
    <row r="1271" spans="1:12" x14ac:dyDescent="0.2">
      <c r="A1271" s="168" t="s">
        <v>74</v>
      </c>
      <c r="B1271" s="168" t="s">
        <v>75</v>
      </c>
      <c r="C1271" s="168" t="s">
        <v>19</v>
      </c>
      <c r="D1271" s="168" t="s">
        <v>12</v>
      </c>
      <c r="E1271" s="169">
        <v>42059</v>
      </c>
      <c r="F1271" s="170">
        <v>27.854265600000002</v>
      </c>
      <c r="G1271" s="171" t="s">
        <v>16</v>
      </c>
      <c r="H1271" s="168" t="s">
        <v>14</v>
      </c>
      <c r="I1271" s="171">
        <v>1</v>
      </c>
      <c r="J1271" s="171" t="s">
        <v>15</v>
      </c>
      <c r="K1271" s="171" t="s">
        <v>76</v>
      </c>
      <c r="L1271" s="168" t="s">
        <v>77</v>
      </c>
    </row>
    <row r="1272" spans="1:12" x14ac:dyDescent="0.2">
      <c r="A1272" s="168" t="s">
        <v>74</v>
      </c>
      <c r="B1272" s="168" t="s">
        <v>75</v>
      </c>
      <c r="C1272" s="168" t="s">
        <v>19</v>
      </c>
      <c r="D1272" s="168" t="s">
        <v>12</v>
      </c>
      <c r="E1272" s="169">
        <v>42059</v>
      </c>
      <c r="F1272" s="170">
        <v>3.28</v>
      </c>
      <c r="G1272" s="171" t="s">
        <v>13</v>
      </c>
      <c r="H1272" s="168" t="s">
        <v>18</v>
      </c>
      <c r="I1272" s="171">
        <v>1</v>
      </c>
      <c r="J1272" s="171" t="s">
        <v>15</v>
      </c>
      <c r="K1272" s="171" t="s">
        <v>76</v>
      </c>
      <c r="L1272" s="168" t="s">
        <v>77</v>
      </c>
    </row>
    <row r="1273" spans="1:12" x14ac:dyDescent="0.2">
      <c r="A1273" s="168" t="s">
        <v>74</v>
      </c>
      <c r="B1273" s="168" t="s">
        <v>75</v>
      </c>
      <c r="C1273" s="168" t="s">
        <v>19</v>
      </c>
      <c r="D1273" s="168" t="s">
        <v>12</v>
      </c>
      <c r="E1273" s="169">
        <v>42059</v>
      </c>
      <c r="F1273" s="170">
        <v>27.1910688</v>
      </c>
      <c r="G1273" s="171" t="s">
        <v>16</v>
      </c>
      <c r="H1273" s="168" t="s">
        <v>18</v>
      </c>
      <c r="I1273" s="171">
        <v>1</v>
      </c>
      <c r="J1273" s="171" t="s">
        <v>15</v>
      </c>
      <c r="K1273" s="171" t="s">
        <v>76</v>
      </c>
      <c r="L1273" s="168" t="s">
        <v>77</v>
      </c>
    </row>
    <row r="1274" spans="1:12" x14ac:dyDescent="0.2">
      <c r="A1274" s="168" t="s">
        <v>74</v>
      </c>
      <c r="B1274" s="168" t="s">
        <v>75</v>
      </c>
      <c r="C1274" s="168" t="s">
        <v>19</v>
      </c>
      <c r="D1274" s="168" t="s">
        <v>12</v>
      </c>
      <c r="E1274" s="169">
        <v>42052</v>
      </c>
      <c r="F1274" s="229">
        <v>34.299999999999997</v>
      </c>
      <c r="G1274" s="171" t="s">
        <v>13</v>
      </c>
      <c r="H1274" s="168" t="s">
        <v>14</v>
      </c>
      <c r="I1274" s="171">
        <v>1</v>
      </c>
      <c r="J1274" s="171" t="s">
        <v>15</v>
      </c>
      <c r="K1274" s="171" t="s">
        <v>76</v>
      </c>
      <c r="L1274" s="168" t="s">
        <v>77</v>
      </c>
    </row>
    <row r="1275" spans="1:12" x14ac:dyDescent="0.2">
      <c r="A1275" s="168" t="s">
        <v>74</v>
      </c>
      <c r="B1275" s="168" t="s">
        <v>75</v>
      </c>
      <c r="C1275" s="168" t="s">
        <v>19</v>
      </c>
      <c r="D1275" s="168" t="s">
        <v>12</v>
      </c>
      <c r="E1275" s="169">
        <v>42052</v>
      </c>
      <c r="F1275" s="229">
        <v>281.19894599999998</v>
      </c>
      <c r="G1275" s="230" t="s">
        <v>16</v>
      </c>
      <c r="H1275" s="231" t="s">
        <v>14</v>
      </c>
      <c r="I1275" s="171">
        <v>1</v>
      </c>
      <c r="J1275" s="171" t="s">
        <v>15</v>
      </c>
      <c r="K1275" s="171" t="s">
        <v>76</v>
      </c>
      <c r="L1275" s="168" t="s">
        <v>77</v>
      </c>
    </row>
    <row r="1276" spans="1:12" x14ac:dyDescent="0.2">
      <c r="A1276" s="168" t="s">
        <v>74</v>
      </c>
      <c r="B1276" s="168" t="s">
        <v>75</v>
      </c>
      <c r="C1276" s="168" t="s">
        <v>19</v>
      </c>
      <c r="D1276" s="168" t="s">
        <v>12</v>
      </c>
      <c r="E1276" s="169">
        <v>42052</v>
      </c>
      <c r="F1276" s="229">
        <v>1.45</v>
      </c>
      <c r="G1276" s="171" t="s">
        <v>13</v>
      </c>
      <c r="H1276" s="168" t="s">
        <v>18</v>
      </c>
      <c r="I1276" s="171">
        <v>1</v>
      </c>
      <c r="J1276" s="171" t="s">
        <v>15</v>
      </c>
      <c r="K1276" s="171" t="s">
        <v>76</v>
      </c>
      <c r="L1276" s="168" t="s">
        <v>77</v>
      </c>
    </row>
    <row r="1277" spans="1:12" x14ac:dyDescent="0.2">
      <c r="A1277" s="168" t="s">
        <v>74</v>
      </c>
      <c r="B1277" s="168" t="s">
        <v>75</v>
      </c>
      <c r="C1277" s="168" t="s">
        <v>19</v>
      </c>
      <c r="D1277" s="168" t="s">
        <v>12</v>
      </c>
      <c r="E1277" s="169">
        <v>42052</v>
      </c>
      <c r="F1277" s="229">
        <v>11.887419</v>
      </c>
      <c r="G1277" s="171" t="s">
        <v>16</v>
      </c>
      <c r="H1277" s="168" t="s">
        <v>18</v>
      </c>
      <c r="I1277" s="171">
        <v>1</v>
      </c>
      <c r="J1277" s="171" t="s">
        <v>15</v>
      </c>
      <c r="K1277" s="171" t="s">
        <v>76</v>
      </c>
      <c r="L1277" s="168" t="s">
        <v>77</v>
      </c>
    </row>
    <row r="1278" spans="1:12" x14ac:dyDescent="0.2">
      <c r="A1278" s="168" t="s">
        <v>74</v>
      </c>
      <c r="B1278" s="168" t="s">
        <v>75</v>
      </c>
      <c r="C1278" s="168" t="s">
        <v>19</v>
      </c>
      <c r="D1278" s="168" t="s">
        <v>12</v>
      </c>
      <c r="E1278" s="169">
        <v>42045</v>
      </c>
      <c r="F1278" s="170">
        <v>4.38</v>
      </c>
      <c r="G1278" s="171" t="s">
        <v>13</v>
      </c>
      <c r="H1278" s="168" t="s">
        <v>14</v>
      </c>
      <c r="I1278" s="171">
        <v>1</v>
      </c>
      <c r="J1278" s="171" t="s">
        <v>15</v>
      </c>
      <c r="K1278" s="171" t="s">
        <v>76</v>
      </c>
      <c r="L1278" s="168" t="s">
        <v>77</v>
      </c>
    </row>
    <row r="1279" spans="1:12" x14ac:dyDescent="0.2">
      <c r="A1279" s="168" t="s">
        <v>74</v>
      </c>
      <c r="B1279" s="168" t="s">
        <v>75</v>
      </c>
      <c r="C1279" s="168" t="s">
        <v>19</v>
      </c>
      <c r="D1279" s="168" t="s">
        <v>12</v>
      </c>
      <c r="E1279" s="169">
        <v>42045</v>
      </c>
      <c r="F1279" s="170">
        <v>35.871674400000003</v>
      </c>
      <c r="G1279" s="171" t="s">
        <v>16</v>
      </c>
      <c r="H1279" s="168" t="s">
        <v>14</v>
      </c>
      <c r="I1279" s="171">
        <v>1</v>
      </c>
      <c r="J1279" s="171" t="s">
        <v>15</v>
      </c>
      <c r="K1279" s="171" t="s">
        <v>76</v>
      </c>
      <c r="L1279" s="168" t="s">
        <v>77</v>
      </c>
    </row>
    <row r="1280" spans="1:12" x14ac:dyDescent="0.2">
      <c r="A1280" s="168" t="s">
        <v>74</v>
      </c>
      <c r="B1280" s="168" t="s">
        <v>75</v>
      </c>
      <c r="C1280" s="168" t="s">
        <v>19</v>
      </c>
      <c r="D1280" s="168" t="s">
        <v>12</v>
      </c>
      <c r="E1280" s="169">
        <v>42045</v>
      </c>
      <c r="F1280" s="170">
        <v>3.61</v>
      </c>
      <c r="G1280" s="171" t="s">
        <v>13</v>
      </c>
      <c r="H1280" s="168" t="s">
        <v>18</v>
      </c>
      <c r="I1280" s="171">
        <v>1</v>
      </c>
      <c r="J1280" s="171" t="s">
        <v>15</v>
      </c>
      <c r="K1280" s="171" t="s">
        <v>76</v>
      </c>
      <c r="L1280" s="168" t="s">
        <v>77</v>
      </c>
    </row>
    <row r="1281" spans="1:12" x14ac:dyDescent="0.2">
      <c r="A1281" s="168" t="s">
        <v>74</v>
      </c>
      <c r="B1281" s="168" t="s">
        <v>75</v>
      </c>
      <c r="C1281" s="168" t="s">
        <v>19</v>
      </c>
      <c r="D1281" s="168" t="s">
        <v>12</v>
      </c>
      <c r="E1281" s="169">
        <v>42045</v>
      </c>
      <c r="F1281" s="170">
        <v>29.565466799999999</v>
      </c>
      <c r="G1281" s="171" t="s">
        <v>16</v>
      </c>
      <c r="H1281" s="168" t="s">
        <v>18</v>
      </c>
      <c r="I1281" s="171">
        <v>1</v>
      </c>
      <c r="J1281" s="171" t="s">
        <v>15</v>
      </c>
      <c r="K1281" s="171" t="s">
        <v>76</v>
      </c>
      <c r="L1281" s="168" t="s">
        <v>77</v>
      </c>
    </row>
    <row r="1282" spans="1:12" x14ac:dyDescent="0.2">
      <c r="A1282" s="168" t="s">
        <v>74</v>
      </c>
      <c r="B1282" s="168" t="s">
        <v>75</v>
      </c>
      <c r="C1282" s="168" t="s">
        <v>19</v>
      </c>
      <c r="D1282" s="168" t="s">
        <v>12</v>
      </c>
      <c r="E1282" s="169">
        <v>42038</v>
      </c>
      <c r="F1282" s="170">
        <v>4.3499999999999996</v>
      </c>
      <c r="G1282" s="171" t="s">
        <v>13</v>
      </c>
      <c r="H1282" s="168" t="s">
        <v>14</v>
      </c>
      <c r="I1282" s="171">
        <v>1</v>
      </c>
      <c r="J1282" s="171" t="s">
        <v>15</v>
      </c>
      <c r="K1282" s="171" t="s">
        <v>76</v>
      </c>
      <c r="L1282" s="168" t="s">
        <v>77</v>
      </c>
    </row>
    <row r="1283" spans="1:12" x14ac:dyDescent="0.2">
      <c r="A1283" s="168" t="s">
        <v>74</v>
      </c>
      <c r="B1283" s="168" t="s">
        <v>75</v>
      </c>
      <c r="C1283" s="168" t="s">
        <v>19</v>
      </c>
      <c r="D1283" s="168" t="s">
        <v>12</v>
      </c>
      <c r="E1283" s="169">
        <v>42038</v>
      </c>
      <c r="F1283" s="170">
        <v>36.061326000000001</v>
      </c>
      <c r="G1283" s="171" t="s">
        <v>16</v>
      </c>
      <c r="H1283" s="168" t="s">
        <v>14</v>
      </c>
      <c r="I1283" s="171">
        <v>1</v>
      </c>
      <c r="J1283" s="171" t="s">
        <v>15</v>
      </c>
      <c r="K1283" s="171" t="s">
        <v>76</v>
      </c>
      <c r="L1283" s="168" t="s">
        <v>77</v>
      </c>
    </row>
    <row r="1284" spans="1:12" x14ac:dyDescent="0.2">
      <c r="A1284" s="168" t="s">
        <v>74</v>
      </c>
      <c r="B1284" s="168" t="s">
        <v>75</v>
      </c>
      <c r="C1284" s="168" t="s">
        <v>19</v>
      </c>
      <c r="D1284" s="168" t="s">
        <v>12</v>
      </c>
      <c r="E1284" s="169">
        <v>42038</v>
      </c>
      <c r="F1284" s="170">
        <v>3.45</v>
      </c>
      <c r="G1284" s="171" t="s">
        <v>13</v>
      </c>
      <c r="H1284" s="168" t="s">
        <v>18</v>
      </c>
      <c r="I1284" s="171">
        <v>1</v>
      </c>
      <c r="J1284" s="171" t="s">
        <v>15</v>
      </c>
      <c r="K1284" s="171" t="s">
        <v>76</v>
      </c>
      <c r="L1284" s="168" t="s">
        <v>77</v>
      </c>
    </row>
    <row r="1285" spans="1:12" x14ac:dyDescent="0.2">
      <c r="A1285" s="168" t="s">
        <v>74</v>
      </c>
      <c r="B1285" s="168" t="s">
        <v>75</v>
      </c>
      <c r="C1285" s="168" t="s">
        <v>19</v>
      </c>
      <c r="D1285" s="168" t="s">
        <v>12</v>
      </c>
      <c r="E1285" s="169">
        <v>42038</v>
      </c>
      <c r="F1285" s="170">
        <v>28.600362000000001</v>
      </c>
      <c r="G1285" s="171" t="s">
        <v>16</v>
      </c>
      <c r="H1285" s="168" t="s">
        <v>18</v>
      </c>
      <c r="I1285" s="171">
        <v>1</v>
      </c>
      <c r="J1285" s="171" t="s">
        <v>15</v>
      </c>
      <c r="K1285" s="171" t="s">
        <v>76</v>
      </c>
      <c r="L1285" s="168" t="s">
        <v>77</v>
      </c>
    </row>
    <row r="1286" spans="1:12" x14ac:dyDescent="0.2">
      <c r="A1286" s="168" t="s">
        <v>74</v>
      </c>
      <c r="B1286" s="168" t="s">
        <v>75</v>
      </c>
      <c r="C1286" s="168" t="s">
        <v>19</v>
      </c>
      <c r="D1286" s="168" t="s">
        <v>12</v>
      </c>
      <c r="E1286" s="169">
        <v>42031</v>
      </c>
      <c r="F1286" s="170">
        <v>5.09</v>
      </c>
      <c r="G1286" s="171" t="s">
        <v>13</v>
      </c>
      <c r="H1286" s="168" t="s">
        <v>14</v>
      </c>
      <c r="I1286" s="171">
        <v>1</v>
      </c>
      <c r="J1286" s="171" t="s">
        <v>15</v>
      </c>
      <c r="K1286" s="171" t="s">
        <v>76</v>
      </c>
      <c r="L1286" s="168" t="s">
        <v>77</v>
      </c>
    </row>
    <row r="1287" spans="1:12" x14ac:dyDescent="0.2">
      <c r="A1287" s="168" t="s">
        <v>74</v>
      </c>
      <c r="B1287" s="168" t="s">
        <v>75</v>
      </c>
      <c r="C1287" s="168" t="s">
        <v>19</v>
      </c>
      <c r="D1287" s="168" t="s">
        <v>12</v>
      </c>
      <c r="E1287" s="169">
        <v>42031</v>
      </c>
      <c r="F1287" s="170">
        <v>42.917556599999998</v>
      </c>
      <c r="G1287" s="171" t="s">
        <v>16</v>
      </c>
      <c r="H1287" s="168" t="s">
        <v>14</v>
      </c>
      <c r="I1287" s="171">
        <v>1</v>
      </c>
      <c r="J1287" s="171" t="s">
        <v>15</v>
      </c>
      <c r="K1287" s="171" t="s">
        <v>76</v>
      </c>
      <c r="L1287" s="168" t="s">
        <v>77</v>
      </c>
    </row>
    <row r="1288" spans="1:12" x14ac:dyDescent="0.2">
      <c r="A1288" s="168" t="s">
        <v>74</v>
      </c>
      <c r="B1288" s="168" t="s">
        <v>75</v>
      </c>
      <c r="C1288" s="168" t="s">
        <v>19</v>
      </c>
      <c r="D1288" s="168" t="s">
        <v>12</v>
      </c>
      <c r="E1288" s="169">
        <v>42031</v>
      </c>
      <c r="F1288" s="170">
        <v>4.12</v>
      </c>
      <c r="G1288" s="171" t="s">
        <v>13</v>
      </c>
      <c r="H1288" s="168" t="s">
        <v>18</v>
      </c>
      <c r="I1288" s="171">
        <v>1</v>
      </c>
      <c r="J1288" s="171" t="s">
        <v>15</v>
      </c>
      <c r="K1288" s="171" t="s">
        <v>76</v>
      </c>
      <c r="L1288" s="168" t="s">
        <v>77</v>
      </c>
    </row>
    <row r="1289" spans="1:12" x14ac:dyDescent="0.2">
      <c r="A1289" s="168" t="s">
        <v>74</v>
      </c>
      <c r="B1289" s="168" t="s">
        <v>75</v>
      </c>
      <c r="C1289" s="168" t="s">
        <v>19</v>
      </c>
      <c r="D1289" s="168" t="s">
        <v>12</v>
      </c>
      <c r="E1289" s="169">
        <v>42031</v>
      </c>
      <c r="F1289" s="170">
        <v>34.738768800000003</v>
      </c>
      <c r="G1289" s="171" t="s">
        <v>16</v>
      </c>
      <c r="H1289" s="168" t="s">
        <v>18</v>
      </c>
      <c r="I1289" s="171">
        <v>1</v>
      </c>
      <c r="J1289" s="171" t="s">
        <v>15</v>
      </c>
      <c r="K1289" s="171" t="s">
        <v>76</v>
      </c>
      <c r="L1289" s="168" t="s">
        <v>77</v>
      </c>
    </row>
    <row r="1290" spans="1:12" x14ac:dyDescent="0.2">
      <c r="A1290" s="168" t="s">
        <v>74</v>
      </c>
      <c r="B1290" s="168" t="s">
        <v>75</v>
      </c>
      <c r="C1290" s="168" t="s">
        <v>19</v>
      </c>
      <c r="D1290" s="168" t="s">
        <v>12</v>
      </c>
      <c r="E1290" s="169">
        <v>42024</v>
      </c>
      <c r="F1290" s="170">
        <v>4.55</v>
      </c>
      <c r="G1290" s="171" t="s">
        <v>13</v>
      </c>
      <c r="H1290" s="168" t="s">
        <v>14</v>
      </c>
      <c r="I1290" s="171">
        <v>1</v>
      </c>
      <c r="J1290" s="171" t="s">
        <v>15</v>
      </c>
      <c r="K1290" s="171" t="s">
        <v>76</v>
      </c>
      <c r="L1290" s="168" t="s">
        <v>77</v>
      </c>
    </row>
    <row r="1291" spans="1:12" x14ac:dyDescent="0.2">
      <c r="A1291" s="168" t="s">
        <v>74</v>
      </c>
      <c r="B1291" s="168" t="s">
        <v>75</v>
      </c>
      <c r="C1291" s="168" t="s">
        <v>19</v>
      </c>
      <c r="D1291" s="168" t="s">
        <v>12</v>
      </c>
      <c r="E1291" s="169">
        <v>42024</v>
      </c>
      <c r="F1291" s="170">
        <v>37.947000000000003</v>
      </c>
      <c r="G1291" s="171" t="s">
        <v>16</v>
      </c>
      <c r="H1291" s="168" t="s">
        <v>14</v>
      </c>
      <c r="I1291" s="171">
        <v>1</v>
      </c>
      <c r="J1291" s="171" t="s">
        <v>15</v>
      </c>
      <c r="K1291" s="171" t="s">
        <v>76</v>
      </c>
      <c r="L1291" s="168" t="s">
        <v>77</v>
      </c>
    </row>
    <row r="1292" spans="1:12" x14ac:dyDescent="0.2">
      <c r="A1292" s="168" t="s">
        <v>74</v>
      </c>
      <c r="B1292" s="168" t="s">
        <v>75</v>
      </c>
      <c r="C1292" s="168" t="s">
        <v>19</v>
      </c>
      <c r="D1292" s="168" t="s">
        <v>12</v>
      </c>
      <c r="E1292" s="169">
        <v>42024</v>
      </c>
      <c r="F1292" s="170">
        <v>3.78</v>
      </c>
      <c r="G1292" s="171" t="s">
        <v>13</v>
      </c>
      <c r="H1292" s="168" t="s">
        <v>18</v>
      </c>
      <c r="I1292" s="171">
        <v>1</v>
      </c>
      <c r="J1292" s="171" t="s">
        <v>15</v>
      </c>
      <c r="K1292" s="171" t="s">
        <v>76</v>
      </c>
      <c r="L1292" s="168" t="s">
        <v>77</v>
      </c>
    </row>
    <row r="1293" spans="1:12" x14ac:dyDescent="0.2">
      <c r="A1293" s="168" t="s">
        <v>74</v>
      </c>
      <c r="B1293" s="168" t="s">
        <v>75</v>
      </c>
      <c r="C1293" s="168" t="s">
        <v>19</v>
      </c>
      <c r="D1293" s="168" t="s">
        <v>12</v>
      </c>
      <c r="E1293" s="169">
        <v>42024</v>
      </c>
      <c r="F1293" s="170">
        <v>31.525200000000002</v>
      </c>
      <c r="G1293" s="171" t="s">
        <v>16</v>
      </c>
      <c r="H1293" s="168" t="s">
        <v>18</v>
      </c>
      <c r="I1293" s="171">
        <v>1</v>
      </c>
      <c r="J1293" s="171" t="s">
        <v>15</v>
      </c>
      <c r="K1293" s="171" t="s">
        <v>76</v>
      </c>
      <c r="L1293" s="168" t="s">
        <v>77</v>
      </c>
    </row>
    <row r="1294" spans="1:12" x14ac:dyDescent="0.2">
      <c r="A1294" s="168" t="s">
        <v>74</v>
      </c>
      <c r="B1294" s="168" t="s">
        <v>75</v>
      </c>
      <c r="C1294" s="168" t="s">
        <v>19</v>
      </c>
      <c r="D1294" s="168" t="s">
        <v>12</v>
      </c>
      <c r="E1294" s="169">
        <v>42017</v>
      </c>
      <c r="F1294" s="170">
        <v>4.87</v>
      </c>
      <c r="G1294" s="171" t="s">
        <v>13</v>
      </c>
      <c r="H1294" s="168" t="s">
        <v>14</v>
      </c>
      <c r="I1294" s="171">
        <v>1</v>
      </c>
      <c r="J1294" s="171" t="s">
        <v>15</v>
      </c>
      <c r="K1294" s="171" t="s">
        <v>76</v>
      </c>
      <c r="L1294" s="168" t="s">
        <v>77</v>
      </c>
    </row>
    <row r="1295" spans="1:12" x14ac:dyDescent="0.2">
      <c r="A1295" s="168" t="s">
        <v>74</v>
      </c>
      <c r="B1295" s="168" t="s">
        <v>75</v>
      </c>
      <c r="C1295" s="168" t="s">
        <v>19</v>
      </c>
      <c r="D1295" s="168" t="s">
        <v>12</v>
      </c>
      <c r="E1295" s="169">
        <v>42017</v>
      </c>
      <c r="F1295" s="170">
        <v>40.778263199999998</v>
      </c>
      <c r="G1295" s="171" t="s">
        <v>16</v>
      </c>
      <c r="H1295" s="168" t="s">
        <v>14</v>
      </c>
      <c r="I1295" s="171">
        <v>1</v>
      </c>
      <c r="J1295" s="171" t="s">
        <v>15</v>
      </c>
      <c r="K1295" s="171" t="s">
        <v>76</v>
      </c>
      <c r="L1295" s="168" t="s">
        <v>77</v>
      </c>
    </row>
    <row r="1296" spans="1:12" x14ac:dyDescent="0.2">
      <c r="A1296" s="168" t="s">
        <v>74</v>
      </c>
      <c r="B1296" s="168" t="s">
        <v>75</v>
      </c>
      <c r="C1296" s="168" t="s">
        <v>19</v>
      </c>
      <c r="D1296" s="168" t="s">
        <v>12</v>
      </c>
      <c r="E1296" s="169">
        <v>42017</v>
      </c>
      <c r="F1296" s="170">
        <v>3.97</v>
      </c>
      <c r="G1296" s="171" t="s">
        <v>13</v>
      </c>
      <c r="H1296" s="168" t="s">
        <v>18</v>
      </c>
      <c r="I1296" s="171">
        <v>1</v>
      </c>
      <c r="J1296" s="171" t="s">
        <v>15</v>
      </c>
      <c r="K1296" s="171" t="s">
        <v>76</v>
      </c>
      <c r="L1296" s="168" t="s">
        <v>77</v>
      </c>
    </row>
    <row r="1297" spans="1:12" x14ac:dyDescent="0.2">
      <c r="A1297" s="168" t="s">
        <v>74</v>
      </c>
      <c r="B1297" s="168" t="s">
        <v>75</v>
      </c>
      <c r="C1297" s="168" t="s">
        <v>19</v>
      </c>
      <c r="D1297" s="168" t="s">
        <v>12</v>
      </c>
      <c r="E1297" s="169">
        <v>42017</v>
      </c>
      <c r="F1297" s="170">
        <v>33.2422392</v>
      </c>
      <c r="G1297" s="171" t="s">
        <v>16</v>
      </c>
      <c r="H1297" s="168" t="s">
        <v>18</v>
      </c>
      <c r="I1297" s="171">
        <v>1</v>
      </c>
      <c r="J1297" s="171" t="s">
        <v>15</v>
      </c>
      <c r="K1297" s="171" t="s">
        <v>76</v>
      </c>
      <c r="L1297" s="168" t="s">
        <v>77</v>
      </c>
    </row>
    <row r="1298" spans="1:12" x14ac:dyDescent="0.2">
      <c r="A1298" s="168" t="s">
        <v>74</v>
      </c>
      <c r="B1298" s="168" t="s">
        <v>75</v>
      </c>
      <c r="C1298" s="168" t="s">
        <v>19</v>
      </c>
      <c r="D1298" s="168" t="s">
        <v>12</v>
      </c>
      <c r="E1298" s="169">
        <v>42010</v>
      </c>
      <c r="F1298" s="170">
        <v>4.6500000000000004</v>
      </c>
      <c r="G1298" s="171" t="s">
        <v>13</v>
      </c>
      <c r="H1298" s="168" t="s">
        <v>14</v>
      </c>
      <c r="I1298" s="171">
        <v>1</v>
      </c>
      <c r="J1298" s="171" t="s">
        <v>15</v>
      </c>
      <c r="K1298" s="171" t="s">
        <v>76</v>
      </c>
      <c r="L1298" s="168" t="s">
        <v>77</v>
      </c>
    </row>
    <row r="1299" spans="1:12" x14ac:dyDescent="0.2">
      <c r="A1299" s="168" t="s">
        <v>74</v>
      </c>
      <c r="B1299" s="168" t="s">
        <v>75</v>
      </c>
      <c r="C1299" s="168" t="s">
        <v>19</v>
      </c>
      <c r="D1299" s="168" t="s">
        <v>12</v>
      </c>
      <c r="E1299" s="169">
        <v>42010</v>
      </c>
      <c r="F1299" s="170">
        <v>39.091248</v>
      </c>
      <c r="G1299" s="171" t="s">
        <v>16</v>
      </c>
      <c r="H1299" s="168" t="s">
        <v>14</v>
      </c>
      <c r="I1299" s="171">
        <v>1</v>
      </c>
      <c r="J1299" s="171" t="s">
        <v>15</v>
      </c>
      <c r="K1299" s="171" t="s">
        <v>76</v>
      </c>
      <c r="L1299" s="168" t="s">
        <v>77</v>
      </c>
    </row>
    <row r="1300" spans="1:12" x14ac:dyDescent="0.2">
      <c r="A1300" s="168" t="s">
        <v>74</v>
      </c>
      <c r="B1300" s="168" t="s">
        <v>75</v>
      </c>
      <c r="C1300" s="168" t="s">
        <v>19</v>
      </c>
      <c r="D1300" s="168" t="s">
        <v>12</v>
      </c>
      <c r="E1300" s="169">
        <v>42010</v>
      </c>
      <c r="F1300" s="170">
        <v>3.9</v>
      </c>
      <c r="G1300" s="171" t="s">
        <v>13</v>
      </c>
      <c r="H1300" s="168" t="s">
        <v>18</v>
      </c>
      <c r="I1300" s="171">
        <v>1</v>
      </c>
      <c r="J1300" s="171" t="s">
        <v>15</v>
      </c>
      <c r="K1300" s="171" t="s">
        <v>76</v>
      </c>
      <c r="L1300" s="168" t="s">
        <v>77</v>
      </c>
    </row>
    <row r="1301" spans="1:12" x14ac:dyDescent="0.2">
      <c r="A1301" s="168" t="s">
        <v>74</v>
      </c>
      <c r="B1301" s="168" t="s">
        <v>75</v>
      </c>
      <c r="C1301" s="168" t="s">
        <v>19</v>
      </c>
      <c r="D1301" s="168" t="s">
        <v>12</v>
      </c>
      <c r="E1301" s="169">
        <v>42010</v>
      </c>
      <c r="F1301" s="170">
        <v>32.786208000000002</v>
      </c>
      <c r="G1301" s="171" t="s">
        <v>16</v>
      </c>
      <c r="H1301" s="168" t="s">
        <v>18</v>
      </c>
      <c r="I1301" s="171">
        <v>1</v>
      </c>
      <c r="J1301" s="171" t="s">
        <v>15</v>
      </c>
      <c r="K1301" s="171" t="s">
        <v>76</v>
      </c>
      <c r="L1301" s="168" t="s">
        <v>77</v>
      </c>
    </row>
    <row r="1302" spans="1:12" x14ac:dyDescent="0.2">
      <c r="A1302" s="168" t="s">
        <v>74</v>
      </c>
      <c r="B1302" s="168" t="s">
        <v>75</v>
      </c>
      <c r="C1302" s="168" t="s">
        <v>19</v>
      </c>
      <c r="D1302" s="168" t="s">
        <v>12</v>
      </c>
      <c r="E1302" s="169">
        <v>42002</v>
      </c>
      <c r="F1302" s="170">
        <v>5.19</v>
      </c>
      <c r="G1302" s="171" t="s">
        <v>13</v>
      </c>
      <c r="H1302" s="168" t="s">
        <v>14</v>
      </c>
      <c r="I1302" s="171">
        <v>1</v>
      </c>
      <c r="J1302" s="171" t="s">
        <v>15</v>
      </c>
      <c r="K1302" s="171" t="s">
        <v>76</v>
      </c>
      <c r="L1302" s="168" t="s">
        <v>77</v>
      </c>
    </row>
    <row r="1303" spans="1:12" x14ac:dyDescent="0.2">
      <c r="A1303" s="168" t="s">
        <v>74</v>
      </c>
      <c r="B1303" s="168" t="s">
        <v>75</v>
      </c>
      <c r="C1303" s="168" t="s">
        <v>19</v>
      </c>
      <c r="D1303" s="168" t="s">
        <v>12</v>
      </c>
      <c r="E1303" s="169">
        <v>42002</v>
      </c>
      <c r="F1303" s="170">
        <v>43.933869000000001</v>
      </c>
      <c r="G1303" s="171" t="s">
        <v>16</v>
      </c>
      <c r="H1303" s="168" t="s">
        <v>14</v>
      </c>
      <c r="I1303" s="171">
        <v>1</v>
      </c>
      <c r="J1303" s="171" t="s">
        <v>15</v>
      </c>
      <c r="K1303" s="171" t="s">
        <v>76</v>
      </c>
      <c r="L1303" s="168" t="s">
        <v>77</v>
      </c>
    </row>
    <row r="1304" spans="1:12" x14ac:dyDescent="0.2">
      <c r="A1304" s="168" t="s">
        <v>74</v>
      </c>
      <c r="B1304" s="168" t="s">
        <v>75</v>
      </c>
      <c r="C1304" s="168" t="s">
        <v>19</v>
      </c>
      <c r="D1304" s="168" t="s">
        <v>12</v>
      </c>
      <c r="E1304" s="169">
        <v>42002</v>
      </c>
      <c r="F1304" s="170">
        <v>3.68</v>
      </c>
      <c r="G1304" s="171" t="s">
        <v>13</v>
      </c>
      <c r="H1304" s="168" t="s">
        <v>18</v>
      </c>
      <c r="I1304" s="171">
        <v>1</v>
      </c>
      <c r="J1304" s="171" t="s">
        <v>15</v>
      </c>
      <c r="K1304" s="171" t="s">
        <v>76</v>
      </c>
      <c r="L1304" s="168" t="s">
        <v>77</v>
      </c>
    </row>
    <row r="1305" spans="1:12" x14ac:dyDescent="0.2">
      <c r="A1305" s="168" t="s">
        <v>74</v>
      </c>
      <c r="B1305" s="168" t="s">
        <v>75</v>
      </c>
      <c r="C1305" s="168" t="s">
        <v>19</v>
      </c>
      <c r="D1305" s="168" t="s">
        <v>12</v>
      </c>
      <c r="E1305" s="169">
        <v>42002</v>
      </c>
      <c r="F1305" s="170">
        <v>31.151568000000001</v>
      </c>
      <c r="G1305" s="171" t="s">
        <v>16</v>
      </c>
      <c r="H1305" s="168" t="s">
        <v>18</v>
      </c>
      <c r="I1305" s="171">
        <v>1</v>
      </c>
      <c r="J1305" s="171" t="s">
        <v>15</v>
      </c>
      <c r="K1305" s="171" t="s">
        <v>76</v>
      </c>
      <c r="L1305" s="168" t="s">
        <v>77</v>
      </c>
    </row>
    <row r="1306" spans="1:12" x14ac:dyDescent="0.2">
      <c r="A1306" s="168" t="s">
        <v>74</v>
      </c>
      <c r="B1306" s="168" t="s">
        <v>75</v>
      </c>
      <c r="C1306" s="168" t="s">
        <v>19</v>
      </c>
      <c r="D1306" s="168" t="s">
        <v>12</v>
      </c>
      <c r="E1306" s="169">
        <v>41994</v>
      </c>
      <c r="F1306" s="170">
        <v>4.54</v>
      </c>
      <c r="G1306" s="171" t="s">
        <v>13</v>
      </c>
      <c r="H1306" s="168" t="s">
        <v>14</v>
      </c>
      <c r="I1306" s="171">
        <v>1</v>
      </c>
      <c r="J1306" s="171" t="s">
        <v>15</v>
      </c>
      <c r="K1306" s="171" t="s">
        <v>76</v>
      </c>
      <c r="L1306" s="168" t="s">
        <v>77</v>
      </c>
    </row>
    <row r="1307" spans="1:12" x14ac:dyDescent="0.2">
      <c r="A1307" s="168" t="s">
        <v>74</v>
      </c>
      <c r="B1307" s="168" t="s">
        <v>75</v>
      </c>
      <c r="C1307" s="168" t="s">
        <v>19</v>
      </c>
      <c r="D1307" s="168" t="s">
        <v>12</v>
      </c>
      <c r="E1307" s="169">
        <v>41994</v>
      </c>
      <c r="F1307" s="170">
        <v>33.774331199999999</v>
      </c>
      <c r="G1307" s="171" t="s">
        <v>16</v>
      </c>
      <c r="H1307" s="168" t="s">
        <v>14</v>
      </c>
      <c r="I1307" s="171">
        <v>1</v>
      </c>
      <c r="J1307" s="171" t="s">
        <v>15</v>
      </c>
      <c r="K1307" s="171" t="s">
        <v>76</v>
      </c>
      <c r="L1307" s="168" t="s">
        <v>77</v>
      </c>
    </row>
    <row r="1308" spans="1:12" x14ac:dyDescent="0.2">
      <c r="A1308" s="168" t="s">
        <v>74</v>
      </c>
      <c r="B1308" s="168" t="s">
        <v>75</v>
      </c>
      <c r="C1308" s="168" t="s">
        <v>19</v>
      </c>
      <c r="D1308" s="168" t="s">
        <v>12</v>
      </c>
      <c r="E1308" s="169">
        <v>41994</v>
      </c>
      <c r="F1308" s="170">
        <v>3.5</v>
      </c>
      <c r="G1308" s="171" t="s">
        <v>13</v>
      </c>
      <c r="H1308" s="168" t="s">
        <v>18</v>
      </c>
      <c r="I1308" s="171">
        <v>1</v>
      </c>
      <c r="J1308" s="171" t="s">
        <v>15</v>
      </c>
      <c r="K1308" s="171" t="s">
        <v>76</v>
      </c>
      <c r="L1308" s="168" t="s">
        <v>77</v>
      </c>
    </row>
    <row r="1309" spans="1:12" x14ac:dyDescent="0.2">
      <c r="A1309" s="168" t="s">
        <v>74</v>
      </c>
      <c r="B1309" s="168" t="s">
        <v>75</v>
      </c>
      <c r="C1309" s="168" t="s">
        <v>19</v>
      </c>
      <c r="D1309" s="168" t="s">
        <v>12</v>
      </c>
      <c r="E1309" s="169">
        <v>41994</v>
      </c>
      <c r="F1309" s="170">
        <v>26.037479999999999</v>
      </c>
      <c r="G1309" s="171" t="s">
        <v>16</v>
      </c>
      <c r="H1309" s="168" t="s">
        <v>18</v>
      </c>
      <c r="I1309" s="171">
        <v>1</v>
      </c>
      <c r="J1309" s="171" t="s">
        <v>15</v>
      </c>
      <c r="K1309" s="171" t="s">
        <v>76</v>
      </c>
      <c r="L1309" s="168" t="s">
        <v>77</v>
      </c>
    </row>
    <row r="1310" spans="1:12" x14ac:dyDescent="0.2">
      <c r="A1310" s="168" t="s">
        <v>74</v>
      </c>
      <c r="B1310" s="168" t="s">
        <v>75</v>
      </c>
      <c r="C1310" s="168" t="s">
        <v>19</v>
      </c>
      <c r="D1310" s="168" t="s">
        <v>12</v>
      </c>
      <c r="E1310" s="169">
        <v>41989</v>
      </c>
      <c r="F1310" s="170">
        <v>4.6100000000000003</v>
      </c>
      <c r="G1310" s="171" t="s">
        <v>13</v>
      </c>
      <c r="H1310" s="168" t="s">
        <v>14</v>
      </c>
      <c r="I1310" s="171">
        <v>1</v>
      </c>
      <c r="J1310" s="171" t="s">
        <v>15</v>
      </c>
      <c r="K1310" s="171" t="s">
        <v>76</v>
      </c>
      <c r="L1310" s="168" t="s">
        <v>77</v>
      </c>
    </row>
    <row r="1311" spans="1:12" x14ac:dyDescent="0.2">
      <c r="A1311" s="168" t="s">
        <v>74</v>
      </c>
      <c r="B1311" s="168" t="s">
        <v>75</v>
      </c>
      <c r="C1311" s="168" t="s">
        <v>19</v>
      </c>
      <c r="D1311" s="168" t="s">
        <v>12</v>
      </c>
      <c r="E1311" s="169">
        <v>41989</v>
      </c>
      <c r="F1311" s="170">
        <v>40.139085600000001</v>
      </c>
      <c r="G1311" s="171" t="s">
        <v>16</v>
      </c>
      <c r="H1311" s="168" t="s">
        <v>14</v>
      </c>
      <c r="I1311" s="171">
        <v>1</v>
      </c>
      <c r="J1311" s="171" t="s">
        <v>15</v>
      </c>
      <c r="K1311" s="171" t="s">
        <v>76</v>
      </c>
      <c r="L1311" s="168" t="s">
        <v>77</v>
      </c>
    </row>
    <row r="1312" spans="1:12" x14ac:dyDescent="0.2">
      <c r="A1312" s="168" t="s">
        <v>74</v>
      </c>
      <c r="B1312" s="168" t="s">
        <v>75</v>
      </c>
      <c r="C1312" s="168" t="s">
        <v>19</v>
      </c>
      <c r="D1312" s="168" t="s">
        <v>12</v>
      </c>
      <c r="E1312" s="169">
        <v>41989</v>
      </c>
      <c r="F1312" s="170">
        <v>3.84</v>
      </c>
      <c r="G1312" s="171" t="s">
        <v>13</v>
      </c>
      <c r="H1312" s="168" t="s">
        <v>18</v>
      </c>
      <c r="I1312" s="171">
        <v>1</v>
      </c>
      <c r="J1312" s="171" t="s">
        <v>15</v>
      </c>
      <c r="K1312" s="171" t="s">
        <v>76</v>
      </c>
      <c r="L1312" s="168" t="s">
        <v>77</v>
      </c>
    </row>
    <row r="1313" spans="1:12" x14ac:dyDescent="0.2">
      <c r="A1313" s="168" t="s">
        <v>74</v>
      </c>
      <c r="B1313" s="168" t="s">
        <v>75</v>
      </c>
      <c r="C1313" s="168" t="s">
        <v>19</v>
      </c>
      <c r="D1313" s="168" t="s">
        <v>12</v>
      </c>
      <c r="E1313" s="169">
        <v>41989</v>
      </c>
      <c r="F1313" s="170">
        <v>33.434726400000002</v>
      </c>
      <c r="G1313" s="171" t="s">
        <v>16</v>
      </c>
      <c r="H1313" s="168" t="s">
        <v>18</v>
      </c>
      <c r="I1313" s="171">
        <v>1</v>
      </c>
      <c r="J1313" s="171" t="s">
        <v>15</v>
      </c>
      <c r="K1313" s="171" t="s">
        <v>76</v>
      </c>
      <c r="L1313" s="168" t="s">
        <v>77</v>
      </c>
    </row>
    <row r="1314" spans="1:12" x14ac:dyDescent="0.2">
      <c r="A1314" s="168" t="s">
        <v>74</v>
      </c>
      <c r="B1314" s="168" t="s">
        <v>75</v>
      </c>
      <c r="C1314" s="168" t="s">
        <v>19</v>
      </c>
      <c r="D1314" s="168" t="s">
        <v>12</v>
      </c>
      <c r="E1314" s="169">
        <v>41982</v>
      </c>
      <c r="F1314" s="170">
        <v>4.9400000000000004</v>
      </c>
      <c r="G1314" s="171" t="s">
        <v>13</v>
      </c>
      <c r="H1314" s="168" t="s">
        <v>14</v>
      </c>
      <c r="I1314" s="171">
        <v>1</v>
      </c>
      <c r="J1314" s="171" t="s">
        <v>15</v>
      </c>
      <c r="K1314" s="171" t="s">
        <v>76</v>
      </c>
      <c r="L1314" s="168" t="s">
        <v>77</v>
      </c>
    </row>
    <row r="1315" spans="1:12" x14ac:dyDescent="0.2">
      <c r="A1315" s="168" t="s">
        <v>74</v>
      </c>
      <c r="B1315" s="168" t="s">
        <v>75</v>
      </c>
      <c r="C1315" s="168" t="s">
        <v>19</v>
      </c>
      <c r="D1315" s="168" t="s">
        <v>12</v>
      </c>
      <c r="E1315" s="169">
        <v>41982</v>
      </c>
      <c r="F1315" s="170">
        <v>40.705204799999997</v>
      </c>
      <c r="G1315" s="171" t="s">
        <v>16</v>
      </c>
      <c r="H1315" s="168" t="s">
        <v>14</v>
      </c>
      <c r="I1315" s="171">
        <v>1</v>
      </c>
      <c r="J1315" s="171" t="s">
        <v>15</v>
      </c>
      <c r="K1315" s="171" t="s">
        <v>76</v>
      </c>
      <c r="L1315" s="168" t="s">
        <v>77</v>
      </c>
    </row>
    <row r="1316" spans="1:12" x14ac:dyDescent="0.2">
      <c r="A1316" s="168" t="s">
        <v>74</v>
      </c>
      <c r="B1316" s="168" t="s">
        <v>75</v>
      </c>
      <c r="C1316" s="168" t="s">
        <v>19</v>
      </c>
      <c r="D1316" s="168" t="s">
        <v>12</v>
      </c>
      <c r="E1316" s="169">
        <v>41982</v>
      </c>
      <c r="F1316" s="170">
        <v>3.85</v>
      </c>
      <c r="G1316" s="171" t="s">
        <v>13</v>
      </c>
      <c r="H1316" s="168" t="s">
        <v>18</v>
      </c>
      <c r="I1316" s="171">
        <v>1</v>
      </c>
      <c r="J1316" s="171" t="s">
        <v>15</v>
      </c>
      <c r="K1316" s="171" t="s">
        <v>76</v>
      </c>
      <c r="L1316" s="168" t="s">
        <v>77</v>
      </c>
    </row>
    <row r="1317" spans="1:12" x14ac:dyDescent="0.2">
      <c r="A1317" s="168" t="s">
        <v>74</v>
      </c>
      <c r="B1317" s="168" t="s">
        <v>75</v>
      </c>
      <c r="C1317" s="168" t="s">
        <v>19</v>
      </c>
      <c r="D1317" s="168" t="s">
        <v>12</v>
      </c>
      <c r="E1317" s="169">
        <v>41982</v>
      </c>
      <c r="F1317" s="170">
        <v>31.723692</v>
      </c>
      <c r="G1317" s="171" t="s">
        <v>16</v>
      </c>
      <c r="H1317" s="168" t="s">
        <v>18</v>
      </c>
      <c r="I1317" s="171">
        <v>1</v>
      </c>
      <c r="J1317" s="171" t="s">
        <v>15</v>
      </c>
      <c r="K1317" s="171" t="s">
        <v>76</v>
      </c>
      <c r="L1317" s="168" t="s">
        <v>77</v>
      </c>
    </row>
    <row r="1318" spans="1:12" x14ac:dyDescent="0.2">
      <c r="A1318" s="168" t="s">
        <v>74</v>
      </c>
      <c r="B1318" s="168" t="s">
        <v>75</v>
      </c>
      <c r="C1318" s="168" t="s">
        <v>19</v>
      </c>
      <c r="D1318" s="168" t="s">
        <v>12</v>
      </c>
      <c r="E1318" s="169">
        <v>41975</v>
      </c>
      <c r="F1318" s="170">
        <v>4.47</v>
      </c>
      <c r="G1318" s="171" t="s">
        <v>13</v>
      </c>
      <c r="H1318" s="168" t="s">
        <v>14</v>
      </c>
      <c r="I1318" s="171">
        <v>1</v>
      </c>
      <c r="J1318" s="171" t="s">
        <v>15</v>
      </c>
      <c r="K1318" s="171" t="s">
        <v>76</v>
      </c>
      <c r="L1318" s="168" t="s">
        <v>77</v>
      </c>
    </row>
    <row r="1319" spans="1:12" x14ac:dyDescent="0.2">
      <c r="A1319" s="168" t="s">
        <v>74</v>
      </c>
      <c r="B1319" s="168" t="s">
        <v>75</v>
      </c>
      <c r="C1319" s="168" t="s">
        <v>19</v>
      </c>
      <c r="D1319" s="168" t="s">
        <v>12</v>
      </c>
      <c r="E1319" s="169">
        <v>41975</v>
      </c>
      <c r="F1319" s="170">
        <v>36.683323199999997</v>
      </c>
      <c r="G1319" s="171" t="s">
        <v>16</v>
      </c>
      <c r="H1319" s="168" t="s">
        <v>14</v>
      </c>
      <c r="I1319" s="171">
        <v>1</v>
      </c>
      <c r="J1319" s="171" t="s">
        <v>15</v>
      </c>
      <c r="K1319" s="171" t="s">
        <v>76</v>
      </c>
      <c r="L1319" s="168" t="s">
        <v>77</v>
      </c>
    </row>
    <row r="1320" spans="1:12" x14ac:dyDescent="0.2">
      <c r="A1320" s="168" t="s">
        <v>74</v>
      </c>
      <c r="B1320" s="168" t="s">
        <v>75</v>
      </c>
      <c r="C1320" s="168" t="s">
        <v>19</v>
      </c>
      <c r="D1320" s="168" t="s">
        <v>12</v>
      </c>
      <c r="E1320" s="169">
        <v>41975</v>
      </c>
      <c r="F1320" s="170">
        <v>3.83</v>
      </c>
      <c r="G1320" s="171" t="s">
        <v>13</v>
      </c>
      <c r="H1320" s="168" t="s">
        <v>18</v>
      </c>
      <c r="I1320" s="171">
        <v>1</v>
      </c>
      <c r="J1320" s="171" t="s">
        <v>15</v>
      </c>
      <c r="K1320" s="171" t="s">
        <v>76</v>
      </c>
      <c r="L1320" s="168" t="s">
        <v>77</v>
      </c>
    </row>
    <row r="1321" spans="1:12" x14ac:dyDescent="0.2">
      <c r="A1321" s="168" t="s">
        <v>74</v>
      </c>
      <c r="B1321" s="168" t="s">
        <v>75</v>
      </c>
      <c r="C1321" s="168" t="s">
        <v>19</v>
      </c>
      <c r="D1321" s="168" t="s">
        <v>12</v>
      </c>
      <c r="E1321" s="169">
        <v>41975</v>
      </c>
      <c r="F1321" s="170">
        <v>31.431124799999999</v>
      </c>
      <c r="G1321" s="171" t="s">
        <v>16</v>
      </c>
      <c r="H1321" s="168" t="s">
        <v>18</v>
      </c>
      <c r="I1321" s="171">
        <v>1</v>
      </c>
      <c r="J1321" s="171" t="s">
        <v>15</v>
      </c>
      <c r="K1321" s="171" t="s">
        <v>76</v>
      </c>
      <c r="L1321" s="168" t="s">
        <v>77</v>
      </c>
    </row>
    <row r="1322" spans="1:12" x14ac:dyDescent="0.2">
      <c r="A1322" s="168" t="s">
        <v>74</v>
      </c>
      <c r="B1322" s="168" t="s">
        <v>75</v>
      </c>
      <c r="C1322" s="168" t="s">
        <v>19</v>
      </c>
      <c r="D1322" s="168" t="s">
        <v>12</v>
      </c>
      <c r="E1322" s="169">
        <v>41967</v>
      </c>
      <c r="F1322" s="170">
        <v>4.84</v>
      </c>
      <c r="G1322" s="171" t="s">
        <v>13</v>
      </c>
      <c r="H1322" s="168" t="s">
        <v>14</v>
      </c>
      <c r="I1322" s="171">
        <v>1</v>
      </c>
      <c r="J1322" s="171" t="s">
        <v>15</v>
      </c>
      <c r="K1322" s="171" t="s">
        <v>76</v>
      </c>
      <c r="L1322" s="168" t="s">
        <v>77</v>
      </c>
    </row>
    <row r="1323" spans="1:12" x14ac:dyDescent="0.2">
      <c r="A1323" s="168" t="s">
        <v>74</v>
      </c>
      <c r="B1323" s="168" t="s">
        <v>75</v>
      </c>
      <c r="C1323" s="168" t="s">
        <v>19</v>
      </c>
      <c r="D1323" s="168" t="s">
        <v>12</v>
      </c>
      <c r="E1323" s="169">
        <v>41967</v>
      </c>
      <c r="F1323" s="170">
        <v>41.2940088</v>
      </c>
      <c r="G1323" s="171" t="s">
        <v>16</v>
      </c>
      <c r="H1323" s="168" t="s">
        <v>14</v>
      </c>
      <c r="I1323" s="171">
        <v>1</v>
      </c>
      <c r="J1323" s="171" t="s">
        <v>15</v>
      </c>
      <c r="K1323" s="171" t="s">
        <v>76</v>
      </c>
      <c r="L1323" s="168" t="s">
        <v>77</v>
      </c>
    </row>
    <row r="1324" spans="1:12" x14ac:dyDescent="0.2">
      <c r="A1324" s="168" t="s">
        <v>74</v>
      </c>
      <c r="B1324" s="168" t="s">
        <v>75</v>
      </c>
      <c r="C1324" s="168" t="s">
        <v>19</v>
      </c>
      <c r="D1324" s="168" t="s">
        <v>12</v>
      </c>
      <c r="E1324" s="169">
        <v>41967</v>
      </c>
      <c r="F1324" s="170">
        <v>3.59</v>
      </c>
      <c r="G1324" s="171" t="s">
        <v>13</v>
      </c>
      <c r="H1324" s="168" t="s">
        <v>18</v>
      </c>
      <c r="I1324" s="171">
        <v>1</v>
      </c>
      <c r="J1324" s="171" t="s">
        <v>15</v>
      </c>
      <c r="K1324" s="171" t="s">
        <v>76</v>
      </c>
      <c r="L1324" s="168" t="s">
        <v>77</v>
      </c>
    </row>
    <row r="1325" spans="1:12" x14ac:dyDescent="0.2">
      <c r="A1325" s="168" t="s">
        <v>74</v>
      </c>
      <c r="B1325" s="168" t="s">
        <v>75</v>
      </c>
      <c r="C1325" s="168" t="s">
        <v>19</v>
      </c>
      <c r="D1325" s="168" t="s">
        <v>12</v>
      </c>
      <c r="E1325" s="169">
        <v>41967</v>
      </c>
      <c r="F1325" s="170">
        <v>30.629233800000002</v>
      </c>
      <c r="G1325" s="171" t="s">
        <v>16</v>
      </c>
      <c r="H1325" s="168" t="s">
        <v>18</v>
      </c>
      <c r="I1325" s="171">
        <v>1</v>
      </c>
      <c r="J1325" s="171" t="s">
        <v>15</v>
      </c>
      <c r="K1325" s="171" t="s">
        <v>76</v>
      </c>
      <c r="L1325" s="168" t="s">
        <v>77</v>
      </c>
    </row>
    <row r="1326" spans="1:12" x14ac:dyDescent="0.2">
      <c r="A1326" s="168" t="s">
        <v>74</v>
      </c>
      <c r="B1326" s="168" t="s">
        <v>75</v>
      </c>
      <c r="C1326" s="168" t="s">
        <v>19</v>
      </c>
      <c r="D1326" s="168" t="s">
        <v>12</v>
      </c>
      <c r="E1326" s="169">
        <v>41961</v>
      </c>
      <c r="F1326" s="170">
        <v>4.7699999999999996</v>
      </c>
      <c r="G1326" s="171" t="s">
        <v>13</v>
      </c>
      <c r="H1326" s="168" t="s">
        <v>14</v>
      </c>
      <c r="I1326" s="171">
        <v>1</v>
      </c>
      <c r="J1326" s="171" t="s">
        <v>15</v>
      </c>
      <c r="K1326" s="171" t="s">
        <v>76</v>
      </c>
      <c r="L1326" s="168" t="s">
        <v>77</v>
      </c>
    </row>
    <row r="1327" spans="1:12" x14ac:dyDescent="0.2">
      <c r="A1327" s="168" t="s">
        <v>74</v>
      </c>
      <c r="B1327" s="168" t="s">
        <v>75</v>
      </c>
      <c r="C1327" s="168" t="s">
        <v>19</v>
      </c>
      <c r="D1327" s="168" t="s">
        <v>12</v>
      </c>
      <c r="E1327" s="169">
        <v>41961</v>
      </c>
      <c r="F1327" s="170">
        <v>39.742018199999997</v>
      </c>
      <c r="G1327" s="171" t="s">
        <v>16</v>
      </c>
      <c r="H1327" s="168" t="s">
        <v>14</v>
      </c>
      <c r="I1327" s="171">
        <v>1</v>
      </c>
      <c r="J1327" s="171" t="s">
        <v>15</v>
      </c>
      <c r="K1327" s="171" t="s">
        <v>76</v>
      </c>
      <c r="L1327" s="168" t="s">
        <v>77</v>
      </c>
    </row>
    <row r="1328" spans="1:12" x14ac:dyDescent="0.2">
      <c r="A1328" s="168" t="s">
        <v>74</v>
      </c>
      <c r="B1328" s="168" t="s">
        <v>75</v>
      </c>
      <c r="C1328" s="168" t="s">
        <v>19</v>
      </c>
      <c r="D1328" s="168" t="s">
        <v>12</v>
      </c>
      <c r="E1328" s="169">
        <v>41961</v>
      </c>
      <c r="F1328" s="170">
        <v>3.81</v>
      </c>
      <c r="G1328" s="171" t="s">
        <v>13</v>
      </c>
      <c r="H1328" s="168" t="s">
        <v>18</v>
      </c>
      <c r="I1328" s="171">
        <v>1</v>
      </c>
      <c r="J1328" s="171" t="s">
        <v>15</v>
      </c>
      <c r="K1328" s="171" t="s">
        <v>76</v>
      </c>
      <c r="L1328" s="168" t="s">
        <v>77</v>
      </c>
    </row>
    <row r="1329" spans="1:12" x14ac:dyDescent="0.2">
      <c r="A1329" s="168" t="s">
        <v>74</v>
      </c>
      <c r="B1329" s="168" t="s">
        <v>75</v>
      </c>
      <c r="C1329" s="168" t="s">
        <v>19</v>
      </c>
      <c r="D1329" s="168" t="s">
        <v>12</v>
      </c>
      <c r="E1329" s="169">
        <v>41961</v>
      </c>
      <c r="F1329" s="170">
        <v>31.7436246</v>
      </c>
      <c r="G1329" s="171" t="s">
        <v>16</v>
      </c>
      <c r="H1329" s="168" t="s">
        <v>18</v>
      </c>
      <c r="I1329" s="171">
        <v>1</v>
      </c>
      <c r="J1329" s="171" t="s">
        <v>15</v>
      </c>
      <c r="K1329" s="171" t="s">
        <v>76</v>
      </c>
      <c r="L1329" s="168" t="s">
        <v>77</v>
      </c>
    </row>
    <row r="1330" spans="1:12" x14ac:dyDescent="0.2">
      <c r="A1330" s="168" t="s">
        <v>74</v>
      </c>
      <c r="B1330" s="168" t="s">
        <v>75</v>
      </c>
      <c r="C1330" s="168" t="s">
        <v>19</v>
      </c>
      <c r="D1330" s="168" t="s">
        <v>12</v>
      </c>
      <c r="E1330" s="169">
        <v>41954</v>
      </c>
      <c r="F1330" s="170">
        <v>3.68</v>
      </c>
      <c r="G1330" s="171" t="s">
        <v>13</v>
      </c>
      <c r="H1330" s="168" t="s">
        <v>14</v>
      </c>
      <c r="I1330" s="171">
        <v>1</v>
      </c>
      <c r="J1330" s="171" t="s">
        <v>15</v>
      </c>
      <c r="K1330" s="171" t="s">
        <v>76</v>
      </c>
      <c r="L1330" s="168" t="s">
        <v>77</v>
      </c>
    </row>
    <row r="1331" spans="1:12" x14ac:dyDescent="0.2">
      <c r="A1331" s="168" t="s">
        <v>74</v>
      </c>
      <c r="B1331" s="168" t="s">
        <v>75</v>
      </c>
      <c r="C1331" s="168" t="s">
        <v>19</v>
      </c>
      <c r="D1331" s="168" t="s">
        <v>12</v>
      </c>
      <c r="E1331" s="169">
        <v>41954</v>
      </c>
      <c r="F1331" s="170">
        <v>29.310096000000001</v>
      </c>
      <c r="G1331" s="171" t="s">
        <v>16</v>
      </c>
      <c r="H1331" s="168" t="s">
        <v>14</v>
      </c>
      <c r="I1331" s="171">
        <v>1</v>
      </c>
      <c r="J1331" s="171" t="s">
        <v>15</v>
      </c>
      <c r="K1331" s="171" t="s">
        <v>76</v>
      </c>
      <c r="L1331" s="168" t="s">
        <v>77</v>
      </c>
    </row>
    <row r="1332" spans="1:12" x14ac:dyDescent="0.2">
      <c r="A1332" s="168" t="s">
        <v>74</v>
      </c>
      <c r="B1332" s="168" t="s">
        <v>75</v>
      </c>
      <c r="C1332" s="168" t="s">
        <v>19</v>
      </c>
      <c r="D1332" s="168" t="s">
        <v>12</v>
      </c>
      <c r="E1332" s="169">
        <v>41954</v>
      </c>
      <c r="F1332" s="170">
        <v>4.8</v>
      </c>
      <c r="G1332" s="171" t="s">
        <v>13</v>
      </c>
      <c r="H1332" s="168" t="s">
        <v>18</v>
      </c>
      <c r="I1332" s="171">
        <v>1</v>
      </c>
      <c r="J1332" s="171" t="s">
        <v>15</v>
      </c>
      <c r="K1332" s="171" t="s">
        <v>76</v>
      </c>
      <c r="L1332" s="168" t="s">
        <v>77</v>
      </c>
    </row>
    <row r="1333" spans="1:12" x14ac:dyDescent="0.2">
      <c r="A1333" s="168" t="s">
        <v>74</v>
      </c>
      <c r="B1333" s="168" t="s">
        <v>75</v>
      </c>
      <c r="C1333" s="168" t="s">
        <v>19</v>
      </c>
      <c r="D1333" s="168" t="s">
        <v>12</v>
      </c>
      <c r="E1333" s="169">
        <v>41954</v>
      </c>
      <c r="F1333" s="170">
        <v>38.230559999999997</v>
      </c>
      <c r="G1333" s="171" t="s">
        <v>16</v>
      </c>
      <c r="H1333" s="168" t="s">
        <v>18</v>
      </c>
      <c r="I1333" s="171">
        <v>1</v>
      </c>
      <c r="J1333" s="171" t="s">
        <v>15</v>
      </c>
      <c r="K1333" s="171" t="s">
        <v>76</v>
      </c>
      <c r="L1333" s="168" t="s">
        <v>77</v>
      </c>
    </row>
    <row r="1334" spans="1:12" x14ac:dyDescent="0.2">
      <c r="A1334" s="168" t="s">
        <v>74</v>
      </c>
      <c r="B1334" s="168" t="s">
        <v>75</v>
      </c>
      <c r="C1334" s="168" t="s">
        <v>19</v>
      </c>
      <c r="D1334" s="168" t="s">
        <v>12</v>
      </c>
      <c r="E1334" s="169">
        <v>41947</v>
      </c>
      <c r="F1334" s="170">
        <v>5.53</v>
      </c>
      <c r="G1334" s="171" t="s">
        <v>13</v>
      </c>
      <c r="H1334" s="168" t="s">
        <v>14</v>
      </c>
      <c r="I1334" s="171">
        <v>1</v>
      </c>
      <c r="J1334" s="171" t="s">
        <v>15</v>
      </c>
      <c r="K1334" s="171" t="s">
        <v>76</v>
      </c>
      <c r="L1334" s="168" t="s">
        <v>77</v>
      </c>
    </row>
    <row r="1335" spans="1:12" x14ac:dyDescent="0.2">
      <c r="A1335" s="168" t="s">
        <v>74</v>
      </c>
      <c r="B1335" s="168" t="s">
        <v>75</v>
      </c>
      <c r="C1335" s="168" t="s">
        <v>19</v>
      </c>
      <c r="D1335" s="168" t="s">
        <v>12</v>
      </c>
      <c r="E1335" s="169">
        <v>41947</v>
      </c>
      <c r="F1335" s="170">
        <v>42.891786000000003</v>
      </c>
      <c r="G1335" s="171" t="s">
        <v>16</v>
      </c>
      <c r="H1335" s="168" t="s">
        <v>14</v>
      </c>
      <c r="I1335" s="171">
        <v>1</v>
      </c>
      <c r="J1335" s="171" t="s">
        <v>15</v>
      </c>
      <c r="K1335" s="171" t="s">
        <v>76</v>
      </c>
      <c r="L1335" s="168" t="s">
        <v>77</v>
      </c>
    </row>
    <row r="1336" spans="1:12" x14ac:dyDescent="0.2">
      <c r="A1336" s="168" t="s">
        <v>74</v>
      </c>
      <c r="B1336" s="168" t="s">
        <v>75</v>
      </c>
      <c r="C1336" s="168" t="s">
        <v>19</v>
      </c>
      <c r="D1336" s="168" t="s">
        <v>12</v>
      </c>
      <c r="E1336" s="169">
        <v>41947</v>
      </c>
      <c r="F1336" s="170">
        <v>3.7</v>
      </c>
      <c r="G1336" s="171" t="s">
        <v>13</v>
      </c>
      <c r="H1336" s="168" t="s">
        <v>18</v>
      </c>
      <c r="I1336" s="171">
        <v>1</v>
      </c>
      <c r="J1336" s="171" t="s">
        <v>15</v>
      </c>
      <c r="K1336" s="171" t="s">
        <v>76</v>
      </c>
      <c r="L1336" s="168" t="s">
        <v>77</v>
      </c>
    </row>
    <row r="1337" spans="1:12" x14ac:dyDescent="0.2">
      <c r="A1337" s="168" t="s">
        <v>74</v>
      </c>
      <c r="B1337" s="168" t="s">
        <v>75</v>
      </c>
      <c r="C1337" s="168" t="s">
        <v>19</v>
      </c>
      <c r="D1337" s="168" t="s">
        <v>12</v>
      </c>
      <c r="E1337" s="169">
        <v>41947</v>
      </c>
      <c r="F1337" s="170">
        <v>28.697939999999999</v>
      </c>
      <c r="G1337" s="171" t="s">
        <v>16</v>
      </c>
      <c r="H1337" s="168" t="s">
        <v>18</v>
      </c>
      <c r="I1337" s="171">
        <v>1</v>
      </c>
      <c r="J1337" s="171" t="s">
        <v>15</v>
      </c>
      <c r="K1337" s="171" t="s">
        <v>76</v>
      </c>
      <c r="L1337" s="168" t="s">
        <v>77</v>
      </c>
    </row>
    <row r="1338" spans="1:12" x14ac:dyDescent="0.2">
      <c r="A1338" s="168" t="s">
        <v>74</v>
      </c>
      <c r="B1338" s="168" t="s">
        <v>75</v>
      </c>
      <c r="C1338" s="168" t="s">
        <v>19</v>
      </c>
      <c r="D1338" s="168" t="s">
        <v>12</v>
      </c>
      <c r="E1338" s="169">
        <v>41940</v>
      </c>
      <c r="F1338" s="170">
        <v>4.2300000000000004</v>
      </c>
      <c r="G1338" s="171" t="s">
        <v>13</v>
      </c>
      <c r="H1338" s="168" t="s">
        <v>14</v>
      </c>
      <c r="I1338" s="171">
        <v>1</v>
      </c>
      <c r="J1338" s="171" t="s">
        <v>15</v>
      </c>
      <c r="K1338" s="171" t="s">
        <v>76</v>
      </c>
      <c r="L1338" s="168" t="s">
        <v>77</v>
      </c>
    </row>
    <row r="1339" spans="1:12" x14ac:dyDescent="0.2">
      <c r="A1339" s="168" t="s">
        <v>74</v>
      </c>
      <c r="B1339" s="168" t="s">
        <v>75</v>
      </c>
      <c r="C1339" s="168" t="s">
        <v>19</v>
      </c>
      <c r="D1339" s="168" t="s">
        <v>12</v>
      </c>
      <c r="E1339" s="169">
        <v>41940</v>
      </c>
      <c r="F1339" s="170">
        <v>35.137087200000003</v>
      </c>
      <c r="G1339" s="171" t="s">
        <v>16</v>
      </c>
      <c r="H1339" s="168" t="s">
        <v>14</v>
      </c>
      <c r="I1339" s="171">
        <v>1</v>
      </c>
      <c r="J1339" s="171" t="s">
        <v>15</v>
      </c>
      <c r="K1339" s="171" t="s">
        <v>76</v>
      </c>
      <c r="L1339" s="168" t="s">
        <v>77</v>
      </c>
    </row>
    <row r="1340" spans="1:12" x14ac:dyDescent="0.2">
      <c r="A1340" s="168" t="s">
        <v>74</v>
      </c>
      <c r="B1340" s="168" t="s">
        <v>75</v>
      </c>
      <c r="C1340" s="168" t="s">
        <v>19</v>
      </c>
      <c r="D1340" s="168" t="s">
        <v>12</v>
      </c>
      <c r="E1340" s="169">
        <v>41940</v>
      </c>
      <c r="F1340" s="170">
        <v>3.59</v>
      </c>
      <c r="G1340" s="171" t="s">
        <v>13</v>
      </c>
      <c r="H1340" s="168" t="s">
        <v>18</v>
      </c>
      <c r="I1340" s="171">
        <v>1</v>
      </c>
      <c r="J1340" s="171" t="s">
        <v>15</v>
      </c>
      <c r="K1340" s="171" t="s">
        <v>76</v>
      </c>
      <c r="L1340" s="168" t="s">
        <v>77</v>
      </c>
    </row>
    <row r="1341" spans="1:12" x14ac:dyDescent="0.2">
      <c r="A1341" s="168" t="s">
        <v>74</v>
      </c>
      <c r="B1341" s="168" t="s">
        <v>75</v>
      </c>
      <c r="C1341" s="168" t="s">
        <v>19</v>
      </c>
      <c r="D1341" s="168" t="s">
        <v>12</v>
      </c>
      <c r="E1341" s="169">
        <v>41940</v>
      </c>
      <c r="F1341" s="170">
        <v>29.820837600000001</v>
      </c>
      <c r="G1341" s="171" t="s">
        <v>16</v>
      </c>
      <c r="H1341" s="168" t="s">
        <v>18</v>
      </c>
      <c r="I1341" s="171">
        <v>1</v>
      </c>
      <c r="J1341" s="171" t="s">
        <v>15</v>
      </c>
      <c r="K1341" s="171" t="s">
        <v>76</v>
      </c>
      <c r="L1341" s="168" t="s">
        <v>77</v>
      </c>
    </row>
    <row r="1342" spans="1:12" x14ac:dyDescent="0.2">
      <c r="A1342" s="168" t="s">
        <v>74</v>
      </c>
      <c r="B1342" s="168" t="s">
        <v>75</v>
      </c>
      <c r="C1342" s="168" t="s">
        <v>19</v>
      </c>
      <c r="D1342" s="168" t="s">
        <v>12</v>
      </c>
      <c r="E1342" s="169">
        <v>41933</v>
      </c>
      <c r="F1342" s="170">
        <v>3.67</v>
      </c>
      <c r="G1342" s="171" t="s">
        <v>13</v>
      </c>
      <c r="H1342" s="168" t="s">
        <v>14</v>
      </c>
      <c r="I1342" s="171">
        <v>1</v>
      </c>
      <c r="J1342" s="171" t="s">
        <v>15</v>
      </c>
      <c r="K1342" s="171" t="s">
        <v>76</v>
      </c>
      <c r="L1342" s="168" t="s">
        <v>77</v>
      </c>
    </row>
    <row r="1343" spans="1:12" x14ac:dyDescent="0.2">
      <c r="A1343" s="168" t="s">
        <v>74</v>
      </c>
      <c r="B1343" s="168" t="s">
        <v>75</v>
      </c>
      <c r="C1343" s="168" t="s">
        <v>19</v>
      </c>
      <c r="D1343" s="168" t="s">
        <v>12</v>
      </c>
      <c r="E1343" s="169">
        <v>41933</v>
      </c>
      <c r="F1343" s="170">
        <v>30.8526624</v>
      </c>
      <c r="G1343" s="171" t="s">
        <v>16</v>
      </c>
      <c r="H1343" s="168" t="s">
        <v>14</v>
      </c>
      <c r="I1343" s="171">
        <v>1</v>
      </c>
      <c r="J1343" s="171" t="s">
        <v>15</v>
      </c>
      <c r="K1343" s="171" t="s">
        <v>76</v>
      </c>
      <c r="L1343" s="168" t="s">
        <v>77</v>
      </c>
    </row>
    <row r="1344" spans="1:12" x14ac:dyDescent="0.2">
      <c r="A1344" s="168" t="s">
        <v>74</v>
      </c>
      <c r="B1344" s="168" t="s">
        <v>75</v>
      </c>
      <c r="C1344" s="168" t="s">
        <v>19</v>
      </c>
      <c r="D1344" s="168" t="s">
        <v>12</v>
      </c>
      <c r="E1344" s="169">
        <v>41933</v>
      </c>
      <c r="F1344" s="170">
        <v>3.24</v>
      </c>
      <c r="G1344" s="171" t="s">
        <v>13</v>
      </c>
      <c r="H1344" s="168" t="s">
        <v>18</v>
      </c>
      <c r="I1344" s="171">
        <v>1</v>
      </c>
      <c r="J1344" s="171" t="s">
        <v>15</v>
      </c>
      <c r="K1344" s="171" t="s">
        <v>76</v>
      </c>
      <c r="L1344" s="168" t="s">
        <v>77</v>
      </c>
    </row>
    <row r="1345" spans="1:12" x14ac:dyDescent="0.2">
      <c r="A1345" s="168" t="s">
        <v>74</v>
      </c>
      <c r="B1345" s="168" t="s">
        <v>75</v>
      </c>
      <c r="C1345" s="168" t="s">
        <v>19</v>
      </c>
      <c r="D1345" s="168" t="s">
        <v>12</v>
      </c>
      <c r="E1345" s="169">
        <v>41933</v>
      </c>
      <c r="F1345" s="170">
        <v>27.237772799999998</v>
      </c>
      <c r="G1345" s="171" t="s">
        <v>16</v>
      </c>
      <c r="H1345" s="168" t="s">
        <v>18</v>
      </c>
      <c r="I1345" s="171">
        <v>1</v>
      </c>
      <c r="J1345" s="171" t="s">
        <v>15</v>
      </c>
      <c r="K1345" s="171" t="s">
        <v>76</v>
      </c>
      <c r="L1345" s="168" t="s">
        <v>77</v>
      </c>
    </row>
    <row r="1346" spans="1:12" x14ac:dyDescent="0.2">
      <c r="A1346" s="168" t="s">
        <v>74</v>
      </c>
      <c r="B1346" s="168" t="s">
        <v>75</v>
      </c>
      <c r="C1346" s="168" t="s">
        <v>19</v>
      </c>
      <c r="D1346" s="168" t="s">
        <v>12</v>
      </c>
      <c r="E1346" s="169">
        <v>41926</v>
      </c>
      <c r="F1346" s="170">
        <v>4.09</v>
      </c>
      <c r="G1346" s="171" t="s">
        <v>13</v>
      </c>
      <c r="H1346" s="168" t="s">
        <v>14</v>
      </c>
      <c r="I1346" s="171">
        <v>1</v>
      </c>
      <c r="J1346" s="171" t="s">
        <v>15</v>
      </c>
      <c r="K1346" s="171" t="s">
        <v>76</v>
      </c>
      <c r="L1346" s="168" t="s">
        <v>77</v>
      </c>
    </row>
    <row r="1347" spans="1:12" x14ac:dyDescent="0.2">
      <c r="A1347" s="168" t="s">
        <v>74</v>
      </c>
      <c r="B1347" s="168" t="s">
        <v>75</v>
      </c>
      <c r="C1347" s="168" t="s">
        <v>19</v>
      </c>
      <c r="D1347" s="168" t="s">
        <v>12</v>
      </c>
      <c r="E1347" s="169">
        <v>41926</v>
      </c>
      <c r="F1347" s="170">
        <v>36.737116200000003</v>
      </c>
      <c r="G1347" s="171" t="s">
        <v>16</v>
      </c>
      <c r="H1347" s="168" t="s">
        <v>14</v>
      </c>
      <c r="I1347" s="171">
        <v>1</v>
      </c>
      <c r="J1347" s="171" t="s">
        <v>15</v>
      </c>
      <c r="K1347" s="171" t="s">
        <v>76</v>
      </c>
      <c r="L1347" s="168" t="s">
        <v>77</v>
      </c>
    </row>
    <row r="1348" spans="1:12" x14ac:dyDescent="0.2">
      <c r="A1348" s="168" t="s">
        <v>74</v>
      </c>
      <c r="B1348" s="168" t="s">
        <v>75</v>
      </c>
      <c r="C1348" s="168" t="s">
        <v>19</v>
      </c>
      <c r="D1348" s="168" t="s">
        <v>12</v>
      </c>
      <c r="E1348" s="169">
        <v>41926</v>
      </c>
      <c r="F1348" s="170">
        <v>2.84</v>
      </c>
      <c r="G1348" s="171" t="s">
        <v>13</v>
      </c>
      <c r="H1348" s="168" t="s">
        <v>18</v>
      </c>
      <c r="I1348" s="171">
        <v>1</v>
      </c>
      <c r="J1348" s="171" t="s">
        <v>15</v>
      </c>
      <c r="K1348" s="171" t="s">
        <v>76</v>
      </c>
      <c r="L1348" s="168" t="s">
        <v>77</v>
      </c>
    </row>
    <row r="1349" spans="1:12" x14ac:dyDescent="0.2">
      <c r="A1349" s="168" t="s">
        <v>74</v>
      </c>
      <c r="B1349" s="168" t="s">
        <v>75</v>
      </c>
      <c r="C1349" s="168" t="s">
        <v>19</v>
      </c>
      <c r="D1349" s="168" t="s">
        <v>12</v>
      </c>
      <c r="E1349" s="169">
        <v>41926</v>
      </c>
      <c r="F1349" s="170">
        <v>25.5093912</v>
      </c>
      <c r="G1349" s="171" t="s">
        <v>16</v>
      </c>
      <c r="H1349" s="168" t="s">
        <v>18</v>
      </c>
      <c r="I1349" s="171">
        <v>1</v>
      </c>
      <c r="J1349" s="171" t="s">
        <v>15</v>
      </c>
      <c r="K1349" s="171" t="s">
        <v>76</v>
      </c>
      <c r="L1349" s="168" t="s">
        <v>77</v>
      </c>
    </row>
    <row r="1350" spans="1:12" x14ac:dyDescent="0.2">
      <c r="A1350" s="168" t="s">
        <v>74</v>
      </c>
      <c r="B1350" s="168" t="s">
        <v>75</v>
      </c>
      <c r="C1350" s="168" t="s">
        <v>19</v>
      </c>
      <c r="D1350" s="168" t="s">
        <v>12</v>
      </c>
      <c r="E1350" s="169">
        <v>41919</v>
      </c>
      <c r="F1350" s="170">
        <v>4.12</v>
      </c>
      <c r="G1350" s="171" t="s">
        <v>13</v>
      </c>
      <c r="H1350" s="168" t="s">
        <v>14</v>
      </c>
      <c r="I1350" s="171">
        <v>1</v>
      </c>
      <c r="J1350" s="171" t="s">
        <v>15</v>
      </c>
      <c r="K1350" s="171" t="s">
        <v>76</v>
      </c>
      <c r="L1350" s="168" t="s">
        <v>77</v>
      </c>
    </row>
    <row r="1351" spans="1:12" x14ac:dyDescent="0.2">
      <c r="A1351" s="168" t="s">
        <v>74</v>
      </c>
      <c r="B1351" s="168" t="s">
        <v>75</v>
      </c>
      <c r="C1351" s="168" t="s">
        <v>19</v>
      </c>
      <c r="D1351" s="168" t="s">
        <v>12</v>
      </c>
      <c r="E1351" s="169">
        <v>41919</v>
      </c>
      <c r="F1351" s="170">
        <v>34.051552800000003</v>
      </c>
      <c r="G1351" s="171" t="s">
        <v>16</v>
      </c>
      <c r="H1351" s="168" t="s">
        <v>14</v>
      </c>
      <c r="I1351" s="171">
        <v>1</v>
      </c>
      <c r="J1351" s="171" t="s">
        <v>15</v>
      </c>
      <c r="K1351" s="171" t="s">
        <v>76</v>
      </c>
      <c r="L1351" s="168" t="s">
        <v>77</v>
      </c>
    </row>
    <row r="1352" spans="1:12" x14ac:dyDescent="0.2">
      <c r="A1352" s="168" t="s">
        <v>74</v>
      </c>
      <c r="B1352" s="168" t="s">
        <v>75</v>
      </c>
      <c r="C1352" s="168" t="s">
        <v>19</v>
      </c>
      <c r="D1352" s="168" t="s">
        <v>12</v>
      </c>
      <c r="E1352" s="169">
        <v>41919</v>
      </c>
      <c r="F1352" s="170">
        <v>3.53</v>
      </c>
      <c r="G1352" s="171" t="s">
        <v>13</v>
      </c>
      <c r="H1352" s="168" t="s">
        <v>18</v>
      </c>
      <c r="I1352" s="171">
        <v>1</v>
      </c>
      <c r="J1352" s="171" t="s">
        <v>15</v>
      </c>
      <c r="K1352" s="171" t="s">
        <v>76</v>
      </c>
      <c r="L1352" s="168" t="s">
        <v>77</v>
      </c>
    </row>
    <row r="1353" spans="1:12" x14ac:dyDescent="0.2">
      <c r="A1353" s="168" t="s">
        <v>74</v>
      </c>
      <c r="B1353" s="168" t="s">
        <v>75</v>
      </c>
      <c r="C1353" s="168" t="s">
        <v>19</v>
      </c>
      <c r="D1353" s="168" t="s">
        <v>12</v>
      </c>
      <c r="E1353" s="169">
        <v>41919</v>
      </c>
      <c r="F1353" s="170">
        <v>29.175238199999999</v>
      </c>
      <c r="G1353" s="171" t="s">
        <v>16</v>
      </c>
      <c r="H1353" s="168" t="s">
        <v>18</v>
      </c>
      <c r="I1353" s="171">
        <v>1</v>
      </c>
      <c r="J1353" s="171" t="s">
        <v>15</v>
      </c>
      <c r="K1353" s="171" t="s">
        <v>76</v>
      </c>
      <c r="L1353" s="16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C8" sqref="C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5703125" style="174" customWidth="1"/>
    <col min="7" max="8" width="9" style="4" customWidth="1"/>
    <col min="9" max="11" width="6" style="4" customWidth="1"/>
    <col min="12" max="12" width="6.5703125" style="17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5703125" style="4" customWidth="1"/>
    <col min="19" max="19" width="8.28515625" style="4" bestFit="1" customWidth="1"/>
    <col min="20" max="20" width="8.42578125" style="4" bestFit="1" customWidth="1"/>
    <col min="21" max="21" width="6" style="4" bestFit="1" customWidth="1"/>
    <col min="22" max="22" width="4" style="4" bestFit="1" customWidth="1"/>
    <col min="23" max="23" width="6" style="4" bestFit="1" customWidth="1"/>
    <col min="24" max="24" width="4.42578125" style="4" bestFit="1" customWidth="1"/>
    <col min="25" max="25" width="9" style="4" bestFit="1" customWidth="1"/>
    <col min="26" max="26" width="8.7109375" style="4" bestFit="1" customWidth="1"/>
    <col min="27" max="27" width="8.42578125" style="4" bestFit="1" customWidth="1"/>
    <col min="28" max="29" width="6.85546875" style="4" bestFit="1" customWidth="1"/>
    <col min="30" max="30" width="8.85546875" style="4" bestFit="1" customWidth="1"/>
    <col min="31" max="31" width="8.5703125" style="4" bestFit="1" customWidth="1"/>
    <col min="32" max="16384" width="9.140625" style="4"/>
  </cols>
  <sheetData>
    <row r="1" spans="1:17" ht="12.75" x14ac:dyDescent="0.2">
      <c r="A1" s="245" t="s">
        <v>98</v>
      </c>
      <c r="B1" s="246"/>
      <c r="C1" s="247" t="s">
        <v>21</v>
      </c>
      <c r="D1" s="247"/>
      <c r="E1" s="248">
        <v>41883</v>
      </c>
      <c r="F1" s="249"/>
      <c r="G1" s="2"/>
      <c r="L1" s="174" t="s">
        <v>99</v>
      </c>
    </row>
    <row r="2" spans="1:17" x14ac:dyDescent="0.2">
      <c r="A2" s="27" t="s">
        <v>22</v>
      </c>
      <c r="B2" s="5">
        <f>MIN(CharlesCityNDD!E:E)</f>
        <v>41919</v>
      </c>
      <c r="C2" s="250" t="s">
        <v>41</v>
      </c>
      <c r="D2" s="250"/>
      <c r="E2" s="251">
        <f>(B3-B2)/30</f>
        <v>42.93333333333333</v>
      </c>
      <c r="F2" s="252"/>
      <c r="L2" s="174" t="s">
        <v>100</v>
      </c>
    </row>
    <row r="3" spans="1:17" x14ac:dyDescent="0.2">
      <c r="A3" s="28" t="s">
        <v>23</v>
      </c>
      <c r="B3" s="29">
        <f>MAX(CharlesCityNDD!E:E)</f>
        <v>43207</v>
      </c>
      <c r="C3" s="237"/>
      <c r="D3" s="237"/>
      <c r="E3" s="237"/>
      <c r="F3" s="238"/>
    </row>
    <row r="4" spans="1:17" ht="12" thickBot="1" x14ac:dyDescent="0.25"/>
    <row r="5" spans="1:17" ht="11.25" customHeight="1" x14ac:dyDescent="0.2">
      <c r="A5" s="253" t="s">
        <v>24</v>
      </c>
      <c r="B5" s="239" t="s">
        <v>24</v>
      </c>
      <c r="C5" s="242" t="s">
        <v>25</v>
      </c>
      <c r="D5" s="243"/>
      <c r="E5" s="243"/>
      <c r="F5" s="243"/>
      <c r="G5" s="243"/>
      <c r="H5" s="243"/>
      <c r="I5" s="244" t="s">
        <v>42</v>
      </c>
      <c r="J5" s="244"/>
      <c r="K5" s="244"/>
      <c r="L5" s="244"/>
      <c r="M5" s="244"/>
      <c r="N5" s="244"/>
      <c r="O5" s="259" t="s">
        <v>26</v>
      </c>
      <c r="P5" s="260"/>
      <c r="Q5" s="263" t="s">
        <v>27</v>
      </c>
    </row>
    <row r="6" spans="1:17" ht="11.25" customHeight="1" x14ac:dyDescent="0.2">
      <c r="A6" s="254"/>
      <c r="B6" s="240"/>
      <c r="C6" s="256" t="s">
        <v>28</v>
      </c>
      <c r="D6" s="257"/>
      <c r="E6" s="256" t="s">
        <v>29</v>
      </c>
      <c r="F6" s="258"/>
      <c r="G6" s="258"/>
      <c r="H6" s="257"/>
      <c r="I6" s="256" t="s">
        <v>28</v>
      </c>
      <c r="J6" s="257"/>
      <c r="K6" s="256" t="s">
        <v>29</v>
      </c>
      <c r="L6" s="258"/>
      <c r="M6" s="258"/>
      <c r="N6" s="258"/>
      <c r="O6" s="261"/>
      <c r="P6" s="262"/>
      <c r="Q6" s="264"/>
    </row>
    <row r="7" spans="1:17" ht="26.25" customHeight="1" x14ac:dyDescent="0.2">
      <c r="A7" s="254"/>
      <c r="B7" s="241"/>
      <c r="C7" s="6" t="s">
        <v>30</v>
      </c>
      <c r="D7" s="7" t="s">
        <v>31</v>
      </c>
      <c r="E7" s="6" t="s">
        <v>30</v>
      </c>
      <c r="F7" s="176" t="s">
        <v>32</v>
      </c>
      <c r="G7" s="8" t="s">
        <v>33</v>
      </c>
      <c r="H7" s="9" t="s">
        <v>43</v>
      </c>
      <c r="I7" s="6" t="s">
        <v>30</v>
      </c>
      <c r="J7" s="7" t="s">
        <v>31</v>
      </c>
      <c r="K7" s="6" t="s">
        <v>30</v>
      </c>
      <c r="L7" s="176" t="s">
        <v>32</v>
      </c>
      <c r="M7" s="177" t="s">
        <v>34</v>
      </c>
      <c r="N7" s="9" t="s">
        <v>44</v>
      </c>
      <c r="O7" s="10" t="s">
        <v>35</v>
      </c>
      <c r="P7" s="165" t="s">
        <v>36</v>
      </c>
      <c r="Q7" s="30" t="s">
        <v>45</v>
      </c>
    </row>
    <row r="8" spans="1:17" s="18" customFormat="1" x14ac:dyDescent="0.2">
      <c r="A8" s="254"/>
      <c r="B8" s="69" t="s">
        <v>37</v>
      </c>
      <c r="C8" s="31">
        <f>COUNTIFS(CharlesCityNDD!C:C,"NITROGEN, TOTAL (AS N)",CharlesCityNDD!G:G,"MG/L",CharlesCityNDD!H:H,"RAW WASTE")</f>
        <v>173</v>
      </c>
      <c r="D8" s="32">
        <f>AVERAGEIFS(CharlesCityNDD!F:F,(CharlesCityNDD!C:C),("NITROGEN, TOTAL (AS N)"),(CharlesCityNDD!H:H),("RAW WASTE"),(CharlesCityNDD!G:G),("MG/L"))</f>
        <v>22.427514450867058</v>
      </c>
      <c r="E8" s="33">
        <f>COUNTIFS(CharlesCityNDD!C:C,"NITROGEN, TOTAL (AS N)",CharlesCityNDD!G:G,"LBS/DAY",CharlesCityNDD!H:H,"RAW WASTE")</f>
        <v>173</v>
      </c>
      <c r="F8" s="178">
        <f>AVERAGEIFS(CharlesCityNDD!F:F,(CharlesCityNDD!C:C),("NITROGEN, TOTAL (AS N)"),(CharlesCityNDD!H:H),("RAW WASTE"),(CharlesCityNDD!G:G),("LBS/DAY"))</f>
        <v>285.54235146936429</v>
      </c>
      <c r="G8" s="34">
        <f>(SUMIFS(CharlesCityNDD!F:F,(CharlesCityNDD!C:C),("NITROGEN, TOTAL (AS N)"),(CharlesCityNDD!H:H),("RAW WASTE"),(CharlesCityNDD!G:G),("LBS/DAY")))</f>
        <v>49398.826804200027</v>
      </c>
      <c r="H8" s="35">
        <f>F8*365</f>
        <v>104222.95828631797</v>
      </c>
      <c r="I8" s="33">
        <f>COUNTIFS(CharlesCityNDD!C:C,"NITROGEN, TOTAL (AS N)",CharlesCityNDD!G:G,"MG/L",CharlesCityNDD!H:H,"FINAL EFFLUENT")</f>
        <v>173</v>
      </c>
      <c r="J8" s="32">
        <f>(AVERAGEIFS(CharlesCityNDD!F:F,(CharlesCityNDD!C:C),("NITROGEN, TOTAL (AS N)"),(CharlesCityNDD!H:H),("FINAL EFFLUENT"),(CharlesCityNDD!G:G),("MG/L")))</f>
        <v>15.637803468208091</v>
      </c>
      <c r="K8" s="33">
        <f>COUNTIFS(CharlesCityNDD!C:C,"NITROGEN, TOTAL (AS N)",CharlesCityNDD!G:G,"LBS/DAY",CharlesCityNDD!H:H,"FINAL EFFLUENT")</f>
        <v>173</v>
      </c>
      <c r="L8" s="178">
        <f>AVERAGEIFS(CharlesCityNDD!F:F,(CharlesCityNDD!C:C),("NITROGEN, TOTAL (AS N)"),(CharlesCityNDD!H:H),("FINAL EFFLUENT"),(CharlesCityNDD!G:G),("LBS/DAY"))</f>
        <v>202.57669143757226</v>
      </c>
      <c r="M8" s="34">
        <f>SUMIFS(CharlesCityNDD!F:F,(CharlesCityNDD!C:C),("NITROGEN, TOTAL (AS N)"),(CharlesCityNDD!H:H),("FINAL EFFLUENT"),(CharlesCityNDD!G:G),("LBS/DAY"))</f>
        <v>35045.767618700003</v>
      </c>
      <c r="N8" s="35">
        <f>L8*365</f>
        <v>73940.492374713882</v>
      </c>
      <c r="O8" s="36">
        <f>((D8-J8))/D8</f>
        <v>0.30274023443540682</v>
      </c>
      <c r="P8" s="37">
        <f>((F8-L8))/F8</f>
        <v>0.2905546571458188</v>
      </c>
      <c r="Q8" s="38">
        <f>(F8-L8)*365</f>
        <v>30282.465911604089</v>
      </c>
    </row>
    <row r="9" spans="1:17" s="18" customFormat="1" ht="5.25" customHeight="1" x14ac:dyDescent="0.2">
      <c r="A9" s="254"/>
      <c r="B9" s="69"/>
      <c r="C9" s="11"/>
      <c r="D9" s="12"/>
      <c r="E9" s="13"/>
      <c r="F9" s="179"/>
      <c r="G9" s="14"/>
      <c r="H9" s="15"/>
      <c r="I9" s="13"/>
      <c r="J9" s="12"/>
      <c r="K9" s="13"/>
      <c r="L9" s="179"/>
      <c r="M9" s="179"/>
      <c r="N9" s="15"/>
      <c r="O9" s="16"/>
      <c r="P9" s="17"/>
      <c r="Q9" s="39"/>
    </row>
    <row r="10" spans="1:17" s="40" customFormat="1" x14ac:dyDescent="0.2">
      <c r="A10" s="254"/>
      <c r="B10" s="70" t="s">
        <v>49</v>
      </c>
      <c r="C10" s="71">
        <f>COUNTIFS(CharlesCityNDD!$E:$E,"&gt;=5/1/2014",CharlesCityNDD!$E:$E,"&lt;=4/30/2015",CharlesCityNDD!$C:$C,"NITROGEN, TOTAL (AS N)",CharlesCityNDD!$G:$G,"MG/L",CharlesCityNDD!$H:$H,"RAW WASTE")</f>
        <v>25</v>
      </c>
      <c r="D10" s="72">
        <f>AVERAGEIFS(CharlesCityNDD!$F:$F,CharlesCityNDD!$E:$E,"&gt;=5/1/2014",CharlesCityNDD!$E:$E,"&lt;=4/30/2015",(CharlesCityNDD!$C:$C),("NITROGEN, TOTAL (AS N)"),(CharlesCityNDD!$H:$H),("RAW WASTE"),(CharlesCityNDD!$G:$G),("MG/L"))</f>
        <v>26.175200000000004</v>
      </c>
      <c r="E10" s="73">
        <f>COUNTIFS(CharlesCityNDD!$E:$E,"&gt;=5/1/2014",CharlesCityNDD!$E:$E,"&lt;=4/30/2015",CharlesCityNDD!$C:$C,"NITROGEN, TOTAL (AS N)",CharlesCityNDD!$G:$G,"LBS/DAY",CharlesCityNDD!$H:$H,"RAW WASTE")</f>
        <v>25</v>
      </c>
      <c r="F10" s="180">
        <f>AVERAGEIFS(CharlesCityNDD!$F:$F,CharlesCityNDD!$E:$E,"&gt;=5/1/2014",CharlesCityNDD!$E:$E,"&lt;=4/30/2015",(CharlesCityNDD!$C:$C),("NITROGEN, TOTAL (AS N)"),(CharlesCityNDD!$H:$H),("RAW WASTE"),(CharlesCityNDD!$G:$G),("LBS/DAY"))</f>
        <v>222.46258780799999</v>
      </c>
      <c r="G10" s="74">
        <f>SUMIFS(CharlesCityNDD!$F:$F,CharlesCityNDD!$E:$E,"&gt;=5/1/2014",CharlesCityNDD!$E:$E,"&lt;=4/30/2015",(CharlesCityNDD!$C:$C),("NITROGEN, TOTAL (AS N)"),(CharlesCityNDD!$H:$H),("RAW WASTE"),(CharlesCityNDD!$G:$G),("LBS/DAY"))</f>
        <v>5561.5646951999997</v>
      </c>
      <c r="H10" s="75">
        <f>F10*365</f>
        <v>81198.844549920002</v>
      </c>
      <c r="I10" s="73">
        <f>COUNTIFS(CharlesCityNDD!$E:$E,"&gt;=5/1/2014",CharlesCityNDD!$E:$E,"&lt;=4/30/2015",CharlesCityNDD!$C:$C,"NITROGEN, TOTAL (AS N)",CharlesCityNDD!$G:$G,"MG/L",CharlesCityNDD!$H:$H,"FINAL EFFLUENT")</f>
        <v>25</v>
      </c>
      <c r="J10" s="72">
        <f>AVERAGEIFS(CharlesCityNDD!$F:$F,CharlesCityNDD!$E:$E,"&gt;=5/1/2014",CharlesCityNDD!$E:$E,"&lt;=4/30/2015",(CharlesCityNDD!$C:$C),("NITROGEN, TOTAL (AS N)"),(CharlesCityNDD!$H:$H),("FINAL EFFLUENT"),(CharlesCityNDD!$G:$G),("MG/L"))</f>
        <v>17.04</v>
      </c>
      <c r="K10" s="73">
        <f>COUNTIFS(CharlesCityNDD!$E:$E,"&gt;=5/1/2014",CharlesCityNDD!$E:$E,"&lt;=4/30/2015",CharlesCityNDD!$C:$C,"NITROGEN, TOTAL (AS N)",CharlesCityNDD!$G:$G,"LBS/DAY",CharlesCityNDD!$H:$H,"FINAL EFFLUENT")</f>
        <v>25</v>
      </c>
      <c r="L10" s="180">
        <f>AVERAGEIFS((CharlesCityNDD!$F:$F),CharlesCityNDD!$E:$E,"&gt;=5/1/2014",CharlesCityNDD!$E:$E,"&lt;=4/30/2015",(CharlesCityNDD!$C:$C),("NITROGEN, TOTAL (AS N)"),(CharlesCityNDD!$H:$H),("FINAL EFFLUENT"),(CharlesCityNDD!$G:$G),("LBS/DAY"))</f>
        <v>144.60509493600003</v>
      </c>
      <c r="M10" s="74">
        <f>SUMIFS(CharlesCityNDD!$F:$F,CharlesCityNDD!$E:$E,"&gt;=5/1/2014",CharlesCityNDD!$E:$E,"&lt;=4/30/2015",(CharlesCityNDD!$C:$C),("NITROGEN, TOTAL (AS N)"),(CharlesCityNDD!$H:$H),("FINAL EFFLUENT"),(CharlesCityNDD!$G:$G),("LBS/DAY"))</f>
        <v>3615.1273734000006</v>
      </c>
      <c r="N10" s="75">
        <f>L10*365</f>
        <v>52780.859651640014</v>
      </c>
      <c r="O10" s="76">
        <f>((D10-J10))/D10</f>
        <v>0.34900210886640803</v>
      </c>
      <c r="P10" s="77">
        <f>((F10-L10))/F10</f>
        <v>0.3499801635823645</v>
      </c>
      <c r="Q10" s="78">
        <f>(F10-L10)*365</f>
        <v>28417.984898279989</v>
      </c>
    </row>
    <row r="11" spans="1:17" s="18" customFormat="1" ht="6" customHeight="1" x14ac:dyDescent="0.2">
      <c r="A11" s="254"/>
      <c r="B11" s="69"/>
      <c r="C11" s="11"/>
      <c r="D11" s="12"/>
      <c r="E11" s="13"/>
      <c r="F11" s="179"/>
      <c r="G11" s="14"/>
      <c r="H11" s="15"/>
      <c r="I11" s="13"/>
      <c r="J11" s="12"/>
      <c r="K11" s="13"/>
      <c r="L11" s="179"/>
      <c r="M11" s="179"/>
      <c r="N11" s="15"/>
      <c r="O11" s="16"/>
      <c r="P11" s="17"/>
      <c r="Q11" s="39"/>
    </row>
    <row r="12" spans="1:17" s="50" customFormat="1" x14ac:dyDescent="0.2">
      <c r="A12" s="254"/>
      <c r="B12" s="79" t="s">
        <v>46</v>
      </c>
      <c r="C12" s="41">
        <f>COUNTIFS(CharlesCityNDD!$E:$E,"&gt;=1/1/2015",CharlesCityNDD!$E:$E,"&lt;=12/31/2015",CharlesCityNDD!$C:$C,"NITROGEN, TOTAL (AS N)",CharlesCityNDD!$G:$G,"MG/L",CharlesCityNDD!$H:$H,"RAW WASTE")</f>
        <v>42</v>
      </c>
      <c r="D12" s="42">
        <f>AVERAGEIFS(CharlesCityNDD!$F:$F,CharlesCityNDD!$E:$E,"&gt;=1/1/2015",CharlesCityNDD!$E:$E,"&lt;=12/31/2015",(CharlesCityNDD!$C:$C),("NITROGEN, TOTAL (AS N)"),(CharlesCityNDD!$H:$H),("RAW WASTE"),(CharlesCityNDD!$G:$G),("MG/L"))</f>
        <v>22.621428571428574</v>
      </c>
      <c r="E12" s="41">
        <f>COUNTIFS(CharlesCityNDD!$E:$E,"&gt;=1/1/2015",CharlesCityNDD!$E:$E,"&lt;=12/31/2015",CharlesCityNDD!$C:$C,"NITROGEN, TOTAL (AS N)",CharlesCityNDD!$G:$G,"LBS/DAY",CharlesCityNDD!$H:$H,"RAW WASTE")</f>
        <v>42</v>
      </c>
      <c r="F12" s="181">
        <f>AVERAGEIFS(CharlesCityNDD!$F:$F,CharlesCityNDD!$E:$E,"&gt;=1/1/2015",CharlesCityNDD!$E:$E,"&lt;=12/31/2015",(CharlesCityNDD!$C:$C),("NITROGEN, TOTAL (AS N)"),(CharlesCityNDD!$H:$H),("RAW WASTE"),(CharlesCityNDD!$G:$G),("LBS/DAY"))</f>
        <v>206.64031898571423</v>
      </c>
      <c r="G12" s="43">
        <f>SUMIFS(CharlesCityNDD!$F:$F,CharlesCityNDD!$E:$E,"&gt;=1/1/2015",CharlesCityNDD!$E:$E,"&lt;=12/31/2015",(CharlesCityNDD!$C:$C),("NITROGEN, TOTAL (AS N)"),(CharlesCityNDD!$H:$H),("RAW WASTE"),(CharlesCityNDD!$G:$G),("LBS/DAY"))</f>
        <v>8678.8933973999974</v>
      </c>
      <c r="H12" s="44">
        <f>F12*365</f>
        <v>75423.716429785694</v>
      </c>
      <c r="I12" s="41">
        <f>COUNTIFS(CharlesCityNDD!$E:$E,"&gt;=1/1/2015",CharlesCityNDD!$E:$E,"&lt;=12/31/2015",CharlesCityNDD!$C:$C,"NITROGEN, TOTAL (AS N)",CharlesCityNDD!$G:$G,"MG/L",CharlesCityNDD!$H:$H,"FINAL EFFLUENT")</f>
        <v>42</v>
      </c>
      <c r="J12" s="45">
        <f>AVERAGEIFS(CharlesCityNDD!$F:$F,CharlesCityNDD!$E:$E,"&gt;=1/1/2015",CharlesCityNDD!$E:$E,"&lt;=12/31/2015",(CharlesCityNDD!$C:$C),("NITROGEN, TOTAL (AS N)"),(CharlesCityNDD!$H:$H),("FINAL EFFLUENT"),(CharlesCityNDD!$G:$G),("MG/L"))</f>
        <v>15.424047619047615</v>
      </c>
      <c r="K12" s="41">
        <f>COUNTIFS(CharlesCityNDD!$E:$E,"&gt;=1/1/2015",CharlesCityNDD!$E:$E,"&lt;=12/31/2015",CharlesCityNDD!$C:$C,"NITROGEN, TOTAL (AS N)",CharlesCityNDD!$G:$G,"LBS/DAY",CharlesCityNDD!$H:$H,"FINAL EFFLUENT")</f>
        <v>42</v>
      </c>
      <c r="L12" s="182">
        <f>AVERAGEIFS((CharlesCityNDD!$F:$F),CharlesCityNDD!$E:$E,"&gt;=1/1/2015",CharlesCityNDD!$E:$E,"&lt;=12/31/2015",(CharlesCityNDD!$C:$C),("NITROGEN, TOTAL (AS N)"),(CharlesCityNDD!$H:$H),("FINAL EFFLUENT"),(CharlesCityNDD!$G:$G),("LBS/DAY"))</f>
        <v>138.49467144047617</v>
      </c>
      <c r="M12" s="43">
        <f>SUMIFS(CharlesCityNDD!$F:$F,CharlesCityNDD!$E:$E,"&gt;=1/1/2015",CharlesCityNDD!$E:$E,"&lt;=12/31/2015",(CharlesCityNDD!$C:$C),("NITROGEN, TOTAL (AS N)"),(CharlesCityNDD!$H:$H),("FINAL EFFLUENT"),(CharlesCityNDD!$G:$G),("LBS/DAY"))</f>
        <v>5816.7762004999986</v>
      </c>
      <c r="N12" s="46">
        <f>L12*365</f>
        <v>50550.555075773802</v>
      </c>
      <c r="O12" s="47">
        <f>((D12-J12))/D12</f>
        <v>0.31816650878854885</v>
      </c>
      <c r="P12" s="48">
        <f>((F12-L12))/F12</f>
        <v>0.32977904737917679</v>
      </c>
      <c r="Q12" s="49">
        <f>(F12-L12)*365</f>
        <v>24873.161354011892</v>
      </c>
    </row>
    <row r="13" spans="1:17" s="40" customFormat="1" x14ac:dyDescent="0.2">
      <c r="A13" s="254"/>
      <c r="B13" s="80" t="s">
        <v>50</v>
      </c>
      <c r="C13" s="51">
        <f>COUNTIFS(CharlesCityNDD!$E:$E,"&gt;=5/1/2015",CharlesCityNDD!$E:$E,"&lt;=4/30/2016",CharlesCityNDD!$C:$C,"NITROGEN, TOTAL (AS N)",CharlesCityNDD!$G:$G,"MG/L",CharlesCityNDD!$H:$H,"RAW WASTE")</f>
        <v>46</v>
      </c>
      <c r="D13" s="52">
        <f>AVERAGEIFS(CharlesCityNDD!$F:$F,CharlesCityNDD!$E:$E,"&gt;=5/1/2015",CharlesCityNDD!$E:$E,"&lt;=4/30/2016",(CharlesCityNDD!$C:$C),("NITROGEN, TOTAL (AS N)"),(CharlesCityNDD!$H:$H),("RAW WASTE"),(CharlesCityNDD!$G:$G),("MG/L"))</f>
        <v>21.117391304347827</v>
      </c>
      <c r="E13" s="51">
        <f>COUNTIFS(CharlesCityNDD!$E:$E,"&gt;=5/1/2015",CharlesCityNDD!$E:$E,"&lt;=4/30/2016",CharlesCityNDD!$C:$C,"NITROGEN, TOTAL (AS N)",CharlesCityNDD!$G:$G,"LBS/DAY",CharlesCityNDD!$H:$H,"RAW WASTE")</f>
        <v>46</v>
      </c>
      <c r="F13" s="183">
        <f>AVERAGEIFS(CharlesCityNDD!$F:$F,CharlesCityNDD!$E:$E,"&gt;=5/1/2015",CharlesCityNDD!$E:$E,"&lt;=4/30/2016",(CharlesCityNDD!$C:$C),("NITROGEN, TOTAL (AS N)"),(CharlesCityNDD!$H:$H),("RAW WASTE"),(CharlesCityNDD!$G:$G),("LBS/DAY"))</f>
        <v>212.61082224782612</v>
      </c>
      <c r="G13" s="53">
        <f>SUMIFS(CharlesCityNDD!$F:$F,CharlesCityNDD!$E:$E,"&gt;=5/1/2015",CharlesCityNDD!$E:$E,"&lt;=4/30/2016",(CharlesCityNDD!$C:$C),("NITROGEN, TOTAL (AS N)"),(CharlesCityNDD!$H:$H),("RAW WASTE"),(CharlesCityNDD!$G:$G),("LBS/DAY"))</f>
        <v>9780.0978234000013</v>
      </c>
      <c r="H13" s="54">
        <f>F13*365</f>
        <v>77602.950120456531</v>
      </c>
      <c r="I13" s="51">
        <f>COUNTIFS(CharlesCityNDD!$E:$E,"&gt;=5/1/2015",CharlesCityNDD!$E:$E,"&lt;=4/30/2016",CharlesCityNDD!$C:$C,"NITROGEN, TOTAL (AS N)",CharlesCityNDD!$G:$G,"MG/L",CharlesCityNDD!$H:$H,"FINAL EFFLUENT")</f>
        <v>46</v>
      </c>
      <c r="J13" s="52">
        <f>AVERAGEIFS(CharlesCityNDD!$F:$F,CharlesCityNDD!$E:$E,"&gt;=5/1/2015",CharlesCityNDD!$E:$E,"&lt;=4/30/2016",(CharlesCityNDD!$C:$C),("NITROGEN, TOTAL (AS N)"),(CharlesCityNDD!$H:$H),("FINAL EFFLUENT"),(CharlesCityNDD!$G:$G),("MG/L"))</f>
        <v>14.252826086956524</v>
      </c>
      <c r="K13" s="51">
        <f>COUNTIFS(CharlesCityNDD!$E:$E,"&gt;=5/1/2015",CharlesCityNDD!$E:$E,"&lt;=4/30/2016",CharlesCityNDD!$C:$C,"NITROGEN, TOTAL (AS N)",CharlesCityNDD!$G:$G,"LBS/DAY",CharlesCityNDD!$H:$H,"FINAL EFFLUENT")</f>
        <v>46</v>
      </c>
      <c r="L13" s="183">
        <f>AVERAGEIFS((CharlesCityNDD!$F:$F),CharlesCityNDD!$E:$E,"&gt;=5/1/2015",CharlesCityNDD!$E:$E,"&lt;=4/30/2016",(CharlesCityNDD!$C:$C),("NITROGEN, TOTAL (AS N)"),(CharlesCityNDD!$H:$H),("FINAL EFFLUENT"),(CharlesCityNDD!$G:$G),("LBS/DAY"))</f>
        <v>140.01572918913047</v>
      </c>
      <c r="M13" s="53">
        <f>SUMIFS(CharlesCityNDD!$F:$F,CharlesCityNDD!$E:$E,"&gt;=5/1/2015",CharlesCityNDD!$E:$E,"&lt;=4/30/2016",(CharlesCityNDD!$C:$C),("NITROGEN, TOTAL (AS N)"),(CharlesCityNDD!$H:$H),("FINAL EFFLUENT"),(CharlesCityNDD!$G:$G),("LBS/DAY"))</f>
        <v>6440.7235427000014</v>
      </c>
      <c r="N13" s="54">
        <f>L13*365</f>
        <v>51105.741154032621</v>
      </c>
      <c r="O13" s="55">
        <f>((D13-J13))/D13</f>
        <v>0.32506691373275676</v>
      </c>
      <c r="P13" s="56">
        <f>((F13-L13))/F13</f>
        <v>0.34144589767907696</v>
      </c>
      <c r="Q13" s="57">
        <f>(F13-L13)*365</f>
        <v>26497.208966423914</v>
      </c>
    </row>
    <row r="14" spans="1:17" s="67" customFormat="1" ht="6" customHeight="1" x14ac:dyDescent="0.2">
      <c r="A14" s="254"/>
      <c r="B14" s="81"/>
      <c r="C14" s="58"/>
      <c r="D14" s="59"/>
      <c r="E14" s="58"/>
      <c r="F14" s="184"/>
      <c r="G14" s="60"/>
      <c r="H14" s="61"/>
      <c r="I14" s="58"/>
      <c r="J14" s="62"/>
      <c r="K14" s="58"/>
      <c r="L14" s="185"/>
      <c r="M14" s="60"/>
      <c r="N14" s="63"/>
      <c r="O14" s="64"/>
      <c r="P14" s="65"/>
      <c r="Q14" s="66"/>
    </row>
    <row r="15" spans="1:17" s="67" customFormat="1" x14ac:dyDescent="0.2">
      <c r="A15" s="254"/>
      <c r="B15" s="82" t="s">
        <v>47</v>
      </c>
      <c r="C15" s="19">
        <f>COUNTIFS(CharlesCityNDD!$E:$E,"&gt;=1/1/2016",CharlesCityNDD!$E:$E,"&lt;=12/31/2016",CharlesCityNDD!$C:$C,"NITROGEN, TOTAL (AS N)",CharlesCityNDD!$G:$G,"MG/L",CharlesCityNDD!$H:$H,"RAW WASTE")</f>
        <v>50</v>
      </c>
      <c r="D15" s="20">
        <f>AVERAGEIFS(CharlesCityNDD!$F:$F,CharlesCityNDD!$E:$E,"&gt;=1/1/2016",CharlesCityNDD!$E:$E,"&lt;=12/31/2016",(CharlesCityNDD!$C:$C),("NITROGEN, TOTAL (AS N)"),(CharlesCityNDD!$H:$H),("RAW WASTE"),(CharlesCityNDD!$G:$G),("MG/L"))</f>
        <v>18.059599999999996</v>
      </c>
      <c r="E15" s="19">
        <f>COUNTIFS(CharlesCityNDD!$E:$E,"&gt;=1/1/2016",CharlesCityNDD!$E:$E,"&lt;=12/31/2016",CharlesCityNDD!$C:$C,"NITROGEN, TOTAL (AS N)",CharlesCityNDD!$G:$G,"LBS/DAY",CharlesCityNDD!$H:$H,"RAW WASTE")</f>
        <v>50</v>
      </c>
      <c r="F15" s="186">
        <f>AVERAGEIFS(CharlesCityNDD!$F:$F,CharlesCityNDD!$E:$E,"&gt;=1/1/2016",CharlesCityNDD!$E:$E,"&lt;=12/31/2016",(CharlesCityNDD!$C:$C),("NITROGEN, TOTAL (AS N)"),(CharlesCityNDD!$H:$H),("RAW WASTE"),(CharlesCityNDD!$G:$G),("LBS/DAY"))</f>
        <v>270.81181627200004</v>
      </c>
      <c r="G15" s="21">
        <f>SUMIFS(CharlesCityNDD!$F:$F,CharlesCityNDD!$E:$E,"&gt;=1/1/2016",CharlesCityNDD!$E:$E,"&lt;=12/31/2016",(CharlesCityNDD!$C:$C),("NITROGEN, TOTAL (AS N)"),(CharlesCityNDD!$H:$H),("RAW WASTE"),(CharlesCityNDD!$G:$G),("LBS/DAY"))</f>
        <v>13540.590813600003</v>
      </c>
      <c r="H15" s="22">
        <f>F15*365</f>
        <v>98846.312939280018</v>
      </c>
      <c r="I15" s="19">
        <f>COUNTIFS(CharlesCityNDD!$E:$E,"&gt;=1/1/2016",CharlesCityNDD!$E:$E,"&lt;=12/31/2016",CharlesCityNDD!$C:$C,"NITROGEN, TOTAL (AS N)",CharlesCityNDD!$G:$G,"MG/L",CharlesCityNDD!$H:$H,"FINAL EFFLUENT")</f>
        <v>50</v>
      </c>
      <c r="J15" s="23">
        <f>AVERAGEIFS(CharlesCityNDD!$F:$F,CharlesCityNDD!$E:$E,"&gt;=1/1/2016",CharlesCityNDD!$E:$E,"&lt;=12/31/2016",(CharlesCityNDD!$C:$C),("NITROGEN, TOTAL (AS N)"),(CharlesCityNDD!$H:$H),("FINAL EFFLUENT"),(CharlesCityNDD!$G:$G),("MG/L"))</f>
        <v>13.202400000000001</v>
      </c>
      <c r="K15" s="19">
        <f>COUNTIFS(CharlesCityNDD!$E:$E,"&gt;=1/1/2016",CharlesCityNDD!$E:$E,"&lt;=12/31/2016",CharlesCityNDD!$C:$C,"NITROGEN, TOTAL (AS N)",CharlesCityNDD!$G:$G,"LBS/DAY",CharlesCityNDD!$H:$H,"FINAL EFFLUENT")</f>
        <v>50</v>
      </c>
      <c r="L15" s="187">
        <f>AVERAGEIFS((CharlesCityNDD!$F:$F),CharlesCityNDD!$E:$E,"&gt;=1/1/2016",CharlesCityNDD!$E:$E,"&lt;=12/31/2016",(CharlesCityNDD!$C:$C),("NITROGEN, TOTAL (AS N)"),(CharlesCityNDD!$H:$H),("FINAL EFFLUENT"),(CharlesCityNDD!$G:$G),("LBS/DAY"))</f>
        <v>202.410412224</v>
      </c>
      <c r="M15" s="21">
        <f>SUMIFS(CharlesCityNDD!$F:$F,CharlesCityNDD!$E:$E,"&gt;=1/1/2016",CharlesCityNDD!$E:$E,"&lt;=12/31/2016",(CharlesCityNDD!$C:$C),("NITROGEN, TOTAL (AS N)"),(CharlesCityNDD!$H:$H),("FINAL EFFLUENT"),(CharlesCityNDD!$G:$G),("LBS/DAY"))</f>
        <v>10120.5206112</v>
      </c>
      <c r="N15" s="24">
        <f>L15*365</f>
        <v>73879.800461759995</v>
      </c>
      <c r="O15" s="25">
        <f>((D15-J15))/D15</f>
        <v>0.2689539081707234</v>
      </c>
      <c r="P15" s="26">
        <f>((F15-L15))/F15</f>
        <v>0.25257909713695254</v>
      </c>
      <c r="Q15" s="68">
        <f>(F15-L15)*365</f>
        <v>24966.512477520017</v>
      </c>
    </row>
    <row r="16" spans="1:17" s="40" customFormat="1" x14ac:dyDescent="0.2">
      <c r="A16" s="254"/>
      <c r="B16" s="83" t="s">
        <v>51</v>
      </c>
      <c r="C16" s="84">
        <f>COUNTIFS(CharlesCityNDD!$E:$E,"&gt;=5/1/2016",CharlesCityNDD!$E:$E,"&lt;=4/30/2017",CharlesCityNDD!$C:$C,"NITROGEN, TOTAL (AS N)",CharlesCityNDD!$G:$G,"MG/L",CharlesCityNDD!$H:$H,"RAW WASTE")</f>
        <v>51</v>
      </c>
      <c r="D16" s="85">
        <f>AVERAGEIFS(CharlesCityNDD!$F:$F,CharlesCityNDD!$E:$E,"&gt;=5/1/2016",CharlesCityNDD!$E:$E,"&lt;=4/30/2017",(CharlesCityNDD!$C:$C),("NITROGEN, TOTAL (AS N)"),(CharlesCityNDD!$H:$H),("RAW WASTE"),(CharlesCityNDD!$G:$G),("MG/L"))</f>
        <v>18.385882352941177</v>
      </c>
      <c r="E16" s="84">
        <f>COUNTIFS(CharlesCityNDD!$E:$E,"&gt;=5/1/2016",CharlesCityNDD!$E:$E,"&lt;=4/30/2017",CharlesCityNDD!$C:$C,"NITROGEN, TOTAL (AS N)",CharlesCityNDD!$G:$G,"LBS/DAY",CharlesCityNDD!$H:$H,"RAW WASTE")</f>
        <v>51</v>
      </c>
      <c r="F16" s="188">
        <f>AVERAGEIFS(CharlesCityNDD!$F:$F,CharlesCityNDD!$E:$E,"&gt;=5/1/2016",CharlesCityNDD!$E:$E,"&lt;=4/30/2017",(CharlesCityNDD!$C:$C),("NITROGEN, TOTAL (AS N)"),(CharlesCityNDD!$H:$H),("RAW WASTE"),(CharlesCityNDD!$G:$G),("LBS/DAY"))</f>
        <v>321.64698771764711</v>
      </c>
      <c r="G16" s="86">
        <f>SUMIFS(CharlesCityNDD!$F:$F,CharlesCityNDD!$E:$E,"&gt;=5/1/2016",CharlesCityNDD!$E:$E,"&lt;=4/30/2017",(CharlesCityNDD!$C:$C),("NITROGEN, TOTAL (AS N)"),(CharlesCityNDD!$H:$H),("RAW WASTE"),(CharlesCityNDD!$G:$G),("LBS/DAY"))</f>
        <v>16403.996373600003</v>
      </c>
      <c r="H16" s="87">
        <f>F16*365</f>
        <v>117401.1505169412</v>
      </c>
      <c r="I16" s="84">
        <f>COUNTIFS(CharlesCityNDD!$E:$E,"&gt;=5/1/2016",CharlesCityNDD!$E:$E,"&lt;=4/30/2017",CharlesCityNDD!$C:$C,"NITROGEN, TOTAL (AS N)",CharlesCityNDD!$G:$G,"MG/L",CharlesCityNDD!$H:$H,"FINAL EFFLUENT")</f>
        <v>51</v>
      </c>
      <c r="J16" s="85">
        <f>AVERAGEIFS(CharlesCityNDD!$F:$F,CharlesCityNDD!$E:$E,"&gt;=5/1/2016",CharlesCityNDD!$E:$E,"&lt;=4/30/2017",(CharlesCityNDD!$C:$C),("NITROGEN, TOTAL (AS N)"),(CharlesCityNDD!$H:$H),("FINAL EFFLUENT"),(CharlesCityNDD!$G:$G),("MG/L"))</f>
        <v>14.311960784313724</v>
      </c>
      <c r="K16" s="84">
        <f>COUNTIFS(CharlesCityNDD!$E:$E,"&gt;=5/1/2016",CharlesCityNDD!$E:$E,"&lt;=4/30/2017",CharlesCityNDD!$C:$C,"NITROGEN, TOTAL (AS N)",CharlesCityNDD!$G:$G,"LBS/DAY",CharlesCityNDD!$H:$H,"FINAL EFFLUENT")</f>
        <v>51</v>
      </c>
      <c r="L16" s="188">
        <f>AVERAGEIFS((CharlesCityNDD!$F:$F),CharlesCityNDD!$E:$E,"&gt;=5/1/2016",CharlesCityNDD!$E:$E,"&lt;=4/30/2017",(CharlesCityNDD!$C:$C),("NITROGEN, TOTAL (AS N)"),(CharlesCityNDD!$H:$H),("FINAL EFFLUENT"),(CharlesCityNDD!$G:$G),("LBS/DAY"))</f>
        <v>248.87298989411769</v>
      </c>
      <c r="M16" s="86">
        <f>SUMIFS(CharlesCityNDD!$F:$F,CharlesCityNDD!$E:$E,"&gt;=5/1/2016",CharlesCityNDD!$E:$E,"&lt;=4/30/2017",(CharlesCityNDD!$C:$C),("NITROGEN, TOTAL (AS N)"),(CharlesCityNDD!$H:$H),("FINAL EFFLUENT"),(CharlesCityNDD!$G:$G),("LBS/DAY"))</f>
        <v>12692.522484600002</v>
      </c>
      <c r="N16" s="87">
        <f>L16*365</f>
        <v>90838.641311352956</v>
      </c>
      <c r="O16" s="88">
        <f>((D16-J16))/D16</f>
        <v>0.22157879020561397</v>
      </c>
      <c r="P16" s="89">
        <f>((F16-L16))/F16</f>
        <v>0.22625424954208792</v>
      </c>
      <c r="Q16" s="90">
        <f>(F16-L16)*365</f>
        <v>26562.509205588234</v>
      </c>
    </row>
    <row r="17" spans="1:17" s="40" customFormat="1" ht="6" customHeight="1" x14ac:dyDescent="0.2">
      <c r="A17" s="254"/>
      <c r="B17" s="91"/>
      <c r="C17" s="92"/>
      <c r="D17" s="93"/>
      <c r="E17" s="92"/>
      <c r="F17" s="93"/>
      <c r="G17" s="94"/>
      <c r="H17" s="94"/>
      <c r="I17" s="92"/>
      <c r="J17" s="93"/>
      <c r="K17" s="92"/>
      <c r="L17" s="93"/>
      <c r="M17" s="94"/>
      <c r="N17" s="94"/>
      <c r="O17" s="95"/>
      <c r="P17" s="95"/>
      <c r="Q17" s="96"/>
    </row>
    <row r="18" spans="1:17" s="107" customFormat="1" x14ac:dyDescent="0.2">
      <c r="A18" s="254"/>
      <c r="B18" s="97" t="s">
        <v>52</v>
      </c>
      <c r="C18" s="98">
        <f>COUNTIFS(CharlesCityNDD!$E:$E,"&gt;=1/1/2017",CharlesCityNDD!$E:$E,"&lt;=12/31/2017",CharlesCityNDD!$C:$C,"NITROGEN, TOTAL (AS N)",CharlesCityNDD!$G:$G,"MG/L",CharlesCityNDD!$H:$H,"RAW WASTE")</f>
        <v>52</v>
      </c>
      <c r="D18" s="99">
        <f>AVERAGEIFS(CharlesCityNDD!$F:$F,CharlesCityNDD!$E:$E,"&gt;=1/1/2017",CharlesCityNDD!$E:$E,"&lt;=12/31/2017",(CharlesCityNDD!$C:$C),("NITROGEN, TOTAL (AS N)"),(CharlesCityNDD!$H:$H),("RAW WASTE"),(CharlesCityNDD!$G:$G),("MG/L"))</f>
        <v>22.263461538461538</v>
      </c>
      <c r="E18" s="98">
        <f>COUNTIFS(CharlesCityNDD!$E:$E,"&gt;=1/1/2017",CharlesCityNDD!$E:$E,"&lt;=12/31/2017",CharlesCityNDD!$C:$C,"NITROGEN, TOTAL (AS N)",CharlesCityNDD!$G:$G,"LBS/DAY",CharlesCityNDD!$H:$H,"RAW WASTE")</f>
        <v>52</v>
      </c>
      <c r="F18" s="189">
        <f>AVERAGEIFS(CharlesCityNDD!$F:$F,CharlesCityNDD!$E:$E,"&gt;=1/1/2017",CharlesCityNDD!$E:$E,"&lt;=12/31/2017",(CharlesCityNDD!$C:$C),("NITROGEN, TOTAL (AS N)"),(CharlesCityNDD!$H:$H),("RAW WASTE"),(CharlesCityNDD!$G:$G),("LBS/DAY"))</f>
        <v>343.04237157692319</v>
      </c>
      <c r="G18" s="100">
        <f>SUMIFS(CharlesCityNDD!$F:$F,CharlesCityNDD!$E:$E,"&gt;=1/1/2017",CharlesCityNDD!$E:$E,"&lt;=12/31/2017",(CharlesCityNDD!$C:$C),("NITROGEN, TOTAL (AS N)"),(CharlesCityNDD!$H:$H),("RAW WASTE"),(CharlesCityNDD!$G:$G),("LBS/DAY"))</f>
        <v>17838.203322000005</v>
      </c>
      <c r="H18" s="101">
        <f>F18*365</f>
        <v>125210.46562557697</v>
      </c>
      <c r="I18" s="98">
        <f>COUNTIFS(CharlesCityNDD!$E:$E,"&gt;=1/1/2017",CharlesCityNDD!$E:$E,"&lt;=12/31/2017",CharlesCityNDD!$C:$C,"NITROGEN, TOTAL (AS N)",CharlesCityNDD!$G:$G,"MG/L",CharlesCityNDD!$H:$H,"FINAL EFFLUENT")</f>
        <v>52</v>
      </c>
      <c r="J18" s="102">
        <f>AVERAGEIFS(CharlesCityNDD!$F:$F,CharlesCityNDD!$E:$E,"&gt;=1/1/2017",CharlesCityNDD!$E:$E,"&lt;=12/31/2017",(CharlesCityNDD!$C:$C),("NITROGEN, TOTAL (AS N)"),(CharlesCityNDD!$H:$H),("FINAL EFFLUENT"),(CharlesCityNDD!$G:$G),("MG/L"))</f>
        <v>16.855769230769234</v>
      </c>
      <c r="K18" s="98">
        <f>COUNTIFS(CharlesCityNDD!$E:$E,"&gt;=1/1/2017",CharlesCityNDD!$E:$E,"&lt;=12/31/2017",CharlesCityNDD!$C:$C,"NITROGEN, TOTAL (AS N)",CharlesCityNDD!$G:$G,"LBS/DAY",CharlesCityNDD!$H:$H,"FINAL EFFLUENT")</f>
        <v>52</v>
      </c>
      <c r="L18" s="190">
        <f>AVERAGEIFS((CharlesCityNDD!$F:$F),CharlesCityNDD!$E:$E,"&gt;=1/1/2017",CharlesCityNDD!$E:$E,"&lt;=12/31/2017",(CharlesCityNDD!$C:$C),("NITROGEN, TOTAL (AS N)"),(CharlesCityNDD!$H:$H),("FINAL EFFLUENT"),(CharlesCityNDD!$G:$G),("LBS/DAY"))</f>
        <v>261.93651311538463</v>
      </c>
      <c r="M18" s="100">
        <f>SUMIFS(CharlesCityNDD!$F:$F,CharlesCityNDD!$E:$E,"&gt;=1/1/2017",CharlesCityNDD!$E:$E,"&lt;=12/31/2017",(CharlesCityNDD!$C:$C),("NITROGEN, TOTAL (AS N)"),(CharlesCityNDD!$H:$H),("FINAL EFFLUENT"),(CharlesCityNDD!$G:$G),("LBS/DAY"))</f>
        <v>13620.698682</v>
      </c>
      <c r="N18" s="103">
        <f>L18*365</f>
        <v>95606.827287115389</v>
      </c>
      <c r="O18" s="104">
        <f>((D18-J18))/D18</f>
        <v>0.24289539604387997</v>
      </c>
      <c r="P18" s="105">
        <f>((F18-L18))/F18</f>
        <v>0.2364310218842792</v>
      </c>
      <c r="Q18" s="106">
        <f>(F18-L18)*365</f>
        <v>29603.638338461573</v>
      </c>
    </row>
    <row r="19" spans="1:17" s="40" customFormat="1" x14ac:dyDescent="0.2">
      <c r="A19" s="254"/>
      <c r="B19" s="156" t="s">
        <v>53</v>
      </c>
      <c r="C19" s="111">
        <f>COUNTIFS(CharlesCityNDD!$E:$E,"&gt;=5/1/2017",CharlesCityNDD!$E:$E,"&lt;=4/30/2018",CharlesCityNDD!$C:$C,"NITROGEN, TOTAL (AS N)",CharlesCityNDD!$G:$G,"MG/L",CharlesCityNDD!$H:$H,"RAW WASTE")</f>
        <v>51</v>
      </c>
      <c r="D19" s="112">
        <f>AVERAGEIFS(CharlesCityNDD!$F:$F,CharlesCityNDD!$E:$E,"&gt;=5/1/2017",CharlesCityNDD!$E:$E,"&lt;=4/30/2018",(CharlesCityNDD!$C:$C),("NITROGEN, TOTAL (AS N)"),(CharlesCityNDD!$H:$H),("RAW WASTE"),(CharlesCityNDD!$G:$G),("MG/L"))</f>
        <v>25.813725490196074</v>
      </c>
      <c r="E19" s="111">
        <f>COUNTIFS(CharlesCityNDD!$E:$E,"&gt;=5/1/2017",CharlesCityNDD!$E:$E,"&lt;=4/30/2018",CharlesCityNDD!$C:$C,"NITROGEN, TOTAL (AS N)",CharlesCityNDD!$G:$G,"LBS/DAY",CharlesCityNDD!$H:$H,"RAW WASTE")</f>
        <v>51</v>
      </c>
      <c r="F19" s="191">
        <f>AVERAGEIFS(CharlesCityNDD!$F:$F,CharlesCityNDD!$E:$E,"&gt;=5/1/2017",CharlesCityNDD!$E:$E,"&lt;=4/30/2018",(CharlesCityNDD!$C:$C),("NITROGEN, TOTAL (AS N)"),(CharlesCityNDD!$H:$H),("RAW WASTE"),(CharlesCityNDD!$G:$G),("LBS/DAY"))</f>
        <v>346.14054729411765</v>
      </c>
      <c r="G19" s="113">
        <f>SUMIFS(CharlesCityNDD!$F:$F,CharlesCityNDD!$E:$E,"&gt;=5/1/2017",CharlesCityNDD!$E:$E,"&lt;=4/30/2018",(CharlesCityNDD!$C:$C),("NITROGEN, TOTAL (AS N)"),(CharlesCityNDD!$H:$H),("RAW WASTE"),(CharlesCityNDD!$G:$G),("LBS/DAY"))</f>
        <v>17653.167912000001</v>
      </c>
      <c r="H19" s="114">
        <f>F19*365</f>
        <v>126341.29976235294</v>
      </c>
      <c r="I19" s="111">
        <f>COUNTIFS(CharlesCityNDD!$E:$E,"&gt;=5/1/2017",CharlesCityNDD!$E:$E,"&lt;=4/30/2018",CharlesCityNDD!$C:$C,"NITROGEN, TOTAL (AS N)",CharlesCityNDD!$G:$G,"MG/L",CharlesCityNDD!$H:$H,"FINAL EFFLUENT")</f>
        <v>51</v>
      </c>
      <c r="J19" s="112">
        <f>AVERAGEIFS(CharlesCityNDD!$F:$F,CharlesCityNDD!$E:$E,"&gt;=5/1/2017",CharlesCityNDD!$E:$E,"&lt;=4/30/2018",(CharlesCityNDD!$C:$C),("NITROGEN, TOTAL (AS N)"),(CharlesCityNDD!$H:$H),("FINAL EFFLUENT"),(CharlesCityNDD!$G:$G),("MG/L"))</f>
        <v>17.52549019607843</v>
      </c>
      <c r="K19" s="111">
        <f>COUNTIFS(CharlesCityNDD!$E:$E,"&gt;=5/1/2017",CharlesCityNDD!$E:$E,"&lt;=4/30/2018",CharlesCityNDD!$C:$C,"NITROGEN, TOTAL (AS N)",CharlesCityNDD!$G:$G,"LBS/DAY",CharlesCityNDD!$H:$H,"FINAL EFFLUENT")</f>
        <v>51</v>
      </c>
      <c r="L19" s="191">
        <f>AVERAGEIFS((CharlesCityNDD!$F:$F),CharlesCityNDD!$E:$E,"&gt;=5/1/2017",CharlesCityNDD!$E:$E,"&lt;=4/30/2018",(CharlesCityNDD!$C:$C),("NITROGEN, TOTAL (AS N)"),(CharlesCityNDD!$H:$H),("FINAL EFFLUENT"),(CharlesCityNDD!$G:$G),("LBS/DAY"))</f>
        <v>241.12537682352948</v>
      </c>
      <c r="M19" s="113">
        <f>SUMIFS(CharlesCityNDD!$F:$F,CharlesCityNDD!$E:$E,"&gt;=5/1/2017",CharlesCityNDD!$E:$E,"&lt;=4/30/2018",(CharlesCityNDD!$C:$C),("NITROGEN, TOTAL (AS N)"),(CharlesCityNDD!$H:$H),("FINAL EFFLUENT"),(CharlesCityNDD!$G:$G),("LBS/DAY"))</f>
        <v>12297.394218000003</v>
      </c>
      <c r="N19" s="114">
        <f>L19*365</f>
        <v>88010.762540588257</v>
      </c>
      <c r="O19" s="115">
        <f>((D19-J19))/D19</f>
        <v>0.32107861754652484</v>
      </c>
      <c r="P19" s="116">
        <f>((F19-L19))/F19</f>
        <v>0.30338881501032633</v>
      </c>
      <c r="Q19" s="117">
        <f>(F19-L19)*365</f>
        <v>38330.53722176468</v>
      </c>
    </row>
    <row r="20" spans="1:17" s="40" customFormat="1" ht="5.25" customHeight="1" x14ac:dyDescent="0.2">
      <c r="A20" s="254"/>
      <c r="B20" s="91"/>
      <c r="C20" s="92"/>
      <c r="D20" s="93"/>
      <c r="E20" s="92"/>
      <c r="F20" s="93"/>
      <c r="G20" s="94"/>
      <c r="H20" s="94"/>
      <c r="I20" s="92"/>
      <c r="J20" s="93"/>
      <c r="K20" s="92"/>
      <c r="L20" s="93"/>
      <c r="M20" s="94"/>
      <c r="N20" s="94"/>
      <c r="O20" s="95"/>
      <c r="P20" s="95"/>
      <c r="Q20" s="96"/>
    </row>
    <row r="21" spans="1:17" s="144" customFormat="1" x14ac:dyDescent="0.2">
      <c r="A21" s="254"/>
      <c r="B21" s="134" t="s">
        <v>63</v>
      </c>
      <c r="C21" s="135">
        <f>COUNTIFS(CharlesCityNDD!$E:$E,"&gt;=1/1/2018",CharlesCityNDD!$E:$E,"&lt;=12/31/2018",CharlesCityNDD!$C:$C,"NITROGEN, TOTAL (AS N)",CharlesCityNDD!$G:$G,"MG/L",CharlesCityNDD!$H:$H,"RAW WASTE")</f>
        <v>16</v>
      </c>
      <c r="D21" s="136">
        <f>AVERAGEIFS(CharlesCityNDD!$F:$F,CharlesCityNDD!$E:$E,"&gt;=1/1/2018",CharlesCityNDD!$E:$E,"&lt;=12/31/2018",(CharlesCityNDD!$C:$C),("NITROGEN, TOTAL (AS N)"),(CharlesCityNDD!$H:$H),("RAW WASTE"),(CharlesCityNDD!$G:$G),("MG/L"))</f>
        <v>33.512500000000003</v>
      </c>
      <c r="E21" s="135">
        <f>COUNTIFS(CharlesCityNDD!$E:$E,"&gt;=1/1/2018",CharlesCityNDD!$E:$E,"&lt;=12/31/2018",CharlesCityNDD!$C:$C,"NITROGEN, TOTAL (AS N)",CharlesCityNDD!$G:$G,"LBS/DAY",CharlesCityNDD!$H:$H,"RAW WASTE")</f>
        <v>16</v>
      </c>
      <c r="F21" s="192">
        <f>AVERAGEIFS(CharlesCityNDD!$F:$F,CharlesCityNDD!$E:$E,"&gt;=1/1/2018",CharlesCityNDD!$E:$E,"&lt;=12/31/2018",(CharlesCityNDD!$C:$C),("NITROGEN, TOTAL (AS N)"),(CharlesCityNDD!$H:$H),("RAW WASTE"),(CharlesCityNDD!$G:$G),("LBS/DAY"))</f>
        <v>411.91098412499997</v>
      </c>
      <c r="G21" s="137">
        <f>SUMIFS(CharlesCityNDD!$F:$F,CharlesCityNDD!$E:$E,"&gt;=1/1/2018",CharlesCityNDD!$E:$E,"&lt;=12/31/2018",(CharlesCityNDD!$C:$C),("NITROGEN, TOTAL (AS N)"),(CharlesCityNDD!$H:$H),("RAW WASTE"),(CharlesCityNDD!$G:$G),("LBS/DAY"))</f>
        <v>6590.5757459999995</v>
      </c>
      <c r="H21" s="138">
        <f>F21*365</f>
        <v>150347.50920562499</v>
      </c>
      <c r="I21" s="135">
        <f>COUNTIFS(CharlesCityNDD!$E:$E,"&gt;=1/1/2018",CharlesCityNDD!$E:$E,"&lt;=12/31/2018",CharlesCityNDD!$C:$C,"NITROGEN, TOTAL (AS N)",CharlesCityNDD!$G:$G,"MG/L",CharlesCityNDD!$H:$H,"FINAL EFFLUENT")</f>
        <v>16</v>
      </c>
      <c r="J21" s="139">
        <f>AVERAGEIFS(CharlesCityNDD!$F:$F,CharlesCityNDD!$E:$E,"&gt;=1/1/2018",CharlesCityNDD!$E:$E,"&lt;=12/31/2018",(CharlesCityNDD!$C:$C),("NITROGEN, TOTAL (AS N)"),(CharlesCityNDD!$H:$H),("FINAL EFFLUENT"),(CharlesCityNDD!$G:$G),("MG/L"))</f>
        <v>18.099999999999998</v>
      </c>
      <c r="K21" s="135">
        <f>COUNTIFS(CharlesCityNDD!$E:$E,"&gt;=1/1/2018",CharlesCityNDD!$E:$E,"&lt;=12/31/2018",CharlesCityNDD!$C:$C,"NITROGEN, TOTAL (AS N)",CharlesCityNDD!$G:$G,"LBS/DAY",CharlesCityNDD!$H:$H,"FINAL EFFLUENT")</f>
        <v>16</v>
      </c>
      <c r="L21" s="193">
        <f>AVERAGEIFS((CharlesCityNDD!$F:$F),CharlesCityNDD!$E:$E,"&gt;=1/1/2018",CharlesCityNDD!$E:$E,"&lt;=12/31/2018",(CharlesCityNDD!$C:$C),("NITROGEN, TOTAL (AS N)"),(CharlesCityNDD!$H:$H),("FINAL EFFLUENT"),(CharlesCityNDD!$G:$G),("LBS/DAY"))</f>
        <v>223.26847199999997</v>
      </c>
      <c r="M21" s="137">
        <f>SUMIFS(CharlesCityNDD!$F:$F,CharlesCityNDD!$E:$E,"&gt;=1/1/2018",CharlesCityNDD!$E:$E,"&lt;=12/31/2018",(CharlesCityNDD!$C:$C),("NITROGEN, TOTAL (AS N)"),(CharlesCityNDD!$H:$H),("FINAL EFFLUENT"),(CharlesCityNDD!$G:$G),("LBS/DAY"))</f>
        <v>3572.2955519999996</v>
      </c>
      <c r="N21" s="140">
        <f>L21*365</f>
        <v>81492.992279999991</v>
      </c>
      <c r="O21" s="141">
        <f>((D21-J21))/D21</f>
        <v>0.45990302126072374</v>
      </c>
      <c r="P21" s="142">
        <f>((F21-L21))/F21</f>
        <v>0.45796912293009856</v>
      </c>
      <c r="Q21" s="143">
        <f>(F21-L21)*365</f>
        <v>68854.516925624994</v>
      </c>
    </row>
    <row r="22" spans="1:17" s="40" customFormat="1" ht="12" thickBot="1" x14ac:dyDescent="0.25">
      <c r="A22" s="255"/>
      <c r="B22" s="145" t="s">
        <v>64</v>
      </c>
      <c r="C22" s="146">
        <f>COUNTIFS(CharlesCityNDD!$E:$E,"&gt;=5/1/2018",CharlesCityNDD!$E:$E,"&lt;=4/30/2019",CharlesCityNDD!$C:$C,"NITROGEN, TOTAL (AS N)",CharlesCityNDD!$G:$G,"MG/L",CharlesCityNDD!$H:$H,"RAW WASTE")</f>
        <v>0</v>
      </c>
      <c r="D22" s="147" t="e">
        <f>AVERAGEIFS(CharlesCityNDD!$F:$F,CharlesCityNDD!$E:$E,"&gt;=5/1/2018",CharlesCityNDD!$E:$E,"&lt;=4/30/2019",(CharlesCityNDD!$C:$C),("NITROGEN, TOTAL (AS N)"),(CharlesCityNDD!$H:$H),("RAW WASTE"),(CharlesCityNDD!$G:$G),("MG/L"))</f>
        <v>#DIV/0!</v>
      </c>
      <c r="E22" s="146">
        <f>COUNTIFS(CharlesCityNDD!$E:$E,"&gt;=5/1/2018",CharlesCityNDD!$E:$E,"&lt;=4/30/2019",CharlesCityNDD!$C:$C,"NITROGEN, TOTAL (AS N)",CharlesCityNDD!$G:$G,"LBS/DAY",CharlesCityNDD!$H:$H,"RAW WASTE")</f>
        <v>0</v>
      </c>
      <c r="F22" s="194" t="e">
        <f>AVERAGEIFS(CharlesCityNDD!$F:$F,CharlesCityNDD!$E:$E,"&gt;=5/1/2018",CharlesCityNDD!$E:$E,"&lt;=4/30/2019",(CharlesCityNDD!$C:$C),("NITROGEN, TOTAL (AS N)"),(CharlesCityNDD!$H:$H),("RAW WASTE"),(CharlesCityNDD!$G:$G),("LBS/DAY"))</f>
        <v>#DIV/0!</v>
      </c>
      <c r="G22" s="148">
        <f>SUMIFS(CharlesCityNDD!$F:$F,CharlesCityNDD!$E:$E,"&gt;=5/1/2018",CharlesCityNDD!$E:$E,"&lt;=4/30/2019",(CharlesCityNDD!$C:$C),("NITROGEN, TOTAL (AS N)"),(CharlesCityNDD!$H:$H),("RAW WASTE"),(CharlesCityNDD!$G:$G),("LBS/DAY"))</f>
        <v>0</v>
      </c>
      <c r="H22" s="149" t="e">
        <f>F22*365</f>
        <v>#DIV/0!</v>
      </c>
      <c r="I22" s="146">
        <f>COUNTIFS(CharlesCityNDD!$E:$E,"&gt;=5/1/2018",CharlesCityNDD!$E:$E,"&lt;=4/30/2019",CharlesCityNDD!$C:$C,"NITROGEN, TOTAL (AS N)",CharlesCityNDD!$G:$G,"MG/L",CharlesCityNDD!$H:$H,"FINAL EFFLUENT")</f>
        <v>0</v>
      </c>
      <c r="J22" s="147" t="e">
        <f>AVERAGEIFS(CharlesCityNDD!$F:$F,CharlesCityNDD!$E:$E,"&gt;=5/1/2018",CharlesCityNDD!$E:$E,"&lt;=4/30/2019",(CharlesCityNDD!$C:$C),("NITROGEN, TOTAL (AS N)"),(CharlesCityNDD!$H:$H),("FINAL EFFLUENT"),(CharlesCityNDD!$G:$G),("MG/L"))</f>
        <v>#DIV/0!</v>
      </c>
      <c r="K22" s="146">
        <f>COUNTIFS(CharlesCityNDD!$E:$E,"&gt;=5/1/2018",CharlesCityNDD!$E:$E,"&lt;=4/30/2019",CharlesCityNDD!$C:$C,"NITROGEN, TOTAL (AS N)",CharlesCityNDD!$G:$G,"LBS/DAY",CharlesCityNDD!$H:$H,"FINAL EFFLUENT")</f>
        <v>0</v>
      </c>
      <c r="L22" s="194" t="e">
        <f>AVERAGEIFS((CharlesCityNDD!$F:$F),CharlesCityNDD!$E:$E,"&gt;=5/1/2018",CharlesCityNDD!$E:$E,"&lt;=4/30/2019",(CharlesCityNDD!$C:$C),("NITROGEN, TOTAL (AS N)"),(CharlesCityNDD!$H:$H),("FINAL EFFLUENT"),(CharlesCityNDD!$G:$G),("LBS/DAY"))</f>
        <v>#DIV/0!</v>
      </c>
      <c r="M22" s="148">
        <f>SUMIFS(CharlesCityNDD!$F:$F,CharlesCityNDD!$E:$E,"&gt;=5/1/2018",CharlesCityNDD!$E:$E,"&lt;=4/30/2019",(CharlesCityNDD!$C:$C),("NITROGEN, TOTAL (AS N)"),(CharlesCityNDD!$H:$H),("FINAL EFFLUENT"),(CharlesCityNDD!$G:$G),("LBS/DAY"))</f>
        <v>0</v>
      </c>
      <c r="N22" s="149" t="e">
        <f>L22*365</f>
        <v>#DIV/0!</v>
      </c>
      <c r="O22" s="150" t="e">
        <f>((D22-J22))/D22</f>
        <v>#DIV/0!</v>
      </c>
      <c r="P22" s="151" t="e">
        <f>((F22-L22))/F22</f>
        <v>#DIV/0!</v>
      </c>
      <c r="Q22" s="152" t="e">
        <f>(F22-L22)*365</f>
        <v>#DIV/0!</v>
      </c>
    </row>
    <row r="23" spans="1:17" s="40" customFormat="1" ht="12.75" customHeight="1" x14ac:dyDescent="0.2">
      <c r="A23" s="110"/>
      <c r="B23" s="91"/>
      <c r="C23" s="92"/>
      <c r="D23" s="93"/>
      <c r="E23" s="92"/>
      <c r="F23" s="93"/>
      <c r="G23" s="94"/>
      <c r="H23" s="94"/>
      <c r="I23" s="92"/>
      <c r="J23" s="93"/>
      <c r="K23" s="92"/>
      <c r="L23" s="93"/>
      <c r="M23" s="94"/>
      <c r="N23" s="94"/>
      <c r="O23" s="95"/>
      <c r="P23" s="153" t="s">
        <v>65</v>
      </c>
      <c r="Q23" s="94">
        <f>_xlfn.STDEV.P(Q13,Q16,Q19)</f>
        <v>5562.9568986825207</v>
      </c>
    </row>
    <row r="24" spans="1:17" s="40" customFormat="1" ht="12.75" customHeight="1" x14ac:dyDescent="0.2">
      <c r="A24" s="110"/>
      <c r="B24" s="91"/>
      <c r="C24" s="92"/>
      <c r="D24" s="93"/>
      <c r="E24" s="92"/>
      <c r="F24" s="93"/>
      <c r="G24" s="94"/>
      <c r="H24" s="94"/>
      <c r="I24" s="92"/>
      <c r="J24" s="93"/>
      <c r="K24" s="92"/>
      <c r="L24" s="93"/>
      <c r="M24" s="94"/>
      <c r="N24" s="94"/>
      <c r="O24" s="95"/>
      <c r="P24" s="153" t="s">
        <v>66</v>
      </c>
      <c r="Q24" s="154">
        <f>(Q23/(AVERAGE(Q13,Q16,Q19)))</f>
        <v>0.18261105217552528</v>
      </c>
    </row>
    <row r="25" spans="1:17" s="40" customFormat="1" ht="12.75" customHeight="1" x14ac:dyDescent="0.2">
      <c r="A25" s="110"/>
      <c r="B25" s="91"/>
      <c r="C25" s="92"/>
      <c r="D25" s="93"/>
      <c r="E25" s="92"/>
      <c r="F25" s="93"/>
      <c r="G25" s="94"/>
      <c r="H25" s="94"/>
      <c r="I25" s="92"/>
      <c r="J25" s="93"/>
      <c r="K25" s="92"/>
      <c r="L25" s="93"/>
      <c r="M25" s="94"/>
      <c r="N25" s="94"/>
      <c r="O25" s="95"/>
      <c r="P25" s="153" t="s">
        <v>67</v>
      </c>
      <c r="Q25" s="94">
        <f>_xlfn.STDEV.P(Q12,Q15,Q18)</f>
        <v>2208.2940419870956</v>
      </c>
    </row>
    <row r="26" spans="1:17" s="40" customFormat="1" ht="12.75" customHeight="1" x14ac:dyDescent="0.2">
      <c r="A26" s="110"/>
      <c r="B26" s="91"/>
      <c r="C26" s="92"/>
      <c r="D26" s="93"/>
      <c r="E26" s="92"/>
      <c r="F26" s="93"/>
      <c r="G26" s="94"/>
      <c r="H26" s="94"/>
      <c r="I26" s="92"/>
      <c r="J26" s="93"/>
      <c r="K26" s="92"/>
      <c r="L26" s="93"/>
      <c r="M26" s="94"/>
      <c r="N26" s="94"/>
      <c r="O26" s="95"/>
      <c r="P26" s="153" t="s">
        <v>68</v>
      </c>
      <c r="Q26" s="154">
        <f>Q25/(AVERAGE(Q12,Q15,Q18))</f>
        <v>8.3391313189275229E-2</v>
      </c>
    </row>
    <row r="27" spans="1:17" s="40" customFormat="1" ht="12.75" customHeight="1" x14ac:dyDescent="0.2">
      <c r="A27" s="110"/>
      <c r="B27" s="91"/>
      <c r="C27" s="92"/>
      <c r="D27" s="93"/>
      <c r="E27" s="92"/>
      <c r="F27" s="93"/>
      <c r="G27" s="94"/>
      <c r="H27" s="94"/>
      <c r="I27" s="92"/>
      <c r="J27" s="93"/>
      <c r="K27" s="92"/>
      <c r="L27" s="93"/>
      <c r="M27" s="94"/>
      <c r="N27" s="94"/>
      <c r="O27" s="95"/>
      <c r="P27" s="153" t="s">
        <v>69</v>
      </c>
      <c r="Q27" s="155">
        <f>_xlfn.STDEV.P(Q12:Q19)</f>
        <v>4677.2035477553027</v>
      </c>
    </row>
    <row r="28" spans="1:17" s="40" customFormat="1" ht="12.75" customHeight="1" x14ac:dyDescent="0.2">
      <c r="A28" s="110"/>
      <c r="B28" s="91"/>
      <c r="C28" s="92"/>
      <c r="D28" s="93"/>
      <c r="E28" s="92"/>
      <c r="F28" s="93"/>
      <c r="G28" s="94"/>
      <c r="H28" s="94"/>
      <c r="I28" s="92"/>
      <c r="J28" s="93"/>
      <c r="K28" s="92"/>
      <c r="L28" s="93"/>
      <c r="M28" s="94"/>
      <c r="N28" s="94"/>
      <c r="O28" s="95"/>
      <c r="P28" s="153" t="s">
        <v>70</v>
      </c>
      <c r="Q28" s="95">
        <f>Q27/(AVERAGE(Q12:Q19))</f>
        <v>0.16427228961343399</v>
      </c>
    </row>
    <row r="29" spans="1:17" s="40" customFormat="1" ht="12.75" customHeight="1" x14ac:dyDescent="0.2">
      <c r="A29" s="110"/>
      <c r="B29" s="91"/>
      <c r="C29" s="92"/>
      <c r="D29" s="93"/>
      <c r="E29" s="92"/>
      <c r="F29" s="93"/>
      <c r="G29" s="94"/>
      <c r="H29" s="94"/>
      <c r="I29" s="92"/>
      <c r="J29" s="93"/>
      <c r="K29" s="92"/>
      <c r="L29" s="93"/>
      <c r="M29" s="94"/>
      <c r="N29" s="94"/>
      <c r="O29" s="95"/>
      <c r="P29" s="95"/>
      <c r="Q29" s="94"/>
    </row>
    <row r="30" spans="1:17" ht="12" thickBot="1" x14ac:dyDescent="0.25"/>
    <row r="31" spans="1:17" ht="11.25" customHeight="1" x14ac:dyDescent="0.2">
      <c r="A31" s="253" t="s">
        <v>38</v>
      </c>
      <c r="B31" s="239" t="s">
        <v>38</v>
      </c>
      <c r="C31" s="242" t="s">
        <v>39</v>
      </c>
      <c r="D31" s="243"/>
      <c r="E31" s="243"/>
      <c r="F31" s="243"/>
      <c r="G31" s="243"/>
      <c r="H31" s="243"/>
      <c r="I31" s="244" t="s">
        <v>48</v>
      </c>
      <c r="J31" s="244"/>
      <c r="K31" s="244"/>
      <c r="L31" s="244"/>
      <c r="M31" s="244"/>
      <c r="N31" s="244"/>
      <c r="O31" s="259" t="s">
        <v>40</v>
      </c>
      <c r="P31" s="260"/>
      <c r="Q31" s="263" t="s">
        <v>62</v>
      </c>
    </row>
    <row r="32" spans="1:17" ht="11.25" customHeight="1" x14ac:dyDescent="0.2">
      <c r="A32" s="254"/>
      <c r="B32" s="240"/>
      <c r="C32" s="256" t="s">
        <v>28</v>
      </c>
      <c r="D32" s="257"/>
      <c r="E32" s="256" t="s">
        <v>29</v>
      </c>
      <c r="F32" s="258"/>
      <c r="G32" s="258"/>
      <c r="H32" s="257"/>
      <c r="I32" s="256" t="s">
        <v>28</v>
      </c>
      <c r="J32" s="257"/>
      <c r="K32" s="256" t="s">
        <v>29</v>
      </c>
      <c r="L32" s="258"/>
      <c r="M32" s="258"/>
      <c r="N32" s="258"/>
      <c r="O32" s="261"/>
      <c r="P32" s="262"/>
      <c r="Q32" s="264"/>
    </row>
    <row r="33" spans="1:17" ht="26.25" customHeight="1" x14ac:dyDescent="0.2">
      <c r="A33" s="254"/>
      <c r="B33" s="241"/>
      <c r="C33" s="6" t="s">
        <v>30</v>
      </c>
      <c r="D33" s="7" t="s">
        <v>31</v>
      </c>
      <c r="E33" s="6" t="s">
        <v>30</v>
      </c>
      <c r="F33" s="176" t="s">
        <v>32</v>
      </c>
      <c r="G33" s="8" t="s">
        <v>33</v>
      </c>
      <c r="H33" s="9" t="s">
        <v>43</v>
      </c>
      <c r="I33" s="6" t="s">
        <v>30</v>
      </c>
      <c r="J33" s="7" t="s">
        <v>31</v>
      </c>
      <c r="K33" s="6" t="s">
        <v>30</v>
      </c>
      <c r="L33" s="176" t="s">
        <v>32</v>
      </c>
      <c r="M33" s="177" t="s">
        <v>34</v>
      </c>
      <c r="N33" s="9" t="s">
        <v>44</v>
      </c>
      <c r="O33" s="10" t="s">
        <v>35</v>
      </c>
      <c r="P33" s="165" t="s">
        <v>36</v>
      </c>
      <c r="Q33" s="30" t="s">
        <v>45</v>
      </c>
    </row>
    <row r="34" spans="1:17" s="18" customFormat="1" x14ac:dyDescent="0.2">
      <c r="A34" s="254"/>
      <c r="B34" s="69" t="s">
        <v>37</v>
      </c>
      <c r="C34" s="31">
        <f>COUNTIFS(CharlesCityNDD!C:C,"PHOSPHORUS, TOTAL (AS P)",CharlesCityNDD!G:G,"MG/L",CharlesCityNDD!H:H,"RAW WASTE")</f>
        <v>165</v>
      </c>
      <c r="D34" s="32">
        <f>AVERAGEIFS(CharlesCityNDD!F:F,(CharlesCityNDD!C:C),("PHOSPHORUS, TOTAL (AS P)"),(CharlesCityNDD!H:H),("RAW WASTE"),(CharlesCityNDD!G:G),("MG/L"))</f>
        <v>4.2365454545454542</v>
      </c>
      <c r="E34" s="33">
        <f>COUNTIFS(CharlesCityNDD!C:C,"PHOSPHORUS, TOTAL (AS P)",CharlesCityNDD!G:G,"LBS/DAY",CharlesCityNDD!H:H,"RAW WASTE")</f>
        <v>165</v>
      </c>
      <c r="F34" s="178">
        <f>AVERAGEIFS(CharlesCityNDD!F:F,(CharlesCityNDD!C:C),("PHOSPHORUS, TOTAL (AS P)"),(CharlesCityNDD!H:H),("RAW WASTE"),(CharlesCityNDD!G:G),("LBS/DAY"))</f>
        <v>52.679932478181811</v>
      </c>
      <c r="G34" s="34">
        <f>(SUMIFS(CharlesCityNDD!F:F,(CharlesCityNDD!C:C),("PHOSPHORUS, TOTAL (AS P)"),(CharlesCityNDD!H:H),("RAW WASTE"),(CharlesCityNDD!G:G),("LBS/DAY")))</f>
        <v>8692.1888588999991</v>
      </c>
      <c r="H34" s="35">
        <f>F34*365</f>
        <v>19228.175354536361</v>
      </c>
      <c r="I34" s="33">
        <f>COUNTIFS(CharlesCityNDD!C:C,"PHOSPHORUS, TOTAL (AS P)",CharlesCityNDD!G:G,"MG/L",CharlesCityNDD!H:H,"FINAL EFFLUENT")</f>
        <v>165</v>
      </c>
      <c r="J34" s="32">
        <f>(AVERAGEIFS(CharlesCityNDD!F:F,(CharlesCityNDD!C:C),("PHOSPHORUS, TOTAL (AS P)"),(CharlesCityNDD!H:H),("FINAL EFFLUENT"),(CharlesCityNDD!G:G),("MG/L")))</f>
        <v>2.7281818181818163</v>
      </c>
      <c r="K34" s="33">
        <f>COUNTIFS(CharlesCityNDD!C:C,"PHOSPHORUS, TOTAL (AS P)",CharlesCityNDD!G:G,"LBS/DAY",CharlesCityNDD!H:H,"FINAL EFFLUENT")</f>
        <v>165</v>
      </c>
      <c r="L34" s="178">
        <f>AVERAGEIFS(CharlesCityNDD!F:F,(CharlesCityNDD!C:C),("PHOSPHORUS, TOTAL (AS P)"),(CharlesCityNDD!H:H),("FINAL EFFLUENT"),(CharlesCityNDD!G:G),("LBS/DAY"))</f>
        <v>33.685408597575758</v>
      </c>
      <c r="M34" s="34">
        <f>SUMIFS(CharlesCityNDD!F:F,(CharlesCityNDD!C:C),("PHOSPHORUS, TOTAL (AS P)"),(CharlesCityNDD!H:H),("FINAL EFFLUENT"),(CharlesCityNDD!G:G),("LBS/DAY"))</f>
        <v>5558.0924186000002</v>
      </c>
      <c r="N34" s="35">
        <f>L34*365</f>
        <v>12295.174138115151</v>
      </c>
      <c r="O34" s="36">
        <f>((D34-J34))/D34</f>
        <v>0.35603622162139004</v>
      </c>
      <c r="P34" s="37">
        <f>((F34-L34))/F34</f>
        <v>0.36056469678416769</v>
      </c>
      <c r="Q34" s="38">
        <f>(F34-L34)*365</f>
        <v>6933.0012164212094</v>
      </c>
    </row>
    <row r="35" spans="1:17" s="18" customFormat="1" ht="5.25" customHeight="1" x14ac:dyDescent="0.2">
      <c r="A35" s="254"/>
      <c r="B35" s="69"/>
      <c r="C35" s="11"/>
      <c r="D35" s="12"/>
      <c r="E35" s="13"/>
      <c r="F35" s="179"/>
      <c r="G35" s="14"/>
      <c r="H35" s="15"/>
      <c r="I35" s="13"/>
      <c r="J35" s="12"/>
      <c r="K35" s="13"/>
      <c r="L35" s="179"/>
      <c r="M35" s="179"/>
      <c r="N35" s="15"/>
      <c r="O35" s="16"/>
      <c r="P35" s="17"/>
      <c r="Q35" s="39"/>
    </row>
    <row r="36" spans="1:17" s="40" customFormat="1" x14ac:dyDescent="0.2">
      <c r="A36" s="254"/>
      <c r="B36" s="70" t="s">
        <v>49</v>
      </c>
      <c r="C36" s="71">
        <f>COUNTIFS(CharlesCityNDD!$E:$E,"&gt;=5/1/2014",CharlesCityNDD!$E:$E,"&lt;=4/30/2015",CharlesCityNDD!$C:$C,"PHOSPHORUS, TOTAL (AS P)",CharlesCityNDD!$G:$G,"MG/L",CharlesCityNDD!$H:$H,"RAW WASTE")</f>
        <v>25</v>
      </c>
      <c r="D36" s="72">
        <f>AVERAGEIFS(CharlesCityNDD!$F:$F,CharlesCityNDD!$E:$E,"&gt;=5/1/2014",CharlesCityNDD!$E:$E,"&lt;=4/30/2015",(CharlesCityNDD!$C:$C),("PHOSPHORUS, TOTAL (AS P)"),(CharlesCityNDD!$H:$H),("RAW WASTE"),(CharlesCityNDD!$G:$G),("MG/L"))</f>
        <v>5.8251999999999997</v>
      </c>
      <c r="E36" s="73">
        <f>COUNTIFS(CharlesCityNDD!$E:$E,"&gt;=5/1/2014",CharlesCityNDD!$E:$E,"&lt;=4/30/2015",CharlesCityNDD!$C:$C,"PHOSPHORUS, TOTAL (AS P)",CharlesCityNDD!$G:$G,"LBS/DAY",CharlesCityNDD!$H:$H,"RAW WASTE")</f>
        <v>25</v>
      </c>
      <c r="F36" s="180">
        <f>AVERAGEIFS(CharlesCityNDD!$F:$F,CharlesCityNDD!$E:$E,"&gt;=5/1/2014",CharlesCityNDD!$E:$E,"&lt;=4/30/2015",(CharlesCityNDD!$C:$C),("PHOSPHORUS, TOTAL (AS P)"),(CharlesCityNDD!$H:$H),("RAW WASTE"),(CharlesCityNDD!$G:$G),("LBS/DAY"))</f>
        <v>49.521151919999994</v>
      </c>
      <c r="G36" s="74">
        <f>SUMIFS(CharlesCityNDD!$F:$F,CharlesCityNDD!$E:$E,"&gt;=5/1/2014",CharlesCityNDD!$E:$E,"&lt;=4/30/2015",(CharlesCityNDD!$C:$C),("PHOSPHORUS, TOTAL (AS P)"),(CharlesCityNDD!$H:$H),("RAW WASTE"),(CharlesCityNDD!$G:$G),("LBS/DAY"))</f>
        <v>1238.0287979999998</v>
      </c>
      <c r="H36" s="75">
        <f>F36*365</f>
        <v>18075.2204508</v>
      </c>
      <c r="I36" s="73">
        <f>COUNTIFS(CharlesCityNDD!$E:$E,"&gt;=5/1/2014",CharlesCityNDD!$E:$E,"&lt;=4/30/2015",CharlesCityNDD!$C:$C,"PHOSPHORUS, TOTAL (AS P)",CharlesCityNDD!$G:$G,"MG/L",CharlesCityNDD!$H:$H,"FINAL EFFLUENT")</f>
        <v>25</v>
      </c>
      <c r="J36" s="72">
        <f>AVERAGEIFS(CharlesCityNDD!$F:$F,CharlesCityNDD!$E:$E,"&gt;=5/1/2014",CharlesCityNDD!$E:$E,"&lt;=4/30/2015",(CharlesCityNDD!$C:$C),("PHOSPHORUS, TOTAL (AS P)"),(CharlesCityNDD!$H:$H),("FINAL EFFLUENT"),(CharlesCityNDD!$G:$G),("MG/L"))</f>
        <v>3.5076000000000001</v>
      </c>
      <c r="K36" s="73">
        <f>COUNTIFS(CharlesCityNDD!$E:$E,"&gt;=5/1/2014",CharlesCityNDD!$E:$E,"&lt;=4/30/2015",CharlesCityNDD!$C:$C,"PHOSPHORUS, TOTAL (AS P)",CharlesCityNDD!$G:$G,"LBS/DAY",CharlesCityNDD!$H:$H,"FINAL EFFLUENT")</f>
        <v>25</v>
      </c>
      <c r="L36" s="180">
        <f>AVERAGEIFS((CharlesCityNDD!$F:$F),CharlesCityNDD!$E:$E,"&gt;=5/1/2014",CharlesCityNDD!$E:$E,"&lt;=4/30/2015",(CharlesCityNDD!$C:$C),("PHOSPHORUS, TOTAL (AS P)"),(CharlesCityNDD!$H:$H),("FINAL EFFLUENT"),(CharlesCityNDD!$G:$G),("LBS/DAY"))</f>
        <v>29.760519383999995</v>
      </c>
      <c r="M36" s="74">
        <f>SUMIFS(CharlesCityNDD!$F:$F,CharlesCityNDD!$E:$E,"&gt;=5/1/2014",CharlesCityNDD!$E:$E,"&lt;=4/30/2015",(CharlesCityNDD!$C:$C),("PHOSPHORUS, TOTAL (AS P)"),(CharlesCityNDD!$H:$H),("FINAL EFFLUENT"),(CharlesCityNDD!$G:$G),("LBS/DAY"))</f>
        <v>744.01298459999987</v>
      </c>
      <c r="N36" s="75">
        <f>L36*365</f>
        <v>10862.589575159998</v>
      </c>
      <c r="O36" s="76">
        <f>((D36-J36))/D36</f>
        <v>0.3978575842889514</v>
      </c>
      <c r="P36" s="77">
        <f>((F36-L36))/F36</f>
        <v>0.39903418579444067</v>
      </c>
      <c r="Q36" s="78">
        <f>(F36-L36)*365</f>
        <v>7212.6308756399994</v>
      </c>
    </row>
    <row r="37" spans="1:17" s="18" customFormat="1" ht="6" customHeight="1" x14ac:dyDescent="0.2">
      <c r="A37" s="254"/>
      <c r="B37" s="69"/>
      <c r="C37" s="11"/>
      <c r="D37" s="12"/>
      <c r="E37" s="13"/>
      <c r="F37" s="179"/>
      <c r="G37" s="14"/>
      <c r="H37" s="15"/>
      <c r="I37" s="13"/>
      <c r="J37" s="12"/>
      <c r="K37" s="13"/>
      <c r="L37" s="179"/>
      <c r="M37" s="179"/>
      <c r="N37" s="15"/>
      <c r="O37" s="16"/>
      <c r="P37" s="17"/>
      <c r="Q37" s="39"/>
    </row>
    <row r="38" spans="1:17" s="50" customFormat="1" x14ac:dyDescent="0.2">
      <c r="A38" s="254"/>
      <c r="B38" s="79" t="s">
        <v>46</v>
      </c>
      <c r="C38" s="41">
        <f>COUNTIFS(CharlesCityNDD!$E:$E,"&gt;=1/1/2015",CharlesCityNDD!$E:$E,"&lt;=12/31/2015",CharlesCityNDD!$C:$C,"PHOSPHORUS, TOTAL (AS P)",CharlesCityNDD!$G:$G,"MG/L",CharlesCityNDD!$H:$H,"RAW WASTE")</f>
        <v>41</v>
      </c>
      <c r="D38" s="42">
        <f>AVERAGEIFS(CharlesCityNDD!$F:$F,CharlesCityNDD!$E:$E,"&gt;=1/1/2015",CharlesCityNDD!$E:$E,"&lt;=12/31/2015",(CharlesCityNDD!$C:$C),("PHOSPHORUS, TOTAL (AS P)"),(CharlesCityNDD!$H:$H),("RAW WASTE"),(CharlesCityNDD!$G:$G),("MG/L"))</f>
        <v>4.5319512195121963</v>
      </c>
      <c r="E38" s="41">
        <f>COUNTIFS(CharlesCityNDD!$E:$E,"&gt;=1/1/2015",CharlesCityNDD!$E:$E,"&lt;=12/31/2015",CharlesCityNDD!$C:$C,"PHOSPHORUS, TOTAL (AS P)",CharlesCityNDD!$G:$G,"LBS/DAY",CharlesCityNDD!$H:$H,"RAW WASTE")</f>
        <v>41</v>
      </c>
      <c r="F38" s="181">
        <f>AVERAGEIFS(CharlesCityNDD!$F:$F,CharlesCityNDD!$E:$E,"&gt;=1/1/2015",CharlesCityNDD!$E:$E,"&lt;=12/31/2015",(CharlesCityNDD!$C:$C),("PHOSPHORUS, TOTAL (AS P)"),(CharlesCityNDD!$H:$H),("RAW WASTE"),(CharlesCityNDD!$G:$G),("LBS/DAY"))</f>
        <v>41.342159070731711</v>
      </c>
      <c r="G38" s="43">
        <f>SUMIFS(CharlesCityNDD!$F:$F,CharlesCityNDD!$E:$E,"&gt;=1/1/2015",CharlesCityNDD!$E:$E,"&lt;=12/31/2015",(CharlesCityNDD!$C:$C),("PHOSPHORUS, TOTAL (AS P)"),(CharlesCityNDD!$H:$H),("RAW WASTE"),(CharlesCityNDD!$G:$G),("LBS/DAY"))</f>
        <v>1695.0285219000002</v>
      </c>
      <c r="H38" s="44">
        <f>F38*365</f>
        <v>15089.888060817075</v>
      </c>
      <c r="I38" s="41">
        <f>COUNTIFS(CharlesCityNDD!$E:$E,"&gt;=1/1/2015",CharlesCityNDD!$E:$E,"&lt;=12/31/2015",CharlesCityNDD!$C:$C,"PHOSPHORUS, TOTAL (AS P)",CharlesCityNDD!$G:$G,"MG/L",CharlesCityNDD!$H:$H,"FINAL EFFLUENT")</f>
        <v>41</v>
      </c>
      <c r="J38" s="45">
        <f>AVERAGEIFS(CharlesCityNDD!$F:$F,CharlesCityNDD!$E:$E,"&gt;=1/1/2015",CharlesCityNDD!$E:$E,"&lt;=12/31/2015",(CharlesCityNDD!$C:$C),("PHOSPHORUS, TOTAL (AS P)"),(CharlesCityNDD!$H:$H),("FINAL EFFLUENT"),(CharlesCityNDD!$G:$G),("MG/L"))</f>
        <v>2.7317073170731709</v>
      </c>
      <c r="K38" s="41">
        <f>COUNTIFS(CharlesCityNDD!$E:$E,"&gt;=1/1/2015",CharlesCityNDD!$E:$E,"&lt;=12/31/2015",CharlesCityNDD!$C:$C,"PHOSPHORUS, TOTAL (AS P)",CharlesCityNDD!$G:$G,"LBS/DAY",CharlesCityNDD!$H:$H,"FINAL EFFLUENT")</f>
        <v>41</v>
      </c>
      <c r="L38" s="182">
        <f>AVERAGEIFS((CharlesCityNDD!$F:$F),CharlesCityNDD!$E:$E,"&gt;=1/1/2015",CharlesCityNDD!$E:$E,"&lt;=12/31/2015",(CharlesCityNDD!$C:$C),("PHOSPHORUS, TOTAL (AS P)"),(CharlesCityNDD!$H:$H),("FINAL EFFLUENT"),(CharlesCityNDD!$G:$G),("LBS/DAY"))</f>
        <v>25.180132043902443</v>
      </c>
      <c r="M38" s="43">
        <f>SUMIFS(CharlesCityNDD!$F:$F,CharlesCityNDD!$E:$E,"&gt;=1/1/2015",CharlesCityNDD!$E:$E,"&lt;=12/31/2015",(CharlesCityNDD!$C:$C),("PHOSPHORUS, TOTAL (AS P)"),(CharlesCityNDD!$H:$H),("FINAL EFFLUENT"),(CharlesCityNDD!$G:$G),("LBS/DAY"))</f>
        <v>1032.3854138000002</v>
      </c>
      <c r="N38" s="46">
        <f>L38*365</f>
        <v>9190.7481960243913</v>
      </c>
      <c r="O38" s="47">
        <f>((D38-J38))/D38</f>
        <v>0.39723373338356394</v>
      </c>
      <c r="P38" s="48">
        <f>((F38-L38))/F38</f>
        <v>0.39093330851874197</v>
      </c>
      <c r="Q38" s="49">
        <f>(F38-L38)*365</f>
        <v>5899.1398647926826</v>
      </c>
    </row>
    <row r="39" spans="1:17" s="40" customFormat="1" x14ac:dyDescent="0.2">
      <c r="A39" s="254"/>
      <c r="B39" s="80" t="s">
        <v>50</v>
      </c>
      <c r="C39" s="51">
        <f>COUNTIFS(CharlesCityNDD!$E:$E,"&gt;=5/1/2015",CharlesCityNDD!$E:$E,"&lt;=4/30/2016",CharlesCityNDD!$C:$C,"PHOSPHORUS, TOTAL (AS P)",CharlesCityNDD!$G:$G,"MG/L",CharlesCityNDD!$H:$H,"RAW WASTE")</f>
        <v>43</v>
      </c>
      <c r="D39" s="52">
        <f>AVERAGEIFS(CharlesCityNDD!$F:$F,CharlesCityNDD!$E:$E,"&gt;=5/1/2015",CharlesCityNDD!$E:$E,"&lt;=4/30/2016",(CharlesCityNDD!$C:$C),("PHOSPHORUS, TOTAL (AS P)"),(CharlesCityNDD!$H:$H),("RAW WASTE"),(CharlesCityNDD!$G:$G),("MG/L"))</f>
        <v>3.4627906976744183</v>
      </c>
      <c r="E39" s="51">
        <f>COUNTIFS(CharlesCityNDD!$E:$E,"&gt;=5/1/2015",CharlesCityNDD!$E:$E,"&lt;=4/30/2016",CharlesCityNDD!$C:$C,"PHOSPHORUS, TOTAL (AS P)",CharlesCityNDD!$G:$G,"LBS/DAY",CharlesCityNDD!$H:$H,"RAW WASTE")</f>
        <v>43</v>
      </c>
      <c r="F39" s="183">
        <f>AVERAGEIFS(CharlesCityNDD!$F:$F,CharlesCityNDD!$E:$E,"&gt;=5/1/2015",CharlesCityNDD!$E:$E,"&lt;=4/30/2016",(CharlesCityNDD!$C:$C),("PHOSPHORUS, TOTAL (AS P)"),(CharlesCityNDD!$H:$H),("RAW WASTE"),(CharlesCityNDD!$G:$G),("LBS/DAY"))</f>
        <v>35.838294997674424</v>
      </c>
      <c r="G39" s="53">
        <f>SUMIFS(CharlesCityNDD!$F:$F,CharlesCityNDD!$E:$E,"&gt;=5/1/2015",CharlesCityNDD!$E:$E,"&lt;=4/30/2016",(CharlesCityNDD!$C:$C),("PHOSPHORUS, TOTAL (AS P)"),(CharlesCityNDD!$H:$H),("RAW WASTE"),(CharlesCityNDD!$G:$G),("LBS/DAY"))</f>
        <v>1541.0466849000002</v>
      </c>
      <c r="H39" s="54">
        <f>F39*365</f>
        <v>13080.977674151165</v>
      </c>
      <c r="I39" s="51">
        <f>COUNTIFS(CharlesCityNDD!$E:$E,"&gt;=5/1/2015",CharlesCityNDD!$E:$E,"&lt;=4/30/2016",CharlesCityNDD!$C:$C,"PHOSPHORUS, TOTAL (AS P)",CharlesCityNDD!$G:$G,"MG/L",CharlesCityNDD!$H:$H,"FINAL EFFLUENT")</f>
        <v>43</v>
      </c>
      <c r="J39" s="52">
        <f>AVERAGEIFS(CharlesCityNDD!$F:$F,CharlesCityNDD!$E:$E,"&gt;=5/1/2015",CharlesCityNDD!$E:$E,"&lt;=4/30/2016",(CharlesCityNDD!$C:$C),("PHOSPHORUS, TOTAL (AS P)"),(CharlesCityNDD!$H:$H),("FINAL EFFLUENT"),(CharlesCityNDD!$G:$G),("MG/L"))</f>
        <v>2.3732558139534885</v>
      </c>
      <c r="K39" s="51">
        <f>COUNTIFS(CharlesCityNDD!$E:$E,"&gt;=5/1/2015",CharlesCityNDD!$E:$E,"&lt;=4/30/2016",CharlesCityNDD!$C:$C,"PHOSPHORUS, TOTAL (AS P)",CharlesCityNDD!$G:$G,"LBS/DAY",CharlesCityNDD!$H:$H,"FINAL EFFLUENT")</f>
        <v>43</v>
      </c>
      <c r="L39" s="183">
        <f>AVERAGEIFS((CharlesCityNDD!$F:$F),CharlesCityNDD!$E:$E,"&gt;=5/1/2015",CharlesCityNDD!$E:$E,"&lt;=4/30/2016",(CharlesCityNDD!$C:$C),("PHOSPHORUS, TOTAL (AS P)"),(CharlesCityNDD!$H:$H),("FINAL EFFLUENT"),(CharlesCityNDD!$G:$G),("LBS/DAY"))</f>
        <v>23.640631860465113</v>
      </c>
      <c r="M39" s="53">
        <f>SUMIFS(CharlesCityNDD!$F:$F,CharlesCityNDD!$E:$E,"&gt;=5/1/2015",CharlesCityNDD!$E:$E,"&lt;=4/30/2016",(CharlesCityNDD!$C:$C),("PHOSPHORUS, TOTAL (AS P)"),(CharlesCityNDD!$H:$H),("FINAL EFFLUENT"),(CharlesCityNDD!$G:$G),("LBS/DAY"))</f>
        <v>1016.5471699999999</v>
      </c>
      <c r="N39" s="54">
        <f>L39*365</f>
        <v>8628.8306290697656</v>
      </c>
      <c r="O39" s="55">
        <f>((D39-J39))/D39</f>
        <v>0.31464069845533904</v>
      </c>
      <c r="P39" s="56">
        <f>((F39-L39))/F39</f>
        <v>0.34035277453910201</v>
      </c>
      <c r="Q39" s="57">
        <f>(F39-L39)*365</f>
        <v>4452.1470450813986</v>
      </c>
    </row>
    <row r="40" spans="1:17" s="67" customFormat="1" ht="6" customHeight="1" x14ac:dyDescent="0.2">
      <c r="A40" s="254"/>
      <c r="B40" s="81"/>
      <c r="C40" s="58"/>
      <c r="D40" s="59"/>
      <c r="E40" s="58"/>
      <c r="F40" s="184"/>
      <c r="G40" s="60"/>
      <c r="H40" s="61"/>
      <c r="I40" s="58"/>
      <c r="J40" s="62"/>
      <c r="K40" s="58"/>
      <c r="L40" s="185"/>
      <c r="M40" s="60"/>
      <c r="N40" s="63"/>
      <c r="O40" s="64"/>
      <c r="P40" s="65"/>
      <c r="Q40" s="66"/>
    </row>
    <row r="41" spans="1:17" s="67" customFormat="1" x14ac:dyDescent="0.2">
      <c r="A41" s="254"/>
      <c r="B41" s="82" t="s">
        <v>47</v>
      </c>
      <c r="C41" s="19">
        <f>COUNTIFS(CharlesCityNDD!$E:$E,"&gt;=1/1/2016",CharlesCityNDD!$E:$E,"&lt;=12/31/2016",CharlesCityNDD!$C:$C,"PHOSPHORUS, TOTAL (AS P)",CharlesCityNDD!$G:$G,"MG/L",CharlesCityNDD!$H:$H,"RAW WASTE")</f>
        <v>43</v>
      </c>
      <c r="D41" s="20">
        <f>AVERAGEIFS(CharlesCityNDD!$F:$F,CharlesCityNDD!$E:$E,"&gt;=1/1/2016",CharlesCityNDD!$E:$E,"&lt;=12/31/2016",(CharlesCityNDD!$C:$C),("PHOSPHORUS, TOTAL (AS P)"),(CharlesCityNDD!$H:$H),("RAW WASTE"),(CharlesCityNDD!$G:$G),("MG/L"))</f>
        <v>2.7706976744186051</v>
      </c>
      <c r="E41" s="19">
        <f>COUNTIFS(CharlesCityNDD!$E:$E,"&gt;=1/1/2016",CharlesCityNDD!$E:$E,"&lt;=12/31/2016",CharlesCityNDD!$C:$C,"PHOSPHORUS, TOTAL (AS P)",CharlesCityNDD!$G:$G,"LBS/DAY",CharlesCityNDD!$H:$H,"RAW WASTE")</f>
        <v>43</v>
      </c>
      <c r="F41" s="186">
        <f>AVERAGEIFS(CharlesCityNDD!$F:$F,CharlesCityNDD!$E:$E,"&gt;=1/1/2016",CharlesCityNDD!$E:$E,"&lt;=12/31/2016",(CharlesCityNDD!$C:$C),("PHOSPHORUS, TOTAL (AS P)"),(CharlesCityNDD!$H:$H),("RAW WASTE"),(CharlesCityNDD!$G:$G),("LBS/DAY"))</f>
        <v>41.267016293023261</v>
      </c>
      <c r="G41" s="21">
        <f>SUMIFS(CharlesCityNDD!$F:$F,CharlesCityNDD!$E:$E,"&gt;=1/1/2016",CharlesCityNDD!$E:$E,"&lt;=12/31/2016",(CharlesCityNDD!$C:$C),("PHOSPHORUS, TOTAL (AS P)"),(CharlesCityNDD!$H:$H),("RAW WASTE"),(CharlesCityNDD!$G:$G),("LBS/DAY"))</f>
        <v>1774.4817006000001</v>
      </c>
      <c r="H41" s="22">
        <f>F41*365</f>
        <v>15062.46094695349</v>
      </c>
      <c r="I41" s="19">
        <f>COUNTIFS(CharlesCityNDD!$E:$E,"&gt;=1/1/2016",CharlesCityNDD!$E:$E,"&lt;=12/31/2016",CharlesCityNDD!$C:$C,"PHOSPHORUS, TOTAL (AS P)",CharlesCityNDD!$G:$G,"MG/L",CharlesCityNDD!$H:$H,"FINAL EFFLUENT")</f>
        <v>43</v>
      </c>
      <c r="J41" s="23">
        <f>AVERAGEIFS(CharlesCityNDD!$F:$F,CharlesCityNDD!$E:$E,"&gt;=1/1/2016",CharlesCityNDD!$E:$E,"&lt;=12/31/2016",(CharlesCityNDD!$C:$C),("PHOSPHORUS, TOTAL (AS P)"),(CharlesCityNDD!$H:$H),("FINAL EFFLUENT"),(CharlesCityNDD!$G:$G),("MG/L"))</f>
        <v>1.8888372093023258</v>
      </c>
      <c r="K41" s="19">
        <f>COUNTIFS(CharlesCityNDD!$E:$E,"&gt;=1/1/2016",CharlesCityNDD!$E:$E,"&lt;=12/31/2016",CharlesCityNDD!$C:$C,"PHOSPHORUS, TOTAL (AS P)",CharlesCityNDD!$G:$G,"LBS/DAY",CharlesCityNDD!$H:$H,"FINAL EFFLUENT")</f>
        <v>43</v>
      </c>
      <c r="L41" s="187">
        <f>AVERAGEIFS((CharlesCityNDD!$F:$F),CharlesCityNDD!$E:$E,"&gt;=1/1/2016",CharlesCityNDD!$E:$E,"&lt;=12/31/2016",(CharlesCityNDD!$C:$C),("PHOSPHORUS, TOTAL (AS P)"),(CharlesCityNDD!$H:$H),("FINAL EFFLUENT"),(CharlesCityNDD!$G:$G),("LBS/DAY"))</f>
        <v>27.839160502325576</v>
      </c>
      <c r="M41" s="21">
        <f>SUMIFS(CharlesCityNDD!$F:$F,CharlesCityNDD!$E:$E,"&gt;=1/1/2016",CharlesCityNDD!$E:$E,"&lt;=12/31/2016",(CharlesCityNDD!$C:$C),("PHOSPHORUS, TOTAL (AS P)"),(CharlesCityNDD!$H:$H),("FINAL EFFLUENT"),(CharlesCityNDD!$G:$G),("LBS/DAY"))</f>
        <v>1197.0839015999998</v>
      </c>
      <c r="N41" s="24">
        <f>L41*365</f>
        <v>10161.293583348835</v>
      </c>
      <c r="O41" s="25">
        <f>((D41-J41))/D41</f>
        <v>0.31828101393318792</v>
      </c>
      <c r="P41" s="26">
        <f>((F41-L41))/F41</f>
        <v>0.3253895482859962</v>
      </c>
      <c r="Q41" s="68">
        <f>(F41-L41)*365</f>
        <v>4901.1673636046544</v>
      </c>
    </row>
    <row r="42" spans="1:17" s="40" customFormat="1" x14ac:dyDescent="0.2">
      <c r="A42" s="254"/>
      <c r="B42" s="83" t="s">
        <v>51</v>
      </c>
      <c r="C42" s="84">
        <f>COUNTIFS(CharlesCityNDD!$E:$E,"&gt;=5/1/2016",CharlesCityNDD!$E:$E,"&lt;=4/30/2017",CharlesCityNDD!$C:$C,"PHOSPHORUS, TOTAL (AS P)",CharlesCityNDD!$G:$G,"MG/L",CharlesCityNDD!$H:$H,"RAW WASTE")</f>
        <v>46</v>
      </c>
      <c r="D42" s="85">
        <f>AVERAGEIFS(CharlesCityNDD!$F:$F,CharlesCityNDD!$E:$E,"&gt;=5/1/2016",CharlesCityNDD!$E:$E,"&lt;=4/30/2017",(CharlesCityNDD!$C:$C),("PHOSPHORUS, TOTAL (AS P)"),(CharlesCityNDD!$H:$H),("RAW WASTE"),(CharlesCityNDD!$G:$G),("MG/L"))</f>
        <v>2.8334782608695654</v>
      </c>
      <c r="E42" s="84">
        <f>COUNTIFS(CharlesCityNDD!$E:$E,"&gt;=5/1/2016",CharlesCityNDD!$E:$E,"&lt;=4/30/2017",CharlesCityNDD!$C:$C,"PHOSPHORUS, TOTAL (AS P)",CharlesCityNDD!$G:$G,"LBS/DAY",CharlesCityNDD!$H:$H,"RAW WASTE")</f>
        <v>46</v>
      </c>
      <c r="F42" s="188">
        <f>AVERAGEIFS(CharlesCityNDD!$F:$F,CharlesCityNDD!$E:$E,"&gt;=5/1/2016",CharlesCityNDD!$E:$E,"&lt;=4/30/2017",(CharlesCityNDD!$C:$C),("PHOSPHORUS, TOTAL (AS P)"),(CharlesCityNDD!$H:$H),("RAW WASTE"),(CharlesCityNDD!$G:$G),("LBS/DAY"))</f>
        <v>49.078970921739128</v>
      </c>
      <c r="G42" s="86">
        <f>SUMIFS(CharlesCityNDD!$F:$F,CharlesCityNDD!$E:$E,"&gt;=5/1/2016",CharlesCityNDD!$E:$E,"&lt;=4/30/2017",(CharlesCityNDD!$C:$C),("PHOSPHORUS, TOTAL (AS P)"),(CharlesCityNDD!$H:$H),("RAW WASTE"),(CharlesCityNDD!$G:$G),("LBS/DAY"))</f>
        <v>2257.6326623999998</v>
      </c>
      <c r="H42" s="87">
        <f>F42*365</f>
        <v>17913.824386434782</v>
      </c>
      <c r="I42" s="84">
        <f>COUNTIFS(CharlesCityNDD!$E:$E,"&gt;=5/1/2016",CharlesCityNDD!$E:$E,"&lt;=4/30/2017",CharlesCityNDD!$C:$C,"PHOSPHORUS, TOTAL (AS P)",CharlesCityNDD!$G:$G,"MG/L",CharlesCityNDD!$H:$H,"FINAL EFFLUENT")</f>
        <v>46</v>
      </c>
      <c r="J42" s="85">
        <f>AVERAGEIFS(CharlesCityNDD!$F:$F,CharlesCityNDD!$E:$E,"&gt;=5/1/2016",CharlesCityNDD!$E:$E,"&lt;=4/30/2017",(CharlesCityNDD!$C:$C),("PHOSPHORUS, TOTAL (AS P)"),(CharlesCityNDD!$H:$H),("FINAL EFFLUENT"),(CharlesCityNDD!$G:$G),("MG/L"))</f>
        <v>1.8984782608695654</v>
      </c>
      <c r="K42" s="84">
        <f>COUNTIFS(CharlesCityNDD!$E:$E,"&gt;=5/1/2016",CharlesCityNDD!$E:$E,"&lt;=4/30/2017",CharlesCityNDD!$C:$C,"PHOSPHORUS, TOTAL (AS P)",CharlesCityNDD!$G:$G,"LBS/DAY",CharlesCityNDD!$H:$H,"FINAL EFFLUENT")</f>
        <v>46</v>
      </c>
      <c r="L42" s="188">
        <f>AVERAGEIFS((CharlesCityNDD!$F:$F),CharlesCityNDD!$E:$E,"&gt;=5/1/2016",CharlesCityNDD!$E:$E,"&lt;=4/30/2017",(CharlesCityNDD!$C:$C),("PHOSPHORUS, TOTAL (AS P)"),(CharlesCityNDD!$H:$H),("FINAL EFFLUENT"),(CharlesCityNDD!$G:$G),("LBS/DAY"))</f>
        <v>32.349570926086955</v>
      </c>
      <c r="M42" s="86">
        <f>SUMIFS(CharlesCityNDD!$F:$F,CharlesCityNDD!$E:$E,"&gt;=5/1/2016",CharlesCityNDD!$E:$E,"&lt;=4/30/2017",(CharlesCityNDD!$C:$C),("PHOSPHORUS, TOTAL (AS P)"),(CharlesCityNDD!$H:$H),("FINAL EFFLUENT"),(CharlesCityNDD!$G:$G),("LBS/DAY"))</f>
        <v>1488.0802626</v>
      </c>
      <c r="N42" s="87">
        <f>L42*365</f>
        <v>11807.593388021738</v>
      </c>
      <c r="O42" s="88">
        <f>((D42-J42))/D42</f>
        <v>0.32998312106797606</v>
      </c>
      <c r="P42" s="89">
        <f>((F42-L42))/F42</f>
        <v>0.34086696769434549</v>
      </c>
      <c r="Q42" s="90">
        <f>(F42-L42)*365</f>
        <v>6106.2309984130434</v>
      </c>
    </row>
    <row r="43" spans="1:17" ht="6" customHeight="1" x14ac:dyDescent="0.2">
      <c r="A43" s="254"/>
      <c r="Q43" s="108"/>
    </row>
    <row r="44" spans="1:17" s="107" customFormat="1" x14ac:dyDescent="0.2">
      <c r="A44" s="254"/>
      <c r="B44" s="97" t="s">
        <v>52</v>
      </c>
      <c r="C44" s="98">
        <f>COUNTIFS(CharlesCityNDD!$E:$E,"&gt;=1/1/2017",CharlesCityNDD!$E:$E,"&lt;=12/31/2017",CharlesCityNDD!$C:$C,"PHOSPHORUS, TOTAL (AS P)",CharlesCityNDD!$G:$G,"MG/L",CharlesCityNDD!$H:$H,"RAW WASTE")</f>
        <v>52</v>
      </c>
      <c r="D44" s="99">
        <f>AVERAGEIFS(CharlesCityNDD!$F:$F,CharlesCityNDD!$E:$E,"&gt;=1/1/2017",CharlesCityNDD!$E:$E,"&lt;=12/31/2017",(CharlesCityNDD!$C:$C),("PHOSPHORUS, TOTAL (AS P)"),(CharlesCityNDD!$H:$H),("RAW WASTE"),(CharlesCityNDD!$G:$G),("MG/L"))</f>
        <v>4.6267307692307691</v>
      </c>
      <c r="E44" s="98">
        <f>COUNTIFS(CharlesCityNDD!$E:$E,"&gt;=1/1/2017",CharlesCityNDD!$E:$E,"&lt;=12/31/2017",CharlesCityNDD!$C:$C,"PHOSPHORUS, TOTAL (AS P)",CharlesCityNDD!$G:$G,"LBS/DAY",CharlesCityNDD!$H:$H,"RAW WASTE")</f>
        <v>52</v>
      </c>
      <c r="F44" s="189">
        <f>AVERAGEIFS(CharlesCityNDD!$F:$F,CharlesCityNDD!$E:$E,"&gt;=1/1/2017",CharlesCityNDD!$E:$E,"&lt;=12/31/2017",(CharlesCityNDD!$C:$C),("PHOSPHORUS, TOTAL (AS P)"),(CharlesCityNDD!$H:$H),("RAW WASTE"),(CharlesCityNDD!$G:$G),("LBS/DAY"))</f>
        <v>68.840821903846162</v>
      </c>
      <c r="G44" s="100">
        <f>SUMIFS(CharlesCityNDD!$F:$F,CharlesCityNDD!$E:$E,"&gt;=1/1/2017",CharlesCityNDD!$E:$E,"&lt;=12/31/2017",(CharlesCityNDD!$C:$C),("PHOSPHORUS, TOTAL (AS P)"),(CharlesCityNDD!$H:$H),("RAW WASTE"),(CharlesCityNDD!$G:$G),("LBS/DAY"))</f>
        <v>3579.7227390000003</v>
      </c>
      <c r="H44" s="101">
        <f>F44*365</f>
        <v>25126.899994903848</v>
      </c>
      <c r="I44" s="98">
        <f>COUNTIFS(CharlesCityNDD!$E:$E,"&gt;=1/1/2017",CharlesCityNDD!$E:$E,"&lt;=12/31/2017",CharlesCityNDD!$C:$C,"PHOSPHORUS, TOTAL (AS P)",CharlesCityNDD!$G:$G,"MG/L",CharlesCityNDD!$H:$H,"FINAL EFFLUENT")</f>
        <v>52</v>
      </c>
      <c r="J44" s="102">
        <f>AVERAGEIFS(CharlesCityNDD!$F:$F,CharlesCityNDD!$E:$E,"&gt;=1/1/2017",CharlesCityNDD!$E:$E,"&lt;=12/31/2017",(CharlesCityNDD!$C:$C),("PHOSPHORUS, TOTAL (AS P)"),(CharlesCityNDD!$H:$H),("FINAL EFFLUENT"),(CharlesCityNDD!$G:$G),("MG/L"))</f>
        <v>2.904615384615385</v>
      </c>
      <c r="K44" s="98">
        <f>COUNTIFS(CharlesCityNDD!$E:$E,"&gt;=1/1/2017",CharlesCityNDD!$E:$E,"&lt;=12/31/2017",CharlesCityNDD!$C:$C,"PHOSPHORUS, TOTAL (AS P)",CharlesCityNDD!$G:$G,"LBS/DAY",CharlesCityNDD!$H:$H,"FINAL EFFLUENT")</f>
        <v>52</v>
      </c>
      <c r="L44" s="190">
        <f>AVERAGEIFS((CharlesCityNDD!$F:$F),CharlesCityNDD!$E:$E,"&gt;=1/1/2017",CharlesCityNDD!$E:$E,"&lt;=12/31/2017",(CharlesCityNDD!$C:$C),("PHOSPHORUS, TOTAL (AS P)"),(CharlesCityNDD!$H:$H),("FINAL EFFLUENT"),(CharlesCityNDD!$G:$G),("LBS/DAY"))</f>
        <v>42.826519084615398</v>
      </c>
      <c r="M44" s="100">
        <f>SUMIFS(CharlesCityNDD!$F:$F,CharlesCityNDD!$E:$E,"&gt;=1/1/2017",CharlesCityNDD!$E:$E,"&lt;=12/31/2017",(CharlesCityNDD!$C:$C),("PHOSPHORUS, TOTAL (AS P)"),(CharlesCityNDD!$H:$H),("FINAL EFFLUENT"),(CharlesCityNDD!$G:$G),("LBS/DAY"))</f>
        <v>2226.9789924000006</v>
      </c>
      <c r="N44" s="103">
        <f>L44*365</f>
        <v>15631.679465884621</v>
      </c>
      <c r="O44" s="104">
        <f>((D44-J44))/D44</f>
        <v>0.37220998378984982</v>
      </c>
      <c r="P44" s="105">
        <f>((F44-L44))/F44</f>
        <v>0.37789064830699437</v>
      </c>
      <c r="Q44" s="106">
        <f>(F44-L44)*365</f>
        <v>9495.2205290192287</v>
      </c>
    </row>
    <row r="45" spans="1:17" s="40" customFormat="1" x14ac:dyDescent="0.2">
      <c r="A45" s="254"/>
      <c r="B45" s="156" t="s">
        <v>53</v>
      </c>
      <c r="C45" s="111">
        <f>COUNTIFS(CharlesCityNDD!$E:$E,"&gt;=5/1/2017",CharlesCityNDD!$E:$E,"&lt;=4/30/2018",CharlesCityNDD!$C:$C,"PHOSPHORUS, TOTAL (AS P)",CharlesCityNDD!$G:$G,"MG/L",CharlesCityNDD!$H:$H,"RAW WASTE")</f>
        <v>51</v>
      </c>
      <c r="D45" s="112">
        <f>AVERAGEIFS(CharlesCityNDD!$F:$F,CharlesCityNDD!$E:$E,"&gt;=5/1/2017",CharlesCityNDD!$E:$E,"&lt;=4/30/2018",(CharlesCityNDD!$C:$C),("PHOSPHORUS, TOTAL (AS P)"),(CharlesCityNDD!$H:$H),("RAW WASTE"),(CharlesCityNDD!$G:$G),("MG/L"))</f>
        <v>5.3756862745098042</v>
      </c>
      <c r="E45" s="111">
        <f>COUNTIFS(CharlesCityNDD!$E:$E,"&gt;=5/1/2017",CharlesCityNDD!$E:$E,"&lt;=4/30/2018",CharlesCityNDD!$C:$C,"PHOSPHORUS, TOTAL (AS P)",CharlesCityNDD!$G:$G,"LBS/DAY",CharlesCityNDD!$H:$H,"RAW WASTE")</f>
        <v>51</v>
      </c>
      <c r="F45" s="191">
        <f>AVERAGEIFS(CharlesCityNDD!$F:$F,CharlesCityNDD!$E:$E,"&gt;=5/1/2017",CharlesCityNDD!$E:$E,"&lt;=4/30/2018",(CharlesCityNDD!$C:$C),("PHOSPHORUS, TOTAL (AS P)"),(CharlesCityNDD!$H:$H),("RAW WASTE"),(CharlesCityNDD!$G:$G),("LBS/DAY"))</f>
        <v>71.676092423529425</v>
      </c>
      <c r="G45" s="113">
        <f>SUMIFS(CharlesCityNDD!$F:$F,CharlesCityNDD!$E:$E,"&gt;=5/1/2017",CharlesCityNDD!$E:$E,"&lt;=4/30/2018",(CharlesCityNDD!$C:$C),("PHOSPHORUS, TOTAL (AS P)"),(CharlesCityNDD!$H:$H),("RAW WASTE"),(CharlesCityNDD!$G:$G),("LBS/DAY"))</f>
        <v>3655.4807136000004</v>
      </c>
      <c r="H45" s="114">
        <f>F45*365</f>
        <v>26161.773734588241</v>
      </c>
      <c r="I45" s="111">
        <f>COUNTIFS(CharlesCityNDD!$E:$E,"&gt;=5/1/2017",CharlesCityNDD!$E:$E,"&lt;=4/30/2018",CharlesCityNDD!$C:$C,"PHOSPHORUS, TOTAL (AS P)",CharlesCityNDD!$G:$G,"MG/L",CharlesCityNDD!$H:$H,"FINAL EFFLUENT")</f>
        <v>51</v>
      </c>
      <c r="J45" s="112">
        <f>AVERAGEIFS(CharlesCityNDD!$F:$F,CharlesCityNDD!$E:$E,"&gt;=5/1/2017",CharlesCityNDD!$E:$E,"&lt;=4/30/2018",(CharlesCityNDD!$C:$C),("PHOSPHORUS, TOTAL (AS P)"),(CharlesCityNDD!$H:$H),("FINAL EFFLUENT"),(CharlesCityNDD!$G:$G),("MG/L"))</f>
        <v>3.3937254901960787</v>
      </c>
      <c r="K45" s="111">
        <f>COUNTIFS(CharlesCityNDD!$E:$E,"&gt;=5/1/2017",CharlesCityNDD!$E:$E,"&lt;=4/30/2018",CharlesCityNDD!$C:$C,"PHOSPHORUS, TOTAL (AS P)",CharlesCityNDD!$G:$G,"LBS/DAY",CharlesCityNDD!$H:$H,"FINAL EFFLUENT")</f>
        <v>51</v>
      </c>
      <c r="L45" s="191">
        <f>AVERAGEIFS((CharlesCityNDD!$F:$F),CharlesCityNDD!$E:$E,"&gt;=5/1/2017",CharlesCityNDD!$E:$E,"&lt;=4/30/2018",(CharlesCityNDD!$C:$C),("PHOSPHORUS, TOTAL (AS P)"),(CharlesCityNDD!$H:$H),("FINAL EFFLUENT"),(CharlesCityNDD!$G:$G),("LBS/DAY"))</f>
        <v>45.283372576470597</v>
      </c>
      <c r="M45" s="113">
        <f>SUMIFS(CharlesCityNDD!$F:$F,CharlesCityNDD!$E:$E,"&gt;=5/1/2017",CharlesCityNDD!$E:$E,"&lt;=4/30/2018",(CharlesCityNDD!$C:$C),("PHOSPHORUS, TOTAL (AS P)"),(CharlesCityNDD!$H:$H),("FINAL EFFLUENT"),(CharlesCityNDD!$G:$G),("LBS/DAY"))</f>
        <v>2309.4520014000004</v>
      </c>
      <c r="N45" s="114">
        <f>L45*365</f>
        <v>16528.430990411769</v>
      </c>
      <c r="O45" s="115">
        <f>((D45-J45))/D45</f>
        <v>0.36868981616574259</v>
      </c>
      <c r="P45" s="116">
        <f>((F45-L45))/F45</f>
        <v>0.36822208011990865</v>
      </c>
      <c r="Q45" s="117">
        <f>(F45-L45)*365</f>
        <v>9633.3427441764725</v>
      </c>
    </row>
    <row r="46" spans="1:17" s="40" customFormat="1" ht="5.25" customHeight="1" x14ac:dyDescent="0.2">
      <c r="A46" s="254"/>
      <c r="B46" s="91"/>
      <c r="C46" s="92"/>
      <c r="D46" s="93"/>
      <c r="E46" s="92"/>
      <c r="F46" s="93"/>
      <c r="G46" s="94"/>
      <c r="H46" s="94"/>
      <c r="I46" s="92"/>
      <c r="J46" s="93"/>
      <c r="K46" s="92"/>
      <c r="L46" s="93"/>
      <c r="M46" s="94"/>
      <c r="N46" s="94"/>
      <c r="O46" s="95"/>
      <c r="P46" s="95"/>
      <c r="Q46" s="96"/>
    </row>
    <row r="47" spans="1:17" s="144" customFormat="1" x14ac:dyDescent="0.2">
      <c r="A47" s="254"/>
      <c r="B47" s="134" t="s">
        <v>63</v>
      </c>
      <c r="C47" s="135">
        <f>COUNTIFS(CharlesCityNDD!$E:$E,"&gt;=1/1/2018",CharlesCityNDD!$E:$E,"&lt;=12/31/2018",CharlesCityNDD!$C:$C,"PHOSPHORUS, TOTAL (AS P)",CharlesCityNDD!$G:$G,"MG/L",CharlesCityNDD!$H:$H,"RAW WASTE")</f>
        <v>16</v>
      </c>
      <c r="D47" s="136">
        <f>AVERAGEIFS(CharlesCityNDD!$F:$F,CharlesCityNDD!$E:$E,"&gt;=1/1/2018",CharlesCityNDD!$E:$E,"&lt;=12/31/2018",(CharlesCityNDD!$C:$C),("PHOSPHORUS, TOTAL (AS P)"),(CharlesCityNDD!$H:$H),("RAW WASTE"),(CharlesCityNDD!$G:$G),("MG/L"))</f>
        <v>5.9256250000000001</v>
      </c>
      <c r="E47" s="135">
        <f>COUNTIFS(CharlesCityNDD!$E:$E,"&gt;=1/1/2018",CharlesCityNDD!$E:$E,"&lt;=12/31/2018",CharlesCityNDD!$C:$C,"PHOSPHORUS, TOTAL (AS P)",CharlesCityNDD!$G:$G,"LBS/DAY",CharlesCityNDD!$H:$H,"RAW WASTE")</f>
        <v>16</v>
      </c>
      <c r="F47" s="192">
        <f>AVERAGEIFS(CharlesCityNDD!$F:$F,CharlesCityNDD!$E:$E,"&gt;=1/1/2018",CharlesCityNDD!$E:$E,"&lt;=12/31/2018",(CharlesCityNDD!$C:$C),("PHOSPHORUS, TOTAL (AS P)"),(CharlesCityNDD!$H:$H),("RAW WASTE"),(CharlesCityNDD!$G:$G),("LBS/DAY"))</f>
        <v>72.356484750000007</v>
      </c>
      <c r="G47" s="137">
        <f>SUMIFS(CharlesCityNDD!$F:$F,CharlesCityNDD!$E:$E,"&gt;=1/1/2018",CharlesCityNDD!$E:$E,"&lt;=12/31/2018",(CharlesCityNDD!$C:$C),("PHOSPHORUS, TOTAL (AS P)"),(CharlesCityNDD!$H:$H),("RAW WASTE"),(CharlesCityNDD!$G:$G),("LBS/DAY"))</f>
        <v>1157.7037560000001</v>
      </c>
      <c r="H47" s="138">
        <f>F47*365</f>
        <v>26410.116933750003</v>
      </c>
      <c r="I47" s="135">
        <f>COUNTIFS(CharlesCityNDD!$E:$E,"&gt;=1/1/2018",CharlesCityNDD!$E:$E,"&lt;=12/31/2018",CharlesCityNDD!$C:$C,"PHOSPHORUS, TOTAL (AS P)",CharlesCityNDD!$G:$G,"MG/L",CharlesCityNDD!$H:$H,"FINAL EFFLUENT")</f>
        <v>16</v>
      </c>
      <c r="J47" s="139">
        <f>AVERAGEIFS(CharlesCityNDD!$F:$F,CharlesCityNDD!$E:$E,"&gt;=1/1/2018",CharlesCityNDD!$E:$E,"&lt;=12/31/2018",(CharlesCityNDD!$C:$C),("PHOSPHORUS, TOTAL (AS P)"),(CharlesCityNDD!$H:$H),("FINAL EFFLUENT"),(CharlesCityNDD!$G:$G),("MG/L"))</f>
        <v>3.6306250000000002</v>
      </c>
      <c r="K47" s="135">
        <f>COUNTIFS(CharlesCityNDD!$E:$E,"&gt;=1/1/2018",CharlesCityNDD!$E:$E,"&lt;=12/31/2018",CharlesCityNDD!$C:$C,"PHOSPHORUS, TOTAL (AS P)",CharlesCityNDD!$G:$G,"LBS/DAY",CharlesCityNDD!$H:$H,"FINAL EFFLUENT")</f>
        <v>16</v>
      </c>
      <c r="L47" s="193">
        <f>AVERAGEIFS((CharlesCityNDD!$F:$F),CharlesCityNDD!$E:$E,"&gt;=1/1/2018",CharlesCityNDD!$E:$E,"&lt;=12/31/2018",(CharlesCityNDD!$C:$C),("PHOSPHORUS, TOTAL (AS P)"),(CharlesCityNDD!$H:$H),("FINAL EFFLUENT"),(CharlesCityNDD!$G:$G),("LBS/DAY"))</f>
        <v>44.176307587500006</v>
      </c>
      <c r="M47" s="137">
        <f>SUMIFS(CharlesCityNDD!$F:$F,CharlesCityNDD!$E:$E,"&gt;=1/1/2018",CharlesCityNDD!$E:$E,"&lt;=12/31/2018",(CharlesCityNDD!$C:$C),("PHOSPHORUS, TOTAL (AS P)"),(CharlesCityNDD!$H:$H),("FINAL EFFLUENT"),(CharlesCityNDD!$G:$G),("LBS/DAY"))</f>
        <v>706.82092140000009</v>
      </c>
      <c r="N47" s="140">
        <f>L47*365</f>
        <v>16124.352269437502</v>
      </c>
      <c r="O47" s="141">
        <f>((D47-J47))/D47</f>
        <v>0.38730091762472313</v>
      </c>
      <c r="P47" s="142">
        <f>((F47-L47))/F47</f>
        <v>0.38946304895636874</v>
      </c>
      <c r="Q47" s="143">
        <f>(F47-L47)*365</f>
        <v>10285.764664312501</v>
      </c>
    </row>
    <row r="48" spans="1:17" s="40" customFormat="1" ht="12" thickBot="1" x14ac:dyDescent="0.25">
      <c r="A48" s="255"/>
      <c r="B48" s="145" t="s">
        <v>64</v>
      </c>
      <c r="C48" s="146">
        <f>COUNTIFS(CharlesCityNDD!$E:$E,"&gt;=5/1/2018",CharlesCityNDD!$E:$E,"&lt;=4/30/2019",CharlesCityNDD!$C:$C,"PHOSPHORUS, TOTAL (AS P)",CharlesCityNDD!$G:$G,"MG/L",CharlesCityNDD!$H:$H,"RAW WASTE")</f>
        <v>0</v>
      </c>
      <c r="D48" s="147" t="e">
        <f>AVERAGEIFS(CharlesCityNDD!$F:$F,CharlesCityNDD!$E:$E,"&gt;=5/1/2018",CharlesCityNDD!$E:$E,"&lt;=4/30/2019",(CharlesCityNDD!$C:$C),("PHOSPHORUS, TOTAL (AS P)"),(CharlesCityNDD!$H:$H),("RAW WASTE"),(CharlesCityNDD!$G:$G),("MG/L"))</f>
        <v>#DIV/0!</v>
      </c>
      <c r="E48" s="146">
        <f>COUNTIFS(CharlesCityNDD!$E:$E,"&gt;=5/1/2018",CharlesCityNDD!$E:$E,"&lt;=4/30/2019",CharlesCityNDD!$C:$C,"PHOSPHORUS, TOTAL (AS P)",CharlesCityNDD!$G:$G,"LBS/DAY",CharlesCityNDD!$H:$H,"RAW WASTE")</f>
        <v>0</v>
      </c>
      <c r="F48" s="194" t="e">
        <f>AVERAGEIFS(CharlesCityNDD!$F:$F,CharlesCityNDD!$E:$E,"&gt;=5/1/2018",CharlesCityNDD!$E:$E,"&lt;=4/30/2019",(CharlesCityNDD!$C:$C),("PHOSPHORUS, TOTAL (AS P)"),(CharlesCityNDD!$H:$H),("RAW WASTE"),(CharlesCityNDD!$G:$G),("LBS/DAY"))</f>
        <v>#DIV/0!</v>
      </c>
      <c r="G48" s="148">
        <f>SUMIFS(CharlesCityNDD!$F:$F,CharlesCityNDD!$E:$E,"&gt;=5/1/2018",CharlesCityNDD!$E:$E,"&lt;=4/30/2019",(CharlesCityNDD!$C:$C),("PHOSPHORUS, TOTAL (AS P)"),(CharlesCityNDD!$H:$H),("RAW WASTE"),(CharlesCityNDD!$G:$G),("LBS/DAY"))</f>
        <v>0</v>
      </c>
      <c r="H48" s="149" t="e">
        <f>F48*365</f>
        <v>#DIV/0!</v>
      </c>
      <c r="I48" s="146">
        <f>COUNTIFS(CharlesCityNDD!$E:$E,"&gt;=5/1/2018",CharlesCityNDD!$E:$E,"&lt;=4/30/2019",CharlesCityNDD!$C:$C,"PHOSPHORUS, TOTAL (AS P)",CharlesCityNDD!$G:$G,"MG/L",CharlesCityNDD!$H:$H,"FINAL EFFLUENT")</f>
        <v>0</v>
      </c>
      <c r="J48" s="147" t="e">
        <f>AVERAGEIFS(CharlesCityNDD!$F:$F,CharlesCityNDD!$E:$E,"&gt;=5/1/2018",CharlesCityNDD!$E:$E,"&lt;=4/30/2019",(CharlesCityNDD!$C:$C),("PHOSPHORUS, TOTAL (AS P)"),(CharlesCityNDD!$H:$H),("FINAL EFFLUENT"),(CharlesCityNDD!$G:$G),("MG/L"))</f>
        <v>#DIV/0!</v>
      </c>
      <c r="K48" s="146">
        <f>COUNTIFS(CharlesCityNDD!$E:$E,"&gt;=5/1/2018",CharlesCityNDD!$E:$E,"&lt;=4/30/2019",CharlesCityNDD!$C:$C,"PHOSPHORUS, TOTAL (AS P)",CharlesCityNDD!$G:$G,"LBS/DAY",CharlesCityNDD!$H:$H,"FINAL EFFLUENT")</f>
        <v>0</v>
      </c>
      <c r="L48" s="194" t="e">
        <f>AVERAGEIFS((CharlesCityNDD!$F:$F),CharlesCityNDD!$E:$E,"&gt;=5/1/2018",CharlesCityNDD!$E:$E,"&lt;=4/30/2019",(CharlesCityNDD!$C:$C),("PHOSPHORUS, TOTAL (AS P)"),(CharlesCityNDD!$H:$H),("FINAL EFFLUENT"),(CharlesCityNDD!$G:$G),("LBS/DAY"))</f>
        <v>#DIV/0!</v>
      </c>
      <c r="M48" s="148">
        <f>SUMIFS(CharlesCityNDD!$F:$F,CharlesCityNDD!$E:$E,"&gt;=5/1/2018",CharlesCityNDD!$E:$E,"&lt;=4/30/2019",(CharlesCityNDD!$C:$C),("PHOSPHORUS, TOTAL (AS P)"),(CharlesCityNDD!$H:$H),("FINAL EFFLUENT"),(CharlesCityNDD!$G:$G),("LBS/DAY"))</f>
        <v>0</v>
      </c>
      <c r="N48" s="149" t="e">
        <f>L48*365</f>
        <v>#DIV/0!</v>
      </c>
      <c r="O48" s="150" t="e">
        <f>((D48-J48))/D48</f>
        <v>#DIV/0!</v>
      </c>
      <c r="P48" s="151" t="e">
        <f>((F48-L48))/F48</f>
        <v>#DIV/0!</v>
      </c>
      <c r="Q48" s="152" t="e">
        <f>(F48-L48)*365</f>
        <v>#DIV/0!</v>
      </c>
    </row>
    <row r="49" spans="16:17" x14ac:dyDescent="0.2">
      <c r="P49" s="153" t="s">
        <v>65</v>
      </c>
      <c r="Q49" s="94">
        <f>_xlfn.STDEV.P(Q39,Q42,Q45)</f>
        <v>2160.7946034347033</v>
      </c>
    </row>
    <row r="50" spans="16:17" x14ac:dyDescent="0.2">
      <c r="P50" s="153" t="s">
        <v>66</v>
      </c>
      <c r="Q50" s="154">
        <f>(Q49/(AVERAGE(Q39,Q42,Q45)))</f>
        <v>0.3210416723998214</v>
      </c>
    </row>
    <row r="51" spans="16:17" x14ac:dyDescent="0.2">
      <c r="P51" s="153" t="s">
        <v>67</v>
      </c>
      <c r="Q51" s="94">
        <f>_xlfn.STDEV.P(Q38,Q41,Q44)</f>
        <v>1972.9580088848877</v>
      </c>
    </row>
    <row r="52" spans="16:17" x14ac:dyDescent="0.2">
      <c r="P52" s="153" t="s">
        <v>68</v>
      </c>
      <c r="Q52" s="154">
        <f>Q51/(AVERAGE(Q38,Q41,Q44))</f>
        <v>0.29163439834629268</v>
      </c>
    </row>
    <row r="53" spans="16:17" x14ac:dyDescent="0.2">
      <c r="P53" s="153" t="s">
        <v>69</v>
      </c>
      <c r="Q53" s="155">
        <f>_xlfn.STDEV.P(Q38:Q45)</f>
        <v>2069.0813521273949</v>
      </c>
    </row>
    <row r="54" spans="16:17" x14ac:dyDescent="0.2">
      <c r="P54" s="153" t="s">
        <v>70</v>
      </c>
      <c r="Q54" s="95">
        <f>Q53/(AVERAGE(Q38:Q45))</f>
        <v>0.30662711245836638</v>
      </c>
    </row>
  </sheetData>
  <mergeCells count="26"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5:A22"/>
    <mergeCell ref="B5:B7"/>
    <mergeCell ref="C5:H5"/>
    <mergeCell ref="I5:N5"/>
    <mergeCell ref="O5:P6"/>
    <mergeCell ref="C3:F3"/>
    <mergeCell ref="A1:B1"/>
    <mergeCell ref="C1:D1"/>
    <mergeCell ref="E1:F1"/>
    <mergeCell ref="C2:D2"/>
    <mergeCell ref="E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workbookViewId="0">
      <selection activeCell="A19" sqref="A19"/>
    </sheetView>
  </sheetViews>
  <sheetFormatPr defaultRowHeight="11.25" x14ac:dyDescent="0.2"/>
  <cols>
    <col min="1" max="1" width="8.28515625" style="120" customWidth="1"/>
    <col min="2" max="2" width="7.140625" style="120" customWidth="1"/>
    <col min="3" max="3" width="22.5703125" style="120" customWidth="1"/>
    <col min="4" max="4" width="16.5703125" style="120" customWidth="1"/>
    <col min="5" max="5" width="10" style="120" customWidth="1"/>
    <col min="6" max="6" width="7" style="120" customWidth="1"/>
    <col min="7" max="7" width="7.85546875" style="120" customWidth="1"/>
    <col min="8" max="8" width="14.7109375" style="120" customWidth="1"/>
    <col min="9" max="9" width="4.7109375" style="120" customWidth="1"/>
    <col min="10" max="10" width="13.7109375" style="120" customWidth="1"/>
    <col min="11" max="11" width="6.5703125" style="120" customWidth="1"/>
    <col min="12" max="12" width="42.85546875" style="120" customWidth="1"/>
    <col min="13" max="13" width="26" style="120" customWidth="1"/>
    <col min="14" max="16384" width="9.140625" style="120"/>
  </cols>
  <sheetData>
    <row r="1" spans="1:14" ht="21" x14ac:dyDescent="0.2">
      <c r="A1" s="118" t="s">
        <v>0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8" t="s">
        <v>6</v>
      </c>
      <c r="H1" s="118" t="s">
        <v>73</v>
      </c>
      <c r="I1" s="119" t="s">
        <v>7</v>
      </c>
      <c r="J1" s="119" t="s">
        <v>8</v>
      </c>
      <c r="K1" s="119" t="s">
        <v>9</v>
      </c>
      <c r="L1" s="118" t="s">
        <v>10</v>
      </c>
      <c r="M1" s="164" t="s">
        <v>71</v>
      </c>
      <c r="N1" s="164" t="s">
        <v>72</v>
      </c>
    </row>
    <row r="2" spans="1:14" x14ac:dyDescent="0.2">
      <c r="A2" s="121" t="s">
        <v>101</v>
      </c>
      <c r="B2" s="121" t="s">
        <v>102</v>
      </c>
      <c r="C2" s="121" t="s">
        <v>11</v>
      </c>
      <c r="D2" s="121" t="s">
        <v>12</v>
      </c>
      <c r="E2" s="122">
        <v>43214</v>
      </c>
      <c r="F2" s="123">
        <v>11.68</v>
      </c>
      <c r="G2" s="124" t="s">
        <v>13</v>
      </c>
      <c r="H2" s="121" t="s">
        <v>14</v>
      </c>
      <c r="I2" s="124">
        <v>1</v>
      </c>
      <c r="J2" s="124" t="s">
        <v>15</v>
      </c>
      <c r="K2" s="124" t="s">
        <v>103</v>
      </c>
      <c r="L2" s="121" t="s">
        <v>104</v>
      </c>
      <c r="M2" s="121" t="s">
        <v>14</v>
      </c>
    </row>
    <row r="3" spans="1:14" x14ac:dyDescent="0.2">
      <c r="A3" s="121" t="s">
        <v>101</v>
      </c>
      <c r="B3" s="121" t="s">
        <v>102</v>
      </c>
      <c r="C3" s="121" t="s">
        <v>11</v>
      </c>
      <c r="D3" s="121" t="s">
        <v>12</v>
      </c>
      <c r="E3" s="122">
        <v>43214</v>
      </c>
      <c r="F3" s="123">
        <v>402.50307839999999</v>
      </c>
      <c r="G3" s="124" t="s">
        <v>16</v>
      </c>
      <c r="H3" s="121" t="s">
        <v>14</v>
      </c>
      <c r="I3" s="124">
        <v>1</v>
      </c>
      <c r="J3" s="124" t="s">
        <v>15</v>
      </c>
      <c r="K3" s="124" t="s">
        <v>103</v>
      </c>
      <c r="L3" s="121" t="s">
        <v>104</v>
      </c>
      <c r="M3" s="121" t="s">
        <v>14</v>
      </c>
    </row>
    <row r="4" spans="1:14" x14ac:dyDescent="0.2">
      <c r="A4" s="121" t="s">
        <v>101</v>
      </c>
      <c r="B4" s="121" t="s">
        <v>102</v>
      </c>
      <c r="C4" s="121" t="s">
        <v>11</v>
      </c>
      <c r="D4" s="121" t="s">
        <v>12</v>
      </c>
      <c r="E4" s="122">
        <v>43214</v>
      </c>
      <c r="F4" s="123">
        <v>2.81</v>
      </c>
      <c r="G4" s="124" t="s">
        <v>13</v>
      </c>
      <c r="H4" s="121" t="s">
        <v>18</v>
      </c>
      <c r="I4" s="124">
        <v>1</v>
      </c>
      <c r="J4" s="124" t="s">
        <v>15</v>
      </c>
      <c r="K4" s="124" t="s">
        <v>103</v>
      </c>
      <c r="L4" s="121" t="s">
        <v>104</v>
      </c>
      <c r="M4" s="121" t="s">
        <v>17</v>
      </c>
    </row>
    <row r="5" spans="1:14" x14ac:dyDescent="0.2">
      <c r="A5" s="121" t="s">
        <v>101</v>
      </c>
      <c r="B5" s="121" t="s">
        <v>102</v>
      </c>
      <c r="C5" s="121" t="s">
        <v>11</v>
      </c>
      <c r="D5" s="121" t="s">
        <v>12</v>
      </c>
      <c r="E5" s="122">
        <v>43214</v>
      </c>
      <c r="F5" s="123">
        <v>103.818822</v>
      </c>
      <c r="G5" s="124" t="s">
        <v>16</v>
      </c>
      <c r="H5" s="121" t="s">
        <v>18</v>
      </c>
      <c r="I5" s="124">
        <v>1</v>
      </c>
      <c r="J5" s="124" t="s">
        <v>15</v>
      </c>
      <c r="K5" s="124" t="s">
        <v>103</v>
      </c>
      <c r="L5" s="121" t="s">
        <v>104</v>
      </c>
      <c r="M5" s="121" t="s">
        <v>17</v>
      </c>
    </row>
    <row r="6" spans="1:14" x14ac:dyDescent="0.2">
      <c r="A6" s="121" t="s">
        <v>101</v>
      </c>
      <c r="B6" s="121" t="s">
        <v>102</v>
      </c>
      <c r="C6" s="121" t="s">
        <v>11</v>
      </c>
      <c r="D6" s="121" t="s">
        <v>12</v>
      </c>
      <c r="E6" s="122">
        <v>43207</v>
      </c>
      <c r="F6" s="123">
        <v>13.92</v>
      </c>
      <c r="G6" s="124" t="s">
        <v>13</v>
      </c>
      <c r="H6" s="121" t="s">
        <v>14</v>
      </c>
      <c r="I6" s="124">
        <v>1</v>
      </c>
      <c r="J6" s="124" t="s">
        <v>15</v>
      </c>
      <c r="K6" s="124" t="s">
        <v>103</v>
      </c>
      <c r="L6" s="121" t="s">
        <v>104</v>
      </c>
      <c r="M6" s="121" t="s">
        <v>14</v>
      </c>
    </row>
    <row r="7" spans="1:14" x14ac:dyDescent="0.2">
      <c r="A7" s="121" t="s">
        <v>101</v>
      </c>
      <c r="B7" s="121" t="s">
        <v>102</v>
      </c>
      <c r="C7" s="121" t="s">
        <v>11</v>
      </c>
      <c r="D7" s="121" t="s">
        <v>12</v>
      </c>
      <c r="E7" s="122">
        <v>43207</v>
      </c>
      <c r="F7" s="123">
        <v>375.32802240000001</v>
      </c>
      <c r="G7" s="124" t="s">
        <v>16</v>
      </c>
      <c r="H7" s="121" t="s">
        <v>14</v>
      </c>
      <c r="I7" s="124">
        <v>1</v>
      </c>
      <c r="J7" s="124" t="s">
        <v>15</v>
      </c>
      <c r="K7" s="124" t="s">
        <v>103</v>
      </c>
      <c r="L7" s="121" t="s">
        <v>104</v>
      </c>
      <c r="M7" s="121" t="s">
        <v>14</v>
      </c>
    </row>
    <row r="8" spans="1:14" x14ac:dyDescent="0.2">
      <c r="A8" s="121" t="s">
        <v>101</v>
      </c>
      <c r="B8" s="121" t="s">
        <v>102</v>
      </c>
      <c r="C8" s="121" t="s">
        <v>11</v>
      </c>
      <c r="D8" s="121" t="s">
        <v>12</v>
      </c>
      <c r="E8" s="122">
        <v>43207</v>
      </c>
      <c r="F8" s="123">
        <v>3.32</v>
      </c>
      <c r="G8" s="124" t="s">
        <v>13</v>
      </c>
      <c r="H8" s="121" t="s">
        <v>18</v>
      </c>
      <c r="I8" s="124">
        <v>1</v>
      </c>
      <c r="J8" s="124" t="s">
        <v>15</v>
      </c>
      <c r="K8" s="124" t="s">
        <v>103</v>
      </c>
      <c r="L8" s="121" t="s">
        <v>104</v>
      </c>
      <c r="M8" s="121" t="s">
        <v>17</v>
      </c>
    </row>
    <row r="9" spans="1:14" x14ac:dyDescent="0.2">
      <c r="A9" s="121" t="s">
        <v>101</v>
      </c>
      <c r="B9" s="121" t="s">
        <v>102</v>
      </c>
      <c r="C9" s="121" t="s">
        <v>11</v>
      </c>
      <c r="D9" s="121" t="s">
        <v>12</v>
      </c>
      <c r="E9" s="122">
        <v>43207</v>
      </c>
      <c r="F9" s="123">
        <v>99.956568000000004</v>
      </c>
      <c r="G9" s="124" t="s">
        <v>16</v>
      </c>
      <c r="H9" s="121" t="s">
        <v>18</v>
      </c>
      <c r="I9" s="124">
        <v>1</v>
      </c>
      <c r="J9" s="124" t="s">
        <v>15</v>
      </c>
      <c r="K9" s="124" t="s">
        <v>103</v>
      </c>
      <c r="L9" s="121" t="s">
        <v>104</v>
      </c>
      <c r="M9" s="121" t="s">
        <v>17</v>
      </c>
    </row>
    <row r="10" spans="1:14" x14ac:dyDescent="0.2">
      <c r="A10" s="121" t="s">
        <v>101</v>
      </c>
      <c r="B10" s="121" t="s">
        <v>102</v>
      </c>
      <c r="C10" s="121" t="s">
        <v>11</v>
      </c>
      <c r="D10" s="121" t="s">
        <v>12</v>
      </c>
      <c r="E10" s="122">
        <v>43200</v>
      </c>
      <c r="F10" s="123">
        <v>30.9</v>
      </c>
      <c r="G10" s="124" t="s">
        <v>13</v>
      </c>
      <c r="H10" s="121" t="s">
        <v>14</v>
      </c>
      <c r="I10" s="124">
        <v>1</v>
      </c>
      <c r="J10" s="124" t="s">
        <v>15</v>
      </c>
      <c r="K10" s="124" t="s">
        <v>103</v>
      </c>
      <c r="L10" s="121" t="s">
        <v>104</v>
      </c>
      <c r="M10" s="121" t="s">
        <v>14</v>
      </c>
    </row>
    <row r="11" spans="1:14" x14ac:dyDescent="0.2">
      <c r="A11" s="121" t="s">
        <v>101</v>
      </c>
      <c r="B11" s="121" t="s">
        <v>102</v>
      </c>
      <c r="C11" s="121" t="s">
        <v>11</v>
      </c>
      <c r="D11" s="121" t="s">
        <v>12</v>
      </c>
      <c r="E11" s="122">
        <v>43200</v>
      </c>
      <c r="F11" s="123">
        <v>414.13354199999998</v>
      </c>
      <c r="G11" s="124" t="s">
        <v>16</v>
      </c>
      <c r="H11" s="121" t="s">
        <v>14</v>
      </c>
      <c r="I11" s="124">
        <v>1</v>
      </c>
      <c r="J11" s="124" t="s">
        <v>15</v>
      </c>
      <c r="K11" s="124" t="s">
        <v>103</v>
      </c>
      <c r="L11" s="121" t="s">
        <v>104</v>
      </c>
      <c r="M11" s="121" t="s">
        <v>14</v>
      </c>
    </row>
    <row r="12" spans="1:14" x14ac:dyDescent="0.2">
      <c r="A12" s="121" t="s">
        <v>101</v>
      </c>
      <c r="B12" s="121" t="s">
        <v>102</v>
      </c>
      <c r="C12" s="121" t="s">
        <v>11</v>
      </c>
      <c r="D12" s="121" t="s">
        <v>12</v>
      </c>
      <c r="E12" s="122">
        <v>43200</v>
      </c>
      <c r="F12" s="123">
        <v>3.77</v>
      </c>
      <c r="G12" s="124" t="s">
        <v>13</v>
      </c>
      <c r="H12" s="121" t="s">
        <v>18</v>
      </c>
      <c r="I12" s="124">
        <v>1</v>
      </c>
      <c r="J12" s="124" t="s">
        <v>15</v>
      </c>
      <c r="K12" s="124" t="s">
        <v>103</v>
      </c>
      <c r="L12" s="121" t="s">
        <v>104</v>
      </c>
      <c r="M12" s="121" t="s">
        <v>17</v>
      </c>
    </row>
    <row r="13" spans="1:14" x14ac:dyDescent="0.2">
      <c r="A13" s="121" t="s">
        <v>101</v>
      </c>
      <c r="B13" s="121" t="s">
        <v>102</v>
      </c>
      <c r="C13" s="121" t="s">
        <v>11</v>
      </c>
      <c r="D13" s="121" t="s">
        <v>12</v>
      </c>
      <c r="E13" s="122">
        <v>43200</v>
      </c>
      <c r="F13" s="123">
        <v>52.822223999999999</v>
      </c>
      <c r="G13" s="124" t="s">
        <v>16</v>
      </c>
      <c r="H13" s="121" t="s">
        <v>18</v>
      </c>
      <c r="I13" s="124">
        <v>1</v>
      </c>
      <c r="J13" s="124" t="s">
        <v>15</v>
      </c>
      <c r="K13" s="124" t="s">
        <v>103</v>
      </c>
      <c r="L13" s="121" t="s">
        <v>104</v>
      </c>
      <c r="M13" s="121" t="s">
        <v>17</v>
      </c>
    </row>
    <row r="14" spans="1:14" x14ac:dyDescent="0.2">
      <c r="A14" s="121" t="s">
        <v>101</v>
      </c>
      <c r="B14" s="121" t="s">
        <v>102</v>
      </c>
      <c r="C14" s="121" t="s">
        <v>11</v>
      </c>
      <c r="D14" s="121" t="s">
        <v>12</v>
      </c>
      <c r="E14" s="122">
        <v>43193</v>
      </c>
      <c r="F14" s="123">
        <v>27.38</v>
      </c>
      <c r="G14" s="124" t="s">
        <v>13</v>
      </c>
      <c r="H14" s="121" t="s">
        <v>14</v>
      </c>
      <c r="I14" s="124">
        <v>1</v>
      </c>
      <c r="J14" s="124" t="s">
        <v>15</v>
      </c>
      <c r="K14" s="124" t="s">
        <v>103</v>
      </c>
      <c r="L14" s="121" t="s">
        <v>104</v>
      </c>
      <c r="M14" s="121" t="s">
        <v>14</v>
      </c>
    </row>
    <row r="15" spans="1:14" x14ac:dyDescent="0.2">
      <c r="A15" s="121" t="s">
        <v>101</v>
      </c>
      <c r="B15" s="121" t="s">
        <v>102</v>
      </c>
      <c r="C15" s="121" t="s">
        <v>11</v>
      </c>
      <c r="D15" s="121" t="s">
        <v>12</v>
      </c>
      <c r="E15" s="122">
        <v>43193</v>
      </c>
      <c r="F15" s="123">
        <v>376.09113239999999</v>
      </c>
      <c r="G15" s="124" t="s">
        <v>16</v>
      </c>
      <c r="H15" s="121" t="s">
        <v>14</v>
      </c>
      <c r="I15" s="124">
        <v>1</v>
      </c>
      <c r="J15" s="124" t="s">
        <v>15</v>
      </c>
      <c r="K15" s="124" t="s">
        <v>103</v>
      </c>
      <c r="L15" s="121" t="s">
        <v>104</v>
      </c>
      <c r="M15" s="121" t="s">
        <v>14</v>
      </c>
    </row>
    <row r="16" spans="1:14" x14ac:dyDescent="0.2">
      <c r="A16" s="121" t="s">
        <v>101</v>
      </c>
      <c r="B16" s="121" t="s">
        <v>102</v>
      </c>
      <c r="C16" s="121" t="s">
        <v>11</v>
      </c>
      <c r="D16" s="121" t="s">
        <v>12</v>
      </c>
      <c r="E16" s="122">
        <v>43193</v>
      </c>
      <c r="F16" s="123">
        <v>3.13</v>
      </c>
      <c r="G16" s="124" t="s">
        <v>13</v>
      </c>
      <c r="H16" s="121" t="s">
        <v>18</v>
      </c>
      <c r="I16" s="124">
        <v>1</v>
      </c>
      <c r="J16" s="124" t="s">
        <v>15</v>
      </c>
      <c r="K16" s="124" t="s">
        <v>103</v>
      </c>
      <c r="L16" s="121" t="s">
        <v>104</v>
      </c>
      <c r="M16" s="121" t="s">
        <v>17</v>
      </c>
    </row>
    <row r="17" spans="1:13" x14ac:dyDescent="0.2">
      <c r="A17" s="121" t="s">
        <v>101</v>
      </c>
      <c r="B17" s="121" t="s">
        <v>102</v>
      </c>
      <c r="C17" s="121" t="s">
        <v>11</v>
      </c>
      <c r="D17" s="121" t="s">
        <v>12</v>
      </c>
      <c r="E17" s="122">
        <v>43193</v>
      </c>
      <c r="F17" s="123">
        <v>47.770685999999998</v>
      </c>
      <c r="G17" s="124" t="s">
        <v>16</v>
      </c>
      <c r="H17" s="121" t="s">
        <v>18</v>
      </c>
      <c r="I17" s="124">
        <v>1</v>
      </c>
      <c r="J17" s="124" t="s">
        <v>15</v>
      </c>
      <c r="K17" s="124" t="s">
        <v>103</v>
      </c>
      <c r="L17" s="121" t="s">
        <v>104</v>
      </c>
      <c r="M17" s="121" t="s">
        <v>17</v>
      </c>
    </row>
    <row r="18" spans="1:13" x14ac:dyDescent="0.2">
      <c r="A18" s="121" t="s">
        <v>101</v>
      </c>
      <c r="B18" s="121" t="s">
        <v>102</v>
      </c>
      <c r="C18" s="121" t="s">
        <v>11</v>
      </c>
      <c r="D18" s="121" t="s">
        <v>12</v>
      </c>
      <c r="E18" s="122">
        <v>43186</v>
      </c>
      <c r="F18" s="123">
        <v>23.62</v>
      </c>
      <c r="G18" s="124" t="s">
        <v>13</v>
      </c>
      <c r="H18" s="121" t="s">
        <v>14</v>
      </c>
      <c r="I18" s="124">
        <v>1</v>
      </c>
      <c r="J18" s="124" t="s">
        <v>15</v>
      </c>
      <c r="K18" s="124" t="s">
        <v>103</v>
      </c>
      <c r="L18" s="121" t="s">
        <v>104</v>
      </c>
      <c r="M18" s="121" t="s">
        <v>14</v>
      </c>
    </row>
    <row r="19" spans="1:13" x14ac:dyDescent="0.2">
      <c r="A19" s="121" t="s">
        <v>101</v>
      </c>
      <c r="B19" s="121" t="s">
        <v>102</v>
      </c>
      <c r="C19" s="121" t="s">
        <v>11</v>
      </c>
      <c r="D19" s="121" t="s">
        <v>12</v>
      </c>
      <c r="E19" s="122">
        <v>43186</v>
      </c>
      <c r="F19" s="123">
        <v>275.59012919999998</v>
      </c>
      <c r="G19" s="124" t="s">
        <v>16</v>
      </c>
      <c r="H19" s="121" t="s">
        <v>14</v>
      </c>
      <c r="I19" s="124">
        <v>1</v>
      </c>
      <c r="J19" s="124" t="s">
        <v>15</v>
      </c>
      <c r="K19" s="124" t="s">
        <v>103</v>
      </c>
      <c r="L19" s="121" t="s">
        <v>104</v>
      </c>
      <c r="M19" s="121" t="s">
        <v>14</v>
      </c>
    </row>
    <row r="20" spans="1:13" x14ac:dyDescent="0.2">
      <c r="A20" s="121" t="s">
        <v>101</v>
      </c>
      <c r="B20" s="121" t="s">
        <v>102</v>
      </c>
      <c r="C20" s="121" t="s">
        <v>11</v>
      </c>
      <c r="D20" s="121" t="s">
        <v>12</v>
      </c>
      <c r="E20" s="122">
        <v>43186</v>
      </c>
      <c r="F20" s="123">
        <v>3.88</v>
      </c>
      <c r="G20" s="124" t="s">
        <v>13</v>
      </c>
      <c r="H20" s="121" t="s">
        <v>18</v>
      </c>
      <c r="I20" s="124">
        <v>1</v>
      </c>
      <c r="J20" s="124" t="s">
        <v>15</v>
      </c>
      <c r="K20" s="124" t="s">
        <v>103</v>
      </c>
      <c r="L20" s="121" t="s">
        <v>104</v>
      </c>
      <c r="M20" s="121" t="s">
        <v>17</v>
      </c>
    </row>
    <row r="21" spans="1:13" x14ac:dyDescent="0.2">
      <c r="A21" s="121" t="s">
        <v>101</v>
      </c>
      <c r="B21" s="121" t="s">
        <v>102</v>
      </c>
      <c r="C21" s="121" t="s">
        <v>11</v>
      </c>
      <c r="D21" s="121" t="s">
        <v>12</v>
      </c>
      <c r="E21" s="122">
        <v>43186</v>
      </c>
      <c r="F21" s="123">
        <v>53.392679999999999</v>
      </c>
      <c r="G21" s="124" t="s">
        <v>16</v>
      </c>
      <c r="H21" s="121" t="s">
        <v>18</v>
      </c>
      <c r="I21" s="124">
        <v>1</v>
      </c>
      <c r="J21" s="124" t="s">
        <v>15</v>
      </c>
      <c r="K21" s="124" t="s">
        <v>103</v>
      </c>
      <c r="L21" s="121" t="s">
        <v>104</v>
      </c>
      <c r="M21" s="121" t="s">
        <v>17</v>
      </c>
    </row>
    <row r="22" spans="1:13" x14ac:dyDescent="0.2">
      <c r="A22" s="121" t="s">
        <v>101</v>
      </c>
      <c r="B22" s="121" t="s">
        <v>102</v>
      </c>
      <c r="C22" s="121" t="s">
        <v>11</v>
      </c>
      <c r="D22" s="121" t="s">
        <v>12</v>
      </c>
      <c r="E22" s="122">
        <v>43179</v>
      </c>
      <c r="F22" s="123">
        <v>27.75</v>
      </c>
      <c r="G22" s="124" t="s">
        <v>13</v>
      </c>
      <c r="H22" s="121" t="s">
        <v>14</v>
      </c>
      <c r="I22" s="124">
        <v>1</v>
      </c>
      <c r="J22" s="124" t="s">
        <v>15</v>
      </c>
      <c r="K22" s="124" t="s">
        <v>103</v>
      </c>
      <c r="L22" s="121" t="s">
        <v>104</v>
      </c>
      <c r="M22" s="121" t="s">
        <v>14</v>
      </c>
    </row>
    <row r="23" spans="1:13" x14ac:dyDescent="0.2">
      <c r="A23" s="121" t="s">
        <v>101</v>
      </c>
      <c r="B23" s="121" t="s">
        <v>102</v>
      </c>
      <c r="C23" s="121" t="s">
        <v>11</v>
      </c>
      <c r="D23" s="121" t="s">
        <v>12</v>
      </c>
      <c r="E23" s="122">
        <v>43179</v>
      </c>
      <c r="F23" s="123">
        <v>308.27141999999998</v>
      </c>
      <c r="G23" s="124" t="s">
        <v>16</v>
      </c>
      <c r="H23" s="121" t="s">
        <v>14</v>
      </c>
      <c r="I23" s="124">
        <v>1</v>
      </c>
      <c r="J23" s="124" t="s">
        <v>15</v>
      </c>
      <c r="K23" s="124" t="s">
        <v>103</v>
      </c>
      <c r="L23" s="121" t="s">
        <v>104</v>
      </c>
      <c r="M23" s="121" t="s">
        <v>14</v>
      </c>
    </row>
    <row r="24" spans="1:13" x14ac:dyDescent="0.2">
      <c r="A24" s="121" t="s">
        <v>101</v>
      </c>
      <c r="B24" s="121" t="s">
        <v>102</v>
      </c>
      <c r="C24" s="121" t="s">
        <v>11</v>
      </c>
      <c r="D24" s="121" t="s">
        <v>12</v>
      </c>
      <c r="E24" s="122">
        <v>43179</v>
      </c>
      <c r="F24" s="123">
        <v>5.15</v>
      </c>
      <c r="G24" s="124" t="s">
        <v>13</v>
      </c>
      <c r="H24" s="121" t="s">
        <v>18</v>
      </c>
      <c r="I24" s="124">
        <v>1</v>
      </c>
      <c r="J24" s="124" t="s">
        <v>15</v>
      </c>
      <c r="K24" s="124" t="s">
        <v>103</v>
      </c>
      <c r="L24" s="121" t="s">
        <v>104</v>
      </c>
      <c r="M24" s="121" t="s">
        <v>17</v>
      </c>
    </row>
    <row r="25" spans="1:13" x14ac:dyDescent="0.2">
      <c r="A25" s="121" t="s">
        <v>101</v>
      </c>
      <c r="B25" s="121" t="s">
        <v>102</v>
      </c>
      <c r="C25" s="121" t="s">
        <v>11</v>
      </c>
      <c r="D25" s="121" t="s">
        <v>12</v>
      </c>
      <c r="E25" s="122">
        <v>43179</v>
      </c>
      <c r="F25" s="123">
        <v>72.157679999999999</v>
      </c>
      <c r="G25" s="124" t="s">
        <v>16</v>
      </c>
      <c r="H25" s="121" t="s">
        <v>18</v>
      </c>
      <c r="I25" s="124">
        <v>1</v>
      </c>
      <c r="J25" s="124" t="s">
        <v>15</v>
      </c>
      <c r="K25" s="124" t="s">
        <v>103</v>
      </c>
      <c r="L25" s="121" t="s">
        <v>104</v>
      </c>
      <c r="M25" s="121" t="s">
        <v>17</v>
      </c>
    </row>
    <row r="26" spans="1:13" x14ac:dyDescent="0.2">
      <c r="A26" s="121" t="s">
        <v>101</v>
      </c>
      <c r="B26" s="121" t="s">
        <v>102</v>
      </c>
      <c r="C26" s="121" t="s">
        <v>11</v>
      </c>
      <c r="D26" s="121" t="s">
        <v>12</v>
      </c>
      <c r="E26" s="122">
        <v>43172</v>
      </c>
      <c r="F26" s="123">
        <v>34.68</v>
      </c>
      <c r="G26" s="124" t="s">
        <v>13</v>
      </c>
      <c r="H26" s="121" t="s">
        <v>14</v>
      </c>
      <c r="I26" s="124">
        <v>1</v>
      </c>
      <c r="J26" s="124" t="s">
        <v>15</v>
      </c>
      <c r="K26" s="124" t="s">
        <v>103</v>
      </c>
      <c r="L26" s="121" t="s">
        <v>104</v>
      </c>
      <c r="M26" s="121" t="s">
        <v>14</v>
      </c>
    </row>
    <row r="27" spans="1:13" x14ac:dyDescent="0.2">
      <c r="A27" s="121" t="s">
        <v>101</v>
      </c>
      <c r="B27" s="121" t="s">
        <v>102</v>
      </c>
      <c r="C27" s="121" t="s">
        <v>11</v>
      </c>
      <c r="D27" s="121" t="s">
        <v>12</v>
      </c>
      <c r="E27" s="122">
        <v>43172</v>
      </c>
      <c r="F27" s="123">
        <v>358.35745680000002</v>
      </c>
      <c r="G27" s="124" t="s">
        <v>16</v>
      </c>
      <c r="H27" s="121" t="s">
        <v>14</v>
      </c>
      <c r="I27" s="124">
        <v>1</v>
      </c>
      <c r="J27" s="124" t="s">
        <v>15</v>
      </c>
      <c r="K27" s="124" t="s">
        <v>103</v>
      </c>
      <c r="L27" s="121" t="s">
        <v>104</v>
      </c>
      <c r="M27" s="121" t="s">
        <v>14</v>
      </c>
    </row>
    <row r="28" spans="1:13" x14ac:dyDescent="0.2">
      <c r="A28" s="121" t="s">
        <v>101</v>
      </c>
      <c r="B28" s="121" t="s">
        <v>102</v>
      </c>
      <c r="C28" s="121" t="s">
        <v>11</v>
      </c>
      <c r="D28" s="121" t="s">
        <v>12</v>
      </c>
      <c r="E28" s="122">
        <v>43172</v>
      </c>
      <c r="F28" s="123">
        <v>5.38</v>
      </c>
      <c r="G28" s="124" t="s">
        <v>13</v>
      </c>
      <c r="H28" s="121" t="s">
        <v>18</v>
      </c>
      <c r="I28" s="124">
        <v>1</v>
      </c>
      <c r="J28" s="124" t="s">
        <v>15</v>
      </c>
      <c r="K28" s="124" t="s">
        <v>103</v>
      </c>
      <c r="L28" s="121" t="s">
        <v>104</v>
      </c>
      <c r="M28" s="121" t="s">
        <v>17</v>
      </c>
    </row>
    <row r="29" spans="1:13" x14ac:dyDescent="0.2">
      <c r="A29" s="121" t="s">
        <v>101</v>
      </c>
      <c r="B29" s="121" t="s">
        <v>102</v>
      </c>
      <c r="C29" s="121" t="s">
        <v>11</v>
      </c>
      <c r="D29" s="121" t="s">
        <v>12</v>
      </c>
      <c r="E29" s="122">
        <v>43172</v>
      </c>
      <c r="F29" s="123">
        <v>57.432575999999997</v>
      </c>
      <c r="G29" s="124" t="s">
        <v>16</v>
      </c>
      <c r="H29" s="121" t="s">
        <v>18</v>
      </c>
      <c r="I29" s="124">
        <v>1</v>
      </c>
      <c r="J29" s="124" t="s">
        <v>15</v>
      </c>
      <c r="K29" s="124" t="s">
        <v>103</v>
      </c>
      <c r="L29" s="121" t="s">
        <v>104</v>
      </c>
      <c r="M29" s="121" t="s">
        <v>17</v>
      </c>
    </row>
    <row r="30" spans="1:13" x14ac:dyDescent="0.2">
      <c r="A30" s="121" t="s">
        <v>101</v>
      </c>
      <c r="B30" s="121" t="s">
        <v>102</v>
      </c>
      <c r="C30" s="121" t="s">
        <v>11</v>
      </c>
      <c r="D30" s="121" t="s">
        <v>12</v>
      </c>
      <c r="E30" s="122">
        <v>43165</v>
      </c>
      <c r="F30" s="123">
        <v>26.22</v>
      </c>
      <c r="G30" s="124" t="s">
        <v>13</v>
      </c>
      <c r="H30" s="121" t="s">
        <v>14</v>
      </c>
      <c r="I30" s="124">
        <v>1</v>
      </c>
      <c r="J30" s="124" t="s">
        <v>15</v>
      </c>
      <c r="K30" s="124" t="s">
        <v>103</v>
      </c>
      <c r="L30" s="121" t="s">
        <v>104</v>
      </c>
      <c r="M30" s="121" t="s">
        <v>14</v>
      </c>
    </row>
    <row r="31" spans="1:13" x14ac:dyDescent="0.2">
      <c r="A31" s="121" t="s">
        <v>101</v>
      </c>
      <c r="B31" s="121" t="s">
        <v>102</v>
      </c>
      <c r="C31" s="121" t="s">
        <v>11</v>
      </c>
      <c r="D31" s="121" t="s">
        <v>12</v>
      </c>
      <c r="E31" s="122">
        <v>43165</v>
      </c>
      <c r="F31" s="123">
        <v>324.2947284</v>
      </c>
      <c r="G31" s="124" t="s">
        <v>16</v>
      </c>
      <c r="H31" s="121" t="s">
        <v>14</v>
      </c>
      <c r="I31" s="124">
        <v>1</v>
      </c>
      <c r="J31" s="124" t="s">
        <v>15</v>
      </c>
      <c r="K31" s="124" t="s">
        <v>103</v>
      </c>
      <c r="L31" s="121" t="s">
        <v>104</v>
      </c>
      <c r="M31" s="121" t="s">
        <v>14</v>
      </c>
    </row>
    <row r="32" spans="1:13" x14ac:dyDescent="0.2">
      <c r="A32" s="121" t="s">
        <v>101</v>
      </c>
      <c r="B32" s="121" t="s">
        <v>102</v>
      </c>
      <c r="C32" s="121" t="s">
        <v>11</v>
      </c>
      <c r="D32" s="121" t="s">
        <v>12</v>
      </c>
      <c r="E32" s="122">
        <v>43165</v>
      </c>
      <c r="F32" s="123">
        <v>5.0199999999999996</v>
      </c>
      <c r="G32" s="124" t="s">
        <v>13</v>
      </c>
      <c r="H32" s="121" t="s">
        <v>18</v>
      </c>
      <c r="I32" s="124">
        <v>1</v>
      </c>
      <c r="J32" s="124" t="s">
        <v>15</v>
      </c>
      <c r="K32" s="124" t="s">
        <v>103</v>
      </c>
      <c r="L32" s="121" t="s">
        <v>104</v>
      </c>
      <c r="M32" s="121" t="s">
        <v>17</v>
      </c>
    </row>
    <row r="33" spans="1:13" x14ac:dyDescent="0.2">
      <c r="A33" s="121" t="s">
        <v>101</v>
      </c>
      <c r="B33" s="121" t="s">
        <v>102</v>
      </c>
      <c r="C33" s="121" t="s">
        <v>11</v>
      </c>
      <c r="D33" s="121" t="s">
        <v>12</v>
      </c>
      <c r="E33" s="122">
        <v>43165</v>
      </c>
      <c r="F33" s="123">
        <v>68.242884000000004</v>
      </c>
      <c r="G33" s="124" t="s">
        <v>16</v>
      </c>
      <c r="H33" s="121" t="s">
        <v>18</v>
      </c>
      <c r="I33" s="124">
        <v>1</v>
      </c>
      <c r="J33" s="124" t="s">
        <v>15</v>
      </c>
      <c r="K33" s="124" t="s">
        <v>103</v>
      </c>
      <c r="L33" s="121" t="s">
        <v>104</v>
      </c>
      <c r="M33" s="121" t="s">
        <v>17</v>
      </c>
    </row>
    <row r="34" spans="1:13" x14ac:dyDescent="0.2">
      <c r="A34" s="121" t="s">
        <v>101</v>
      </c>
      <c r="B34" s="121" t="s">
        <v>102</v>
      </c>
      <c r="C34" s="121" t="s">
        <v>11</v>
      </c>
      <c r="D34" s="121" t="s">
        <v>12</v>
      </c>
      <c r="E34" s="122">
        <v>43158</v>
      </c>
      <c r="F34" s="123">
        <v>29.251000000000001</v>
      </c>
      <c r="G34" s="124" t="s">
        <v>13</v>
      </c>
      <c r="H34" s="121" t="s">
        <v>14</v>
      </c>
      <c r="I34" s="124">
        <v>1</v>
      </c>
      <c r="J34" s="124" t="s">
        <v>15</v>
      </c>
      <c r="K34" s="124" t="s">
        <v>103</v>
      </c>
      <c r="L34" s="121" t="s">
        <v>104</v>
      </c>
      <c r="M34" s="121" t="s">
        <v>14</v>
      </c>
    </row>
    <row r="35" spans="1:13" x14ac:dyDescent="0.2">
      <c r="A35" s="121" t="s">
        <v>101</v>
      </c>
      <c r="B35" s="121" t="s">
        <v>102</v>
      </c>
      <c r="C35" s="121" t="s">
        <v>11</v>
      </c>
      <c r="D35" s="121" t="s">
        <v>12</v>
      </c>
      <c r="E35" s="122">
        <v>43158</v>
      </c>
      <c r="F35" s="123">
        <v>352.02466959999998</v>
      </c>
      <c r="G35" s="124" t="s">
        <v>16</v>
      </c>
      <c r="H35" s="121" t="s">
        <v>14</v>
      </c>
      <c r="I35" s="124">
        <v>1</v>
      </c>
      <c r="J35" s="124" t="s">
        <v>15</v>
      </c>
      <c r="K35" s="124" t="s">
        <v>103</v>
      </c>
      <c r="L35" s="121" t="s">
        <v>104</v>
      </c>
      <c r="M35" s="121" t="s">
        <v>14</v>
      </c>
    </row>
    <row r="36" spans="1:13" x14ac:dyDescent="0.2">
      <c r="A36" s="121" t="s">
        <v>101</v>
      </c>
      <c r="B36" s="121" t="s">
        <v>102</v>
      </c>
      <c r="C36" s="121" t="s">
        <v>11</v>
      </c>
      <c r="D36" s="121" t="s">
        <v>12</v>
      </c>
      <c r="E36" s="122">
        <v>43158</v>
      </c>
      <c r="F36" s="123">
        <v>4.51</v>
      </c>
      <c r="G36" s="124" t="s">
        <v>13</v>
      </c>
      <c r="H36" s="121" t="s">
        <v>18</v>
      </c>
      <c r="I36" s="124">
        <v>1</v>
      </c>
      <c r="J36" s="124" t="s">
        <v>15</v>
      </c>
      <c r="K36" s="124" t="s">
        <v>103</v>
      </c>
      <c r="L36" s="121" t="s">
        <v>104</v>
      </c>
      <c r="M36" s="121" t="s">
        <v>17</v>
      </c>
    </row>
    <row r="37" spans="1:13" x14ac:dyDescent="0.2">
      <c r="A37" s="121" t="s">
        <v>101</v>
      </c>
      <c r="B37" s="121" t="s">
        <v>102</v>
      </c>
      <c r="C37" s="121" t="s">
        <v>11</v>
      </c>
      <c r="D37" s="121" t="s">
        <v>12</v>
      </c>
      <c r="E37" s="122">
        <v>43158</v>
      </c>
      <c r="F37" s="123">
        <v>51.154223999999999</v>
      </c>
      <c r="G37" s="124" t="s">
        <v>16</v>
      </c>
      <c r="H37" s="121" t="s">
        <v>18</v>
      </c>
      <c r="I37" s="124">
        <v>1</v>
      </c>
      <c r="J37" s="124" t="s">
        <v>15</v>
      </c>
      <c r="K37" s="124" t="s">
        <v>103</v>
      </c>
      <c r="L37" s="121" t="s">
        <v>104</v>
      </c>
      <c r="M37" s="121" t="s">
        <v>17</v>
      </c>
    </row>
    <row r="38" spans="1:13" x14ac:dyDescent="0.2">
      <c r="A38" s="121" t="s">
        <v>101</v>
      </c>
      <c r="B38" s="121" t="s">
        <v>102</v>
      </c>
      <c r="C38" s="121" t="s">
        <v>11</v>
      </c>
      <c r="D38" s="121" t="s">
        <v>12</v>
      </c>
      <c r="E38" s="122">
        <v>43151</v>
      </c>
      <c r="F38" s="123">
        <v>28.1</v>
      </c>
      <c r="G38" s="124" t="s">
        <v>13</v>
      </c>
      <c r="H38" s="121" t="s">
        <v>14</v>
      </c>
      <c r="I38" s="124">
        <v>1</v>
      </c>
      <c r="J38" s="124" t="s">
        <v>15</v>
      </c>
      <c r="K38" s="124" t="s">
        <v>103</v>
      </c>
      <c r="L38" s="121" t="s">
        <v>104</v>
      </c>
      <c r="M38" s="121" t="s">
        <v>14</v>
      </c>
    </row>
    <row r="39" spans="1:13" x14ac:dyDescent="0.2">
      <c r="A39" s="121" t="s">
        <v>101</v>
      </c>
      <c r="B39" s="121" t="s">
        <v>102</v>
      </c>
      <c r="C39" s="121" t="s">
        <v>11</v>
      </c>
      <c r="D39" s="121" t="s">
        <v>12</v>
      </c>
      <c r="E39" s="122">
        <v>43151</v>
      </c>
      <c r="F39" s="123">
        <v>249.118302</v>
      </c>
      <c r="G39" s="124" t="s">
        <v>16</v>
      </c>
      <c r="H39" s="121" t="s">
        <v>14</v>
      </c>
      <c r="I39" s="124">
        <v>1</v>
      </c>
      <c r="J39" s="124" t="s">
        <v>15</v>
      </c>
      <c r="K39" s="124" t="s">
        <v>103</v>
      </c>
      <c r="L39" s="121" t="s">
        <v>104</v>
      </c>
      <c r="M39" s="121" t="s">
        <v>14</v>
      </c>
    </row>
    <row r="40" spans="1:13" x14ac:dyDescent="0.2">
      <c r="A40" s="121" t="s">
        <v>101</v>
      </c>
      <c r="B40" s="121" t="s">
        <v>102</v>
      </c>
      <c r="C40" s="121" t="s">
        <v>11</v>
      </c>
      <c r="D40" s="121" t="s">
        <v>12</v>
      </c>
      <c r="E40" s="122">
        <v>43151</v>
      </c>
      <c r="F40" s="123">
        <v>3.42</v>
      </c>
      <c r="G40" s="124" t="s">
        <v>13</v>
      </c>
      <c r="H40" s="121" t="s">
        <v>18</v>
      </c>
      <c r="I40" s="124">
        <v>1</v>
      </c>
      <c r="J40" s="124" t="s">
        <v>15</v>
      </c>
      <c r="K40" s="124" t="s">
        <v>103</v>
      </c>
      <c r="L40" s="121" t="s">
        <v>104</v>
      </c>
      <c r="M40" s="121" t="s">
        <v>17</v>
      </c>
    </row>
    <row r="41" spans="1:13" x14ac:dyDescent="0.2">
      <c r="A41" s="121" t="s">
        <v>101</v>
      </c>
      <c r="B41" s="121" t="s">
        <v>102</v>
      </c>
      <c r="C41" s="121" t="s">
        <v>11</v>
      </c>
      <c r="D41" s="121" t="s">
        <v>12</v>
      </c>
      <c r="E41" s="122">
        <v>43151</v>
      </c>
      <c r="F41" s="123">
        <v>29.94894</v>
      </c>
      <c r="G41" s="124" t="s">
        <v>16</v>
      </c>
      <c r="H41" s="121" t="s">
        <v>18</v>
      </c>
      <c r="I41" s="124">
        <v>1</v>
      </c>
      <c r="J41" s="124" t="s">
        <v>15</v>
      </c>
      <c r="K41" s="124" t="s">
        <v>103</v>
      </c>
      <c r="L41" s="121" t="s">
        <v>104</v>
      </c>
      <c r="M41" s="121" t="s">
        <v>17</v>
      </c>
    </row>
    <row r="42" spans="1:13" x14ac:dyDescent="0.2">
      <c r="A42" s="121" t="s">
        <v>101</v>
      </c>
      <c r="B42" s="121" t="s">
        <v>102</v>
      </c>
      <c r="C42" s="121" t="s">
        <v>11</v>
      </c>
      <c r="D42" s="121" t="s">
        <v>12</v>
      </c>
      <c r="E42" s="122">
        <v>43144</v>
      </c>
      <c r="F42" s="123">
        <v>37.969000000000001</v>
      </c>
      <c r="G42" s="124" t="s">
        <v>13</v>
      </c>
      <c r="H42" s="121" t="s">
        <v>14</v>
      </c>
      <c r="I42" s="124">
        <v>1</v>
      </c>
      <c r="J42" s="124" t="s">
        <v>15</v>
      </c>
      <c r="K42" s="124" t="s">
        <v>103</v>
      </c>
      <c r="L42" s="121" t="s">
        <v>104</v>
      </c>
      <c r="M42" s="121" t="s">
        <v>14</v>
      </c>
    </row>
    <row r="43" spans="1:13" x14ac:dyDescent="0.2">
      <c r="A43" s="121" t="s">
        <v>101</v>
      </c>
      <c r="B43" s="121" t="s">
        <v>102</v>
      </c>
      <c r="C43" s="121" t="s">
        <v>11</v>
      </c>
      <c r="D43" s="121" t="s">
        <v>12</v>
      </c>
      <c r="E43" s="122">
        <v>43144</v>
      </c>
      <c r="F43" s="123">
        <v>350.5442362</v>
      </c>
      <c r="G43" s="124" t="s">
        <v>16</v>
      </c>
      <c r="H43" s="121" t="s">
        <v>14</v>
      </c>
      <c r="I43" s="124">
        <v>1</v>
      </c>
      <c r="J43" s="124" t="s">
        <v>15</v>
      </c>
      <c r="K43" s="124" t="s">
        <v>103</v>
      </c>
      <c r="L43" s="121" t="s">
        <v>104</v>
      </c>
      <c r="M43" s="121" t="s">
        <v>14</v>
      </c>
    </row>
    <row r="44" spans="1:13" x14ac:dyDescent="0.2">
      <c r="A44" s="121" t="s">
        <v>101</v>
      </c>
      <c r="B44" s="121" t="s">
        <v>102</v>
      </c>
      <c r="C44" s="121" t="s">
        <v>11</v>
      </c>
      <c r="D44" s="121" t="s">
        <v>12</v>
      </c>
      <c r="E44" s="122">
        <v>43144</v>
      </c>
      <c r="F44" s="123">
        <v>6.68</v>
      </c>
      <c r="G44" s="124" t="s">
        <v>13</v>
      </c>
      <c r="H44" s="121" t="s">
        <v>18</v>
      </c>
      <c r="I44" s="124">
        <v>1</v>
      </c>
      <c r="J44" s="124" t="s">
        <v>15</v>
      </c>
      <c r="K44" s="124" t="s">
        <v>103</v>
      </c>
      <c r="L44" s="121" t="s">
        <v>104</v>
      </c>
      <c r="M44" s="121" t="s">
        <v>17</v>
      </c>
    </row>
    <row r="45" spans="1:13" x14ac:dyDescent="0.2">
      <c r="A45" s="121" t="s">
        <v>101</v>
      </c>
      <c r="B45" s="121" t="s">
        <v>102</v>
      </c>
      <c r="C45" s="121" t="s">
        <v>11</v>
      </c>
      <c r="D45" s="121" t="s">
        <v>12</v>
      </c>
      <c r="E45" s="122">
        <v>43144</v>
      </c>
      <c r="F45" s="123">
        <v>67.967663999999999</v>
      </c>
      <c r="G45" s="124" t="s">
        <v>16</v>
      </c>
      <c r="H45" s="121" t="s">
        <v>18</v>
      </c>
      <c r="I45" s="124">
        <v>1</v>
      </c>
      <c r="J45" s="124" t="s">
        <v>15</v>
      </c>
      <c r="K45" s="124" t="s">
        <v>103</v>
      </c>
      <c r="L45" s="121" t="s">
        <v>104</v>
      </c>
      <c r="M45" s="121" t="s">
        <v>17</v>
      </c>
    </row>
    <row r="46" spans="1:13" x14ac:dyDescent="0.2">
      <c r="A46" s="121" t="s">
        <v>101</v>
      </c>
      <c r="B46" s="121" t="s">
        <v>102</v>
      </c>
      <c r="C46" s="121" t="s">
        <v>11</v>
      </c>
      <c r="D46" s="121" t="s">
        <v>12</v>
      </c>
      <c r="E46" s="122">
        <v>43137</v>
      </c>
      <c r="F46" s="123">
        <v>30.405999999999999</v>
      </c>
      <c r="G46" s="124" t="s">
        <v>13</v>
      </c>
      <c r="H46" s="121" t="s">
        <v>14</v>
      </c>
      <c r="I46" s="124">
        <v>1</v>
      </c>
      <c r="J46" s="124" t="s">
        <v>15</v>
      </c>
      <c r="K46" s="124" t="s">
        <v>103</v>
      </c>
      <c r="L46" s="121" t="s">
        <v>104</v>
      </c>
      <c r="M46" s="121" t="s">
        <v>14</v>
      </c>
    </row>
    <row r="47" spans="1:13" x14ac:dyDescent="0.2">
      <c r="A47" s="121" t="s">
        <v>101</v>
      </c>
      <c r="B47" s="121" t="s">
        <v>102</v>
      </c>
      <c r="C47" s="121" t="s">
        <v>11</v>
      </c>
      <c r="D47" s="121" t="s">
        <v>12</v>
      </c>
      <c r="E47" s="122">
        <v>43137</v>
      </c>
      <c r="F47" s="123">
        <v>272.09782089999999</v>
      </c>
      <c r="G47" s="124" t="s">
        <v>16</v>
      </c>
      <c r="H47" s="121" t="s">
        <v>14</v>
      </c>
      <c r="I47" s="124">
        <v>1</v>
      </c>
      <c r="J47" s="124" t="s">
        <v>15</v>
      </c>
      <c r="K47" s="124" t="s">
        <v>103</v>
      </c>
      <c r="L47" s="121" t="s">
        <v>104</v>
      </c>
      <c r="M47" s="121" t="s">
        <v>14</v>
      </c>
    </row>
    <row r="48" spans="1:13" x14ac:dyDescent="0.2">
      <c r="A48" s="121" t="s">
        <v>101</v>
      </c>
      <c r="B48" s="121" t="s">
        <v>102</v>
      </c>
      <c r="C48" s="121" t="s">
        <v>11</v>
      </c>
      <c r="D48" s="121" t="s">
        <v>12</v>
      </c>
      <c r="E48" s="122">
        <v>43137</v>
      </c>
      <c r="F48" s="123">
        <v>4.3899999999999997</v>
      </c>
      <c r="G48" s="124" t="s">
        <v>13</v>
      </c>
      <c r="H48" s="121" t="s">
        <v>18</v>
      </c>
      <c r="I48" s="124">
        <v>1</v>
      </c>
      <c r="J48" s="124" t="s">
        <v>15</v>
      </c>
      <c r="K48" s="124" t="s">
        <v>103</v>
      </c>
      <c r="L48" s="121" t="s">
        <v>104</v>
      </c>
      <c r="M48" s="121" t="s">
        <v>17</v>
      </c>
    </row>
    <row r="49" spans="1:13" x14ac:dyDescent="0.2">
      <c r="A49" s="121" t="s">
        <v>101</v>
      </c>
      <c r="B49" s="121" t="s">
        <v>102</v>
      </c>
      <c r="C49" s="121" t="s">
        <v>11</v>
      </c>
      <c r="D49" s="121" t="s">
        <v>12</v>
      </c>
      <c r="E49" s="122">
        <v>43137</v>
      </c>
      <c r="F49" s="123">
        <v>45.033498000000002</v>
      </c>
      <c r="G49" s="124" t="s">
        <v>16</v>
      </c>
      <c r="H49" s="121" t="s">
        <v>18</v>
      </c>
      <c r="I49" s="124">
        <v>1</v>
      </c>
      <c r="J49" s="124" t="s">
        <v>15</v>
      </c>
      <c r="K49" s="124" t="s">
        <v>103</v>
      </c>
      <c r="L49" s="121" t="s">
        <v>104</v>
      </c>
      <c r="M49" s="121" t="s">
        <v>17</v>
      </c>
    </row>
    <row r="50" spans="1:13" x14ac:dyDescent="0.2">
      <c r="A50" s="121" t="s">
        <v>101</v>
      </c>
      <c r="B50" s="121" t="s">
        <v>102</v>
      </c>
      <c r="C50" s="121" t="s">
        <v>11</v>
      </c>
      <c r="D50" s="121" t="s">
        <v>12</v>
      </c>
      <c r="E50" s="122">
        <v>43123</v>
      </c>
      <c r="F50" s="123">
        <v>27.786999999999999</v>
      </c>
      <c r="G50" s="124" t="s">
        <v>13</v>
      </c>
      <c r="H50" s="121" t="s">
        <v>14</v>
      </c>
      <c r="I50" s="124">
        <v>1</v>
      </c>
      <c r="J50" s="124" t="s">
        <v>15</v>
      </c>
      <c r="K50" s="124" t="s">
        <v>103</v>
      </c>
      <c r="L50" s="121" t="s">
        <v>105</v>
      </c>
      <c r="M50" s="121" t="s">
        <v>14</v>
      </c>
    </row>
    <row r="51" spans="1:13" x14ac:dyDescent="0.2">
      <c r="A51" s="121" t="s">
        <v>101</v>
      </c>
      <c r="B51" s="121" t="s">
        <v>102</v>
      </c>
      <c r="C51" s="121" t="s">
        <v>11</v>
      </c>
      <c r="D51" s="121" t="s">
        <v>12</v>
      </c>
      <c r="E51" s="122">
        <v>43123</v>
      </c>
      <c r="F51" s="123">
        <v>363.14218979999998</v>
      </c>
      <c r="G51" s="124" t="s">
        <v>16</v>
      </c>
      <c r="H51" s="121" t="s">
        <v>14</v>
      </c>
      <c r="I51" s="124">
        <v>1</v>
      </c>
      <c r="J51" s="124" t="s">
        <v>15</v>
      </c>
      <c r="K51" s="124" t="s">
        <v>103</v>
      </c>
      <c r="L51" s="121" t="s">
        <v>105</v>
      </c>
      <c r="M51" s="121" t="s">
        <v>14</v>
      </c>
    </row>
    <row r="52" spans="1:13" x14ac:dyDescent="0.2">
      <c r="A52" s="121" t="s">
        <v>101</v>
      </c>
      <c r="B52" s="121" t="s">
        <v>102</v>
      </c>
      <c r="C52" s="121" t="s">
        <v>11</v>
      </c>
      <c r="D52" s="121" t="s">
        <v>12</v>
      </c>
      <c r="E52" s="122">
        <v>43123</v>
      </c>
      <c r="F52" s="123">
        <v>4.16</v>
      </c>
      <c r="G52" s="124" t="s">
        <v>13</v>
      </c>
      <c r="H52" s="121" t="s">
        <v>18</v>
      </c>
      <c r="I52" s="124">
        <v>1</v>
      </c>
      <c r="J52" s="124" t="s">
        <v>15</v>
      </c>
      <c r="K52" s="124" t="s">
        <v>103</v>
      </c>
      <c r="L52" s="121" t="s">
        <v>105</v>
      </c>
      <c r="M52" s="121" t="s">
        <v>17</v>
      </c>
    </row>
    <row r="53" spans="1:13" x14ac:dyDescent="0.2">
      <c r="A53" s="121" t="s">
        <v>101</v>
      </c>
      <c r="B53" s="121" t="s">
        <v>102</v>
      </c>
      <c r="C53" s="121" t="s">
        <v>11</v>
      </c>
      <c r="D53" s="121" t="s">
        <v>12</v>
      </c>
      <c r="E53" s="122">
        <v>43123</v>
      </c>
      <c r="F53" s="123">
        <v>62.449919999999999</v>
      </c>
      <c r="G53" s="124" t="s">
        <v>16</v>
      </c>
      <c r="H53" s="121" t="s">
        <v>18</v>
      </c>
      <c r="I53" s="124">
        <v>1</v>
      </c>
      <c r="J53" s="124" t="s">
        <v>15</v>
      </c>
      <c r="K53" s="124" t="s">
        <v>103</v>
      </c>
      <c r="L53" s="121" t="s">
        <v>105</v>
      </c>
      <c r="M53" s="121" t="s">
        <v>17</v>
      </c>
    </row>
    <row r="54" spans="1:13" x14ac:dyDescent="0.2">
      <c r="A54" s="121" t="s">
        <v>101</v>
      </c>
      <c r="B54" s="121" t="s">
        <v>102</v>
      </c>
      <c r="C54" s="121" t="s">
        <v>11</v>
      </c>
      <c r="D54" s="121" t="s">
        <v>12</v>
      </c>
      <c r="E54" s="122">
        <v>43117</v>
      </c>
      <c r="F54" s="123">
        <v>31.274999999999999</v>
      </c>
      <c r="G54" s="124" t="s">
        <v>13</v>
      </c>
      <c r="H54" s="121" t="s">
        <v>14</v>
      </c>
      <c r="I54" s="124">
        <v>1</v>
      </c>
      <c r="J54" s="124" t="s">
        <v>15</v>
      </c>
      <c r="K54" s="124" t="s">
        <v>103</v>
      </c>
      <c r="L54" s="121" t="s">
        <v>105</v>
      </c>
      <c r="M54" s="121" t="s">
        <v>14</v>
      </c>
    </row>
    <row r="55" spans="1:13" x14ac:dyDescent="0.2">
      <c r="A55" s="121" t="s">
        <v>101</v>
      </c>
      <c r="B55" s="121" t="s">
        <v>102</v>
      </c>
      <c r="C55" s="121" t="s">
        <v>11</v>
      </c>
      <c r="D55" s="121" t="s">
        <v>12</v>
      </c>
      <c r="E55" s="122">
        <v>43117</v>
      </c>
      <c r="F55" s="123">
        <v>296.82852300000002</v>
      </c>
      <c r="G55" s="124" t="s">
        <v>16</v>
      </c>
      <c r="H55" s="121" t="s">
        <v>14</v>
      </c>
      <c r="I55" s="124">
        <v>1</v>
      </c>
      <c r="J55" s="124" t="s">
        <v>15</v>
      </c>
      <c r="K55" s="124" t="s">
        <v>103</v>
      </c>
      <c r="L55" s="121" t="s">
        <v>105</v>
      </c>
      <c r="M55" s="121" t="s">
        <v>14</v>
      </c>
    </row>
    <row r="56" spans="1:13" x14ac:dyDescent="0.2">
      <c r="A56" s="121" t="s">
        <v>101</v>
      </c>
      <c r="B56" s="121" t="s">
        <v>102</v>
      </c>
      <c r="C56" s="121" t="s">
        <v>11</v>
      </c>
      <c r="D56" s="121" t="s">
        <v>12</v>
      </c>
      <c r="E56" s="122">
        <v>43117</v>
      </c>
      <c r="F56" s="123">
        <v>4.93</v>
      </c>
      <c r="G56" s="124" t="s">
        <v>13</v>
      </c>
      <c r="H56" s="121" t="s">
        <v>18</v>
      </c>
      <c r="I56" s="124">
        <v>1</v>
      </c>
      <c r="J56" s="124" t="s">
        <v>15</v>
      </c>
      <c r="K56" s="124" t="s">
        <v>103</v>
      </c>
      <c r="L56" s="121" t="s">
        <v>105</v>
      </c>
      <c r="M56" s="121" t="s">
        <v>17</v>
      </c>
    </row>
    <row r="57" spans="1:13" x14ac:dyDescent="0.2">
      <c r="A57" s="121" t="s">
        <v>101</v>
      </c>
      <c r="B57" s="121" t="s">
        <v>102</v>
      </c>
      <c r="C57" s="121" t="s">
        <v>11</v>
      </c>
      <c r="D57" s="121" t="s">
        <v>12</v>
      </c>
      <c r="E57" s="122">
        <v>43117</v>
      </c>
      <c r="F57" s="123">
        <v>73.186836</v>
      </c>
      <c r="G57" s="124" t="s">
        <v>16</v>
      </c>
      <c r="H57" s="121" t="s">
        <v>18</v>
      </c>
      <c r="I57" s="124">
        <v>1</v>
      </c>
      <c r="J57" s="124" t="s">
        <v>15</v>
      </c>
      <c r="K57" s="124" t="s">
        <v>103</v>
      </c>
      <c r="L57" s="121" t="s">
        <v>105</v>
      </c>
      <c r="M57" s="121" t="s">
        <v>17</v>
      </c>
    </row>
    <row r="58" spans="1:13" x14ac:dyDescent="0.2">
      <c r="A58" s="121" t="s">
        <v>101</v>
      </c>
      <c r="B58" s="121" t="s">
        <v>102</v>
      </c>
      <c r="C58" s="121" t="s">
        <v>11</v>
      </c>
      <c r="D58" s="121" t="s">
        <v>12</v>
      </c>
      <c r="E58" s="122">
        <v>43109</v>
      </c>
      <c r="F58" s="123">
        <v>36.127000000000002</v>
      </c>
      <c r="G58" s="124" t="s">
        <v>13</v>
      </c>
      <c r="H58" s="121" t="s">
        <v>14</v>
      </c>
      <c r="I58" s="124">
        <v>1</v>
      </c>
      <c r="J58" s="124" t="s">
        <v>15</v>
      </c>
      <c r="K58" s="124" t="s">
        <v>103</v>
      </c>
      <c r="L58" s="121" t="s">
        <v>105</v>
      </c>
      <c r="M58" s="121" t="s">
        <v>14</v>
      </c>
    </row>
    <row r="59" spans="1:13" x14ac:dyDescent="0.2">
      <c r="A59" s="121" t="s">
        <v>101</v>
      </c>
      <c r="B59" s="121" t="s">
        <v>102</v>
      </c>
      <c r="C59" s="121" t="s">
        <v>11</v>
      </c>
      <c r="D59" s="121" t="s">
        <v>12</v>
      </c>
      <c r="E59" s="122">
        <v>43109</v>
      </c>
      <c r="F59" s="123">
        <v>321.48622499999999</v>
      </c>
      <c r="G59" s="124" t="s">
        <v>16</v>
      </c>
      <c r="H59" s="121" t="s">
        <v>14</v>
      </c>
      <c r="I59" s="124">
        <v>1</v>
      </c>
      <c r="J59" s="124" t="s">
        <v>15</v>
      </c>
      <c r="K59" s="124" t="s">
        <v>103</v>
      </c>
      <c r="L59" s="121" t="s">
        <v>105</v>
      </c>
      <c r="M59" s="121" t="s">
        <v>14</v>
      </c>
    </row>
    <row r="60" spans="1:13" x14ac:dyDescent="0.2">
      <c r="A60" s="121" t="s">
        <v>101</v>
      </c>
      <c r="B60" s="121" t="s">
        <v>102</v>
      </c>
      <c r="C60" s="121" t="s">
        <v>11</v>
      </c>
      <c r="D60" s="121" t="s">
        <v>12</v>
      </c>
      <c r="E60" s="122">
        <v>43109</v>
      </c>
      <c r="F60" s="123">
        <v>5.88</v>
      </c>
      <c r="G60" s="124" t="s">
        <v>13</v>
      </c>
      <c r="H60" s="121" t="s">
        <v>18</v>
      </c>
      <c r="I60" s="124">
        <v>1</v>
      </c>
      <c r="J60" s="124" t="s">
        <v>15</v>
      </c>
      <c r="K60" s="124" t="s">
        <v>103</v>
      </c>
      <c r="L60" s="121" t="s">
        <v>105</v>
      </c>
      <c r="M60" s="121" t="s">
        <v>17</v>
      </c>
    </row>
    <row r="61" spans="1:13" x14ac:dyDescent="0.2">
      <c r="A61" s="121" t="s">
        <v>101</v>
      </c>
      <c r="B61" s="121" t="s">
        <v>102</v>
      </c>
      <c r="C61" s="121" t="s">
        <v>11</v>
      </c>
      <c r="D61" s="121" t="s">
        <v>12</v>
      </c>
      <c r="E61" s="122">
        <v>43109</v>
      </c>
      <c r="F61" s="123">
        <v>55.904688</v>
      </c>
      <c r="G61" s="124" t="s">
        <v>16</v>
      </c>
      <c r="H61" s="121" t="s">
        <v>18</v>
      </c>
      <c r="I61" s="124">
        <v>1</v>
      </c>
      <c r="J61" s="124" t="s">
        <v>15</v>
      </c>
      <c r="K61" s="124" t="s">
        <v>103</v>
      </c>
      <c r="L61" s="121" t="s">
        <v>105</v>
      </c>
      <c r="M61" s="121" t="s">
        <v>17</v>
      </c>
    </row>
    <row r="62" spans="1:13" x14ac:dyDescent="0.2">
      <c r="A62" s="121" t="s">
        <v>101</v>
      </c>
      <c r="B62" s="121" t="s">
        <v>102</v>
      </c>
      <c r="C62" s="121" t="s">
        <v>11</v>
      </c>
      <c r="D62" s="121" t="s">
        <v>12</v>
      </c>
      <c r="E62" s="122">
        <v>43103</v>
      </c>
      <c r="F62" s="123">
        <v>34.103000000000002</v>
      </c>
      <c r="G62" s="124" t="s">
        <v>13</v>
      </c>
      <c r="H62" s="121" t="s">
        <v>14</v>
      </c>
      <c r="I62" s="124">
        <v>1</v>
      </c>
      <c r="J62" s="124" t="s">
        <v>15</v>
      </c>
      <c r="K62" s="124" t="s">
        <v>103</v>
      </c>
      <c r="L62" s="121" t="s">
        <v>105</v>
      </c>
      <c r="M62" s="121" t="s">
        <v>14</v>
      </c>
    </row>
    <row r="63" spans="1:13" x14ac:dyDescent="0.2">
      <c r="A63" s="121" t="s">
        <v>101</v>
      </c>
      <c r="B63" s="121" t="s">
        <v>102</v>
      </c>
      <c r="C63" s="121" t="s">
        <v>11</v>
      </c>
      <c r="D63" s="121" t="s">
        <v>12</v>
      </c>
      <c r="E63" s="122">
        <v>43103</v>
      </c>
      <c r="F63" s="123">
        <v>315.42069309999999</v>
      </c>
      <c r="G63" s="124" t="s">
        <v>16</v>
      </c>
      <c r="H63" s="121" t="s">
        <v>14</v>
      </c>
      <c r="I63" s="124">
        <v>1</v>
      </c>
      <c r="J63" s="124" t="s">
        <v>15</v>
      </c>
      <c r="K63" s="124" t="s">
        <v>103</v>
      </c>
      <c r="L63" s="121" t="s">
        <v>105</v>
      </c>
      <c r="M63" s="121" t="s">
        <v>14</v>
      </c>
    </row>
    <row r="64" spans="1:13" x14ac:dyDescent="0.2">
      <c r="A64" s="121" t="s">
        <v>101</v>
      </c>
      <c r="B64" s="121" t="s">
        <v>102</v>
      </c>
      <c r="C64" s="121" t="s">
        <v>11</v>
      </c>
      <c r="D64" s="121" t="s">
        <v>12</v>
      </c>
      <c r="E64" s="122">
        <v>43103</v>
      </c>
      <c r="F64" s="123">
        <v>4.3499999999999996</v>
      </c>
      <c r="G64" s="124" t="s">
        <v>13</v>
      </c>
      <c r="H64" s="121" t="s">
        <v>18</v>
      </c>
      <c r="I64" s="124">
        <v>1</v>
      </c>
      <c r="J64" s="124" t="s">
        <v>15</v>
      </c>
      <c r="K64" s="124" t="s">
        <v>103</v>
      </c>
      <c r="L64" s="121" t="s">
        <v>105</v>
      </c>
      <c r="M64" s="121" t="s">
        <v>17</v>
      </c>
    </row>
    <row r="65" spans="1:13" x14ac:dyDescent="0.2">
      <c r="A65" s="121" t="s">
        <v>101</v>
      </c>
      <c r="B65" s="121" t="s">
        <v>102</v>
      </c>
      <c r="C65" s="121" t="s">
        <v>11</v>
      </c>
      <c r="D65" s="121" t="s">
        <v>12</v>
      </c>
      <c r="E65" s="122">
        <v>43103</v>
      </c>
      <c r="F65" s="123">
        <v>46.074330000000003</v>
      </c>
      <c r="G65" s="124" t="s">
        <v>16</v>
      </c>
      <c r="H65" s="121" t="s">
        <v>18</v>
      </c>
      <c r="I65" s="124">
        <v>1</v>
      </c>
      <c r="J65" s="124" t="s">
        <v>15</v>
      </c>
      <c r="K65" s="124" t="s">
        <v>103</v>
      </c>
      <c r="L65" s="121" t="s">
        <v>105</v>
      </c>
      <c r="M65" s="121" t="s">
        <v>17</v>
      </c>
    </row>
    <row r="66" spans="1:13" x14ac:dyDescent="0.2">
      <c r="A66" s="121" t="s">
        <v>101</v>
      </c>
      <c r="B66" s="121" t="s">
        <v>102</v>
      </c>
      <c r="C66" s="121" t="s">
        <v>11</v>
      </c>
      <c r="D66" s="121" t="s">
        <v>12</v>
      </c>
      <c r="E66" s="122">
        <v>43096</v>
      </c>
      <c r="F66" s="123">
        <v>41.2</v>
      </c>
      <c r="G66" s="124" t="s">
        <v>13</v>
      </c>
      <c r="H66" s="121" t="s">
        <v>14</v>
      </c>
      <c r="I66" s="124">
        <v>1</v>
      </c>
      <c r="J66" s="124" t="s">
        <v>15</v>
      </c>
      <c r="K66" s="124" t="s">
        <v>103</v>
      </c>
      <c r="L66" s="121" t="s">
        <v>105</v>
      </c>
      <c r="M66" s="121" t="s">
        <v>14</v>
      </c>
    </row>
    <row r="67" spans="1:13" x14ac:dyDescent="0.2">
      <c r="A67" s="121" t="s">
        <v>101</v>
      </c>
      <c r="B67" s="121" t="s">
        <v>102</v>
      </c>
      <c r="C67" s="121" t="s">
        <v>11</v>
      </c>
      <c r="D67" s="121" t="s">
        <v>12</v>
      </c>
      <c r="E67" s="122">
        <v>43096</v>
      </c>
      <c r="F67" s="123">
        <v>377.62519200000003</v>
      </c>
      <c r="G67" s="124" t="s">
        <v>16</v>
      </c>
      <c r="H67" s="121" t="s">
        <v>14</v>
      </c>
      <c r="I67" s="124">
        <v>1</v>
      </c>
      <c r="J67" s="124" t="s">
        <v>15</v>
      </c>
      <c r="K67" s="124" t="s">
        <v>103</v>
      </c>
      <c r="L67" s="121" t="s">
        <v>105</v>
      </c>
      <c r="M67" s="121" t="s">
        <v>14</v>
      </c>
    </row>
    <row r="68" spans="1:13" x14ac:dyDescent="0.2">
      <c r="A68" s="121" t="s">
        <v>101</v>
      </c>
      <c r="B68" s="121" t="s">
        <v>102</v>
      </c>
      <c r="C68" s="121" t="s">
        <v>11</v>
      </c>
      <c r="D68" s="121" t="s">
        <v>12</v>
      </c>
      <c r="E68" s="122">
        <v>43096</v>
      </c>
      <c r="F68" s="123">
        <v>3.67</v>
      </c>
      <c r="G68" s="124" t="s">
        <v>13</v>
      </c>
      <c r="H68" s="121" t="s">
        <v>18</v>
      </c>
      <c r="I68" s="124">
        <v>1</v>
      </c>
      <c r="J68" s="124" t="s">
        <v>15</v>
      </c>
      <c r="K68" s="124" t="s">
        <v>103</v>
      </c>
      <c r="L68" s="121" t="s">
        <v>105</v>
      </c>
      <c r="M68" s="121" t="s">
        <v>17</v>
      </c>
    </row>
    <row r="69" spans="1:13" x14ac:dyDescent="0.2">
      <c r="A69" s="121" t="s">
        <v>101</v>
      </c>
      <c r="B69" s="121" t="s">
        <v>102</v>
      </c>
      <c r="C69" s="121" t="s">
        <v>11</v>
      </c>
      <c r="D69" s="121" t="s">
        <v>12</v>
      </c>
      <c r="E69" s="122">
        <v>43096</v>
      </c>
      <c r="F69" s="123">
        <v>47.136012000000001</v>
      </c>
      <c r="G69" s="124" t="s">
        <v>16</v>
      </c>
      <c r="H69" s="121" t="s">
        <v>18</v>
      </c>
      <c r="I69" s="124">
        <v>1</v>
      </c>
      <c r="J69" s="124" t="s">
        <v>15</v>
      </c>
      <c r="K69" s="124" t="s">
        <v>103</v>
      </c>
      <c r="L69" s="121" t="s">
        <v>105</v>
      </c>
      <c r="M69" s="121" t="s">
        <v>17</v>
      </c>
    </row>
    <row r="70" spans="1:13" x14ac:dyDescent="0.2">
      <c r="A70" s="121" t="s">
        <v>101</v>
      </c>
      <c r="B70" s="121" t="s">
        <v>102</v>
      </c>
      <c r="C70" s="121" t="s">
        <v>11</v>
      </c>
      <c r="D70" s="121" t="s">
        <v>12</v>
      </c>
      <c r="E70" s="122">
        <v>43087</v>
      </c>
      <c r="F70" s="123">
        <v>31.462</v>
      </c>
      <c r="G70" s="124" t="s">
        <v>13</v>
      </c>
      <c r="H70" s="121" t="s">
        <v>14</v>
      </c>
      <c r="I70" s="124">
        <v>1</v>
      </c>
      <c r="J70" s="124" t="s">
        <v>15</v>
      </c>
      <c r="K70" s="124" t="s">
        <v>103</v>
      </c>
      <c r="L70" s="121" t="s">
        <v>105</v>
      </c>
      <c r="M70" s="121" t="s">
        <v>14</v>
      </c>
    </row>
    <row r="71" spans="1:13" x14ac:dyDescent="0.2">
      <c r="A71" s="121" t="s">
        <v>101</v>
      </c>
      <c r="B71" s="121" t="s">
        <v>102</v>
      </c>
      <c r="C71" s="121" t="s">
        <v>11</v>
      </c>
      <c r="D71" s="121" t="s">
        <v>12</v>
      </c>
      <c r="E71" s="122">
        <v>43087</v>
      </c>
      <c r="F71" s="123">
        <v>299.12811119999998</v>
      </c>
      <c r="G71" s="124" t="s">
        <v>16</v>
      </c>
      <c r="H71" s="121" t="s">
        <v>14</v>
      </c>
      <c r="I71" s="124">
        <v>1</v>
      </c>
      <c r="J71" s="124" t="s">
        <v>15</v>
      </c>
      <c r="K71" s="124" t="s">
        <v>103</v>
      </c>
      <c r="L71" s="121" t="s">
        <v>105</v>
      </c>
      <c r="M71" s="121" t="s">
        <v>14</v>
      </c>
    </row>
    <row r="72" spans="1:13" x14ac:dyDescent="0.2">
      <c r="A72" s="121" t="s">
        <v>101</v>
      </c>
      <c r="B72" s="121" t="s">
        <v>102</v>
      </c>
      <c r="C72" s="121" t="s">
        <v>11</v>
      </c>
      <c r="D72" s="121" t="s">
        <v>12</v>
      </c>
      <c r="E72" s="122">
        <v>43087</v>
      </c>
      <c r="F72" s="123">
        <v>2.88</v>
      </c>
      <c r="G72" s="124" t="s">
        <v>13</v>
      </c>
      <c r="H72" s="121" t="s">
        <v>18</v>
      </c>
      <c r="I72" s="124">
        <v>1</v>
      </c>
      <c r="J72" s="124" t="s">
        <v>15</v>
      </c>
      <c r="K72" s="124" t="s">
        <v>103</v>
      </c>
      <c r="L72" s="121" t="s">
        <v>105</v>
      </c>
      <c r="M72" s="121" t="s">
        <v>17</v>
      </c>
    </row>
    <row r="73" spans="1:13" x14ac:dyDescent="0.2">
      <c r="A73" s="121" t="s">
        <v>101</v>
      </c>
      <c r="B73" s="121" t="s">
        <v>102</v>
      </c>
      <c r="C73" s="121" t="s">
        <v>11</v>
      </c>
      <c r="D73" s="121" t="s">
        <v>12</v>
      </c>
      <c r="E73" s="122">
        <v>43087</v>
      </c>
      <c r="F73" s="123">
        <v>30.264192000000001</v>
      </c>
      <c r="G73" s="124" t="s">
        <v>16</v>
      </c>
      <c r="H73" s="121" t="s">
        <v>18</v>
      </c>
      <c r="I73" s="124">
        <v>1</v>
      </c>
      <c r="J73" s="124" t="s">
        <v>15</v>
      </c>
      <c r="K73" s="124" t="s">
        <v>103</v>
      </c>
      <c r="L73" s="121" t="s">
        <v>105</v>
      </c>
      <c r="M73" s="121" t="s">
        <v>17</v>
      </c>
    </row>
    <row r="74" spans="1:13" x14ac:dyDescent="0.2">
      <c r="A74" s="121" t="s">
        <v>101</v>
      </c>
      <c r="B74" s="121" t="s">
        <v>102</v>
      </c>
      <c r="C74" s="121" t="s">
        <v>11</v>
      </c>
      <c r="D74" s="121" t="s">
        <v>12</v>
      </c>
      <c r="E74" s="122">
        <v>43081</v>
      </c>
      <c r="F74" s="123">
        <v>29.751000000000001</v>
      </c>
      <c r="G74" s="124" t="s">
        <v>13</v>
      </c>
      <c r="H74" s="121" t="s">
        <v>14</v>
      </c>
      <c r="I74" s="124">
        <v>1</v>
      </c>
      <c r="J74" s="124" t="s">
        <v>15</v>
      </c>
      <c r="K74" s="124" t="s">
        <v>103</v>
      </c>
      <c r="L74" s="121" t="s">
        <v>105</v>
      </c>
      <c r="M74" s="121" t="s">
        <v>14</v>
      </c>
    </row>
    <row r="75" spans="1:13" x14ac:dyDescent="0.2">
      <c r="A75" s="121" t="s">
        <v>101</v>
      </c>
      <c r="B75" s="121" t="s">
        <v>102</v>
      </c>
      <c r="C75" s="121" t="s">
        <v>11</v>
      </c>
      <c r="D75" s="121" t="s">
        <v>12</v>
      </c>
      <c r="E75" s="122">
        <v>43081</v>
      </c>
      <c r="F75" s="123">
        <v>279.8831275</v>
      </c>
      <c r="G75" s="124" t="s">
        <v>16</v>
      </c>
      <c r="H75" s="121" t="s">
        <v>14</v>
      </c>
      <c r="I75" s="124">
        <v>1</v>
      </c>
      <c r="J75" s="124" t="s">
        <v>15</v>
      </c>
      <c r="K75" s="124" t="s">
        <v>103</v>
      </c>
      <c r="L75" s="121" t="s">
        <v>105</v>
      </c>
      <c r="M75" s="121" t="s">
        <v>14</v>
      </c>
    </row>
    <row r="76" spans="1:13" x14ac:dyDescent="0.2">
      <c r="A76" s="121" t="s">
        <v>101</v>
      </c>
      <c r="B76" s="121" t="s">
        <v>102</v>
      </c>
      <c r="C76" s="121" t="s">
        <v>11</v>
      </c>
      <c r="D76" s="121" t="s">
        <v>12</v>
      </c>
      <c r="E76" s="122">
        <v>43081</v>
      </c>
      <c r="F76" s="123">
        <v>2.8</v>
      </c>
      <c r="G76" s="124" t="s">
        <v>13</v>
      </c>
      <c r="H76" s="121" t="s">
        <v>18</v>
      </c>
      <c r="I76" s="124">
        <v>1</v>
      </c>
      <c r="J76" s="124" t="s">
        <v>15</v>
      </c>
      <c r="K76" s="124" t="s">
        <v>103</v>
      </c>
      <c r="L76" s="121" t="s">
        <v>105</v>
      </c>
      <c r="M76" s="121" t="s">
        <v>17</v>
      </c>
    </row>
    <row r="77" spans="1:13" x14ac:dyDescent="0.2">
      <c r="A77" s="121" t="s">
        <v>101</v>
      </c>
      <c r="B77" s="121" t="s">
        <v>102</v>
      </c>
      <c r="C77" s="121" t="s">
        <v>11</v>
      </c>
      <c r="D77" s="121" t="s">
        <v>12</v>
      </c>
      <c r="E77" s="122">
        <v>43081</v>
      </c>
      <c r="F77" s="123">
        <v>35.027999999999999</v>
      </c>
      <c r="G77" s="124" t="s">
        <v>16</v>
      </c>
      <c r="H77" s="121" t="s">
        <v>18</v>
      </c>
      <c r="I77" s="124">
        <v>1</v>
      </c>
      <c r="J77" s="124" t="s">
        <v>15</v>
      </c>
      <c r="K77" s="124" t="s">
        <v>103</v>
      </c>
      <c r="L77" s="121" t="s">
        <v>105</v>
      </c>
      <c r="M77" s="121" t="s">
        <v>17</v>
      </c>
    </row>
    <row r="78" spans="1:13" x14ac:dyDescent="0.2">
      <c r="A78" s="121" t="s">
        <v>101</v>
      </c>
      <c r="B78" s="121" t="s">
        <v>102</v>
      </c>
      <c r="C78" s="121" t="s">
        <v>11</v>
      </c>
      <c r="D78" s="121" t="s">
        <v>12</v>
      </c>
      <c r="E78" s="122">
        <v>43074</v>
      </c>
      <c r="F78" s="123">
        <v>36.174999999999997</v>
      </c>
      <c r="G78" s="124" t="s">
        <v>13</v>
      </c>
      <c r="H78" s="121" t="s">
        <v>14</v>
      </c>
      <c r="I78" s="124">
        <v>1</v>
      </c>
      <c r="J78" s="124" t="s">
        <v>15</v>
      </c>
      <c r="K78" s="124" t="s">
        <v>103</v>
      </c>
      <c r="L78" s="121" t="s">
        <v>105</v>
      </c>
      <c r="M78" s="121" t="s">
        <v>14</v>
      </c>
    </row>
    <row r="79" spans="1:13" x14ac:dyDescent="0.2">
      <c r="A79" s="121" t="s">
        <v>101</v>
      </c>
      <c r="B79" s="121" t="s">
        <v>102</v>
      </c>
      <c r="C79" s="121" t="s">
        <v>11</v>
      </c>
      <c r="D79" s="121" t="s">
        <v>12</v>
      </c>
      <c r="E79" s="122">
        <v>43074</v>
      </c>
      <c r="F79" s="123">
        <v>343.63573050000002</v>
      </c>
      <c r="G79" s="124" t="s">
        <v>16</v>
      </c>
      <c r="H79" s="121" t="s">
        <v>14</v>
      </c>
      <c r="I79" s="124">
        <v>1</v>
      </c>
      <c r="J79" s="124" t="s">
        <v>15</v>
      </c>
      <c r="K79" s="124" t="s">
        <v>103</v>
      </c>
      <c r="L79" s="121" t="s">
        <v>105</v>
      </c>
      <c r="M79" s="121" t="s">
        <v>14</v>
      </c>
    </row>
    <row r="80" spans="1:13" x14ac:dyDescent="0.2">
      <c r="A80" s="121" t="s">
        <v>101</v>
      </c>
      <c r="B80" s="121" t="s">
        <v>102</v>
      </c>
      <c r="C80" s="121" t="s">
        <v>11</v>
      </c>
      <c r="D80" s="121" t="s">
        <v>12</v>
      </c>
      <c r="E80" s="122">
        <v>43074</v>
      </c>
      <c r="F80" s="123">
        <v>4.78</v>
      </c>
      <c r="G80" s="124" t="s">
        <v>13</v>
      </c>
      <c r="H80" s="121" t="s">
        <v>18</v>
      </c>
      <c r="I80" s="124">
        <v>1</v>
      </c>
      <c r="J80" s="124" t="s">
        <v>15</v>
      </c>
      <c r="K80" s="124" t="s">
        <v>103</v>
      </c>
      <c r="L80" s="121" t="s">
        <v>105</v>
      </c>
      <c r="M80" s="121" t="s">
        <v>17</v>
      </c>
    </row>
    <row r="81" spans="1:13" x14ac:dyDescent="0.2">
      <c r="A81" s="121" t="s">
        <v>101</v>
      </c>
      <c r="B81" s="121" t="s">
        <v>102</v>
      </c>
      <c r="C81" s="121" t="s">
        <v>11</v>
      </c>
      <c r="D81" s="121" t="s">
        <v>12</v>
      </c>
      <c r="E81" s="122">
        <v>43074</v>
      </c>
      <c r="F81" s="123">
        <v>50.230151999999997</v>
      </c>
      <c r="G81" s="124" t="s">
        <v>16</v>
      </c>
      <c r="H81" s="121" t="s">
        <v>18</v>
      </c>
      <c r="I81" s="124">
        <v>1</v>
      </c>
      <c r="J81" s="124" t="s">
        <v>15</v>
      </c>
      <c r="K81" s="124" t="s">
        <v>103</v>
      </c>
      <c r="L81" s="121" t="s">
        <v>105</v>
      </c>
      <c r="M81" s="121" t="s">
        <v>17</v>
      </c>
    </row>
    <row r="82" spans="1:13" x14ac:dyDescent="0.2">
      <c r="A82" s="121" t="s">
        <v>101</v>
      </c>
      <c r="B82" s="121" t="s">
        <v>102</v>
      </c>
      <c r="C82" s="121" t="s">
        <v>11</v>
      </c>
      <c r="D82" s="121" t="s">
        <v>12</v>
      </c>
      <c r="E82" s="122">
        <v>43067</v>
      </c>
      <c r="F82" s="123">
        <v>34.201000000000001</v>
      </c>
      <c r="G82" s="124" t="s">
        <v>13</v>
      </c>
      <c r="H82" s="121" t="s">
        <v>14</v>
      </c>
      <c r="I82" s="124">
        <v>1</v>
      </c>
      <c r="J82" s="124" t="s">
        <v>15</v>
      </c>
      <c r="K82" s="124" t="s">
        <v>103</v>
      </c>
      <c r="L82" s="121" t="s">
        <v>105</v>
      </c>
      <c r="M82" s="121" t="s">
        <v>14</v>
      </c>
    </row>
    <row r="83" spans="1:13" x14ac:dyDescent="0.2">
      <c r="A83" s="121" t="s">
        <v>101</v>
      </c>
      <c r="B83" s="121" t="s">
        <v>102</v>
      </c>
      <c r="C83" s="121" t="s">
        <v>11</v>
      </c>
      <c r="D83" s="121" t="s">
        <v>12</v>
      </c>
      <c r="E83" s="122">
        <v>43067</v>
      </c>
      <c r="F83" s="123">
        <v>327.45131830000003</v>
      </c>
      <c r="G83" s="124" t="s">
        <v>16</v>
      </c>
      <c r="H83" s="121" t="s">
        <v>14</v>
      </c>
      <c r="I83" s="124">
        <v>1</v>
      </c>
      <c r="J83" s="124" t="s">
        <v>15</v>
      </c>
      <c r="K83" s="124" t="s">
        <v>103</v>
      </c>
      <c r="L83" s="121" t="s">
        <v>105</v>
      </c>
      <c r="M83" s="121" t="s">
        <v>14</v>
      </c>
    </row>
    <row r="84" spans="1:13" x14ac:dyDescent="0.2">
      <c r="A84" s="121" t="s">
        <v>101</v>
      </c>
      <c r="B84" s="121" t="s">
        <v>102</v>
      </c>
      <c r="C84" s="121" t="s">
        <v>11</v>
      </c>
      <c r="D84" s="121" t="s">
        <v>12</v>
      </c>
      <c r="E84" s="122">
        <v>43067</v>
      </c>
      <c r="F84" s="123">
        <v>3.05</v>
      </c>
      <c r="G84" s="124" t="s">
        <v>13</v>
      </c>
      <c r="H84" s="121" t="s">
        <v>18</v>
      </c>
      <c r="I84" s="124">
        <v>1</v>
      </c>
      <c r="J84" s="124" t="s">
        <v>15</v>
      </c>
      <c r="K84" s="124" t="s">
        <v>103</v>
      </c>
      <c r="L84" s="121" t="s">
        <v>105</v>
      </c>
      <c r="M84" s="121" t="s">
        <v>17</v>
      </c>
    </row>
    <row r="85" spans="1:13" x14ac:dyDescent="0.2">
      <c r="A85" s="121" t="s">
        <v>101</v>
      </c>
      <c r="B85" s="121" t="s">
        <v>102</v>
      </c>
      <c r="C85" s="121" t="s">
        <v>11</v>
      </c>
      <c r="D85" s="121" t="s">
        <v>12</v>
      </c>
      <c r="E85" s="122">
        <v>43067</v>
      </c>
      <c r="F85" s="123">
        <v>40.953569999999999</v>
      </c>
      <c r="G85" s="124" t="s">
        <v>16</v>
      </c>
      <c r="H85" s="121" t="s">
        <v>18</v>
      </c>
      <c r="I85" s="124">
        <v>1</v>
      </c>
      <c r="J85" s="124" t="s">
        <v>15</v>
      </c>
      <c r="K85" s="124" t="s">
        <v>103</v>
      </c>
      <c r="L85" s="121" t="s">
        <v>105</v>
      </c>
      <c r="M85" s="121" t="s">
        <v>17</v>
      </c>
    </row>
    <row r="86" spans="1:13" x14ac:dyDescent="0.2">
      <c r="A86" s="121" t="s">
        <v>101</v>
      </c>
      <c r="B86" s="121" t="s">
        <v>102</v>
      </c>
      <c r="C86" s="121" t="s">
        <v>11</v>
      </c>
      <c r="D86" s="121" t="s">
        <v>12</v>
      </c>
      <c r="E86" s="122">
        <v>43060</v>
      </c>
      <c r="F86" s="123">
        <v>31.58</v>
      </c>
      <c r="G86" s="124" t="s">
        <v>13</v>
      </c>
      <c r="H86" s="121" t="s">
        <v>14</v>
      </c>
      <c r="I86" s="124">
        <v>1</v>
      </c>
      <c r="J86" s="124" t="s">
        <v>15</v>
      </c>
      <c r="K86" s="124" t="s">
        <v>103</v>
      </c>
      <c r="L86" s="121" t="s">
        <v>105</v>
      </c>
      <c r="M86" s="121" t="s">
        <v>14</v>
      </c>
    </row>
    <row r="87" spans="1:13" x14ac:dyDescent="0.2">
      <c r="A87" s="121" t="s">
        <v>101</v>
      </c>
      <c r="B87" s="121" t="s">
        <v>102</v>
      </c>
      <c r="C87" s="121" t="s">
        <v>11</v>
      </c>
      <c r="D87" s="121" t="s">
        <v>12</v>
      </c>
      <c r="E87" s="122">
        <v>43060</v>
      </c>
      <c r="F87" s="123">
        <v>292.87544639999999</v>
      </c>
      <c r="G87" s="124" t="s">
        <v>16</v>
      </c>
      <c r="H87" s="121" t="s">
        <v>14</v>
      </c>
      <c r="I87" s="124">
        <v>1</v>
      </c>
      <c r="J87" s="124" t="s">
        <v>15</v>
      </c>
      <c r="K87" s="124" t="s">
        <v>103</v>
      </c>
      <c r="L87" s="121" t="s">
        <v>105</v>
      </c>
      <c r="M87" s="121" t="s">
        <v>14</v>
      </c>
    </row>
    <row r="88" spans="1:13" x14ac:dyDescent="0.2">
      <c r="A88" s="121" t="s">
        <v>101</v>
      </c>
      <c r="B88" s="121" t="s">
        <v>102</v>
      </c>
      <c r="C88" s="121" t="s">
        <v>11</v>
      </c>
      <c r="D88" s="121" t="s">
        <v>12</v>
      </c>
      <c r="E88" s="122">
        <v>43060</v>
      </c>
      <c r="F88" s="123">
        <v>2.218</v>
      </c>
      <c r="G88" s="124" t="s">
        <v>13</v>
      </c>
      <c r="H88" s="121" t="s">
        <v>18</v>
      </c>
      <c r="I88" s="124">
        <v>1</v>
      </c>
      <c r="J88" s="124" t="s">
        <v>15</v>
      </c>
      <c r="K88" s="124" t="s">
        <v>103</v>
      </c>
      <c r="L88" s="121" t="s">
        <v>105</v>
      </c>
      <c r="M88" s="121" t="s">
        <v>17</v>
      </c>
    </row>
    <row r="89" spans="1:13" x14ac:dyDescent="0.2">
      <c r="A89" s="121" t="s">
        <v>101</v>
      </c>
      <c r="B89" s="121" t="s">
        <v>102</v>
      </c>
      <c r="C89" s="121" t="s">
        <v>11</v>
      </c>
      <c r="D89" s="121" t="s">
        <v>12</v>
      </c>
      <c r="E89" s="122">
        <v>43060</v>
      </c>
      <c r="F89" s="123">
        <v>25.712386800000001</v>
      </c>
      <c r="G89" s="124" t="s">
        <v>16</v>
      </c>
      <c r="H89" s="121" t="s">
        <v>18</v>
      </c>
      <c r="I89" s="124">
        <v>1</v>
      </c>
      <c r="J89" s="124" t="s">
        <v>15</v>
      </c>
      <c r="K89" s="124" t="s">
        <v>103</v>
      </c>
      <c r="L89" s="121" t="s">
        <v>105</v>
      </c>
      <c r="M89" s="121" t="s">
        <v>17</v>
      </c>
    </row>
    <row r="90" spans="1:13" x14ac:dyDescent="0.2">
      <c r="A90" s="121" t="s">
        <v>101</v>
      </c>
      <c r="B90" s="121" t="s">
        <v>102</v>
      </c>
      <c r="C90" s="121" t="s">
        <v>11</v>
      </c>
      <c r="D90" s="121" t="s">
        <v>12</v>
      </c>
      <c r="E90" s="122">
        <v>43053</v>
      </c>
      <c r="F90" s="123">
        <v>46.661999999999999</v>
      </c>
      <c r="G90" s="124" t="s">
        <v>13</v>
      </c>
      <c r="H90" s="121" t="s">
        <v>14</v>
      </c>
      <c r="I90" s="124">
        <v>1</v>
      </c>
      <c r="J90" s="124" t="s">
        <v>15</v>
      </c>
      <c r="K90" s="124" t="s">
        <v>103</v>
      </c>
      <c r="L90" s="121" t="s">
        <v>105</v>
      </c>
      <c r="M90" s="121" t="s">
        <v>14</v>
      </c>
    </row>
    <row r="91" spans="1:13" x14ac:dyDescent="0.2">
      <c r="A91" s="121" t="s">
        <v>101</v>
      </c>
      <c r="B91" s="121" t="s">
        <v>102</v>
      </c>
      <c r="C91" s="121" t="s">
        <v>11</v>
      </c>
      <c r="D91" s="121" t="s">
        <v>12</v>
      </c>
      <c r="E91" s="122">
        <v>43053</v>
      </c>
      <c r="F91" s="123">
        <v>473.99819539999999</v>
      </c>
      <c r="G91" s="124" t="s">
        <v>16</v>
      </c>
      <c r="H91" s="121" t="s">
        <v>14</v>
      </c>
      <c r="I91" s="124">
        <v>1</v>
      </c>
      <c r="J91" s="124" t="s">
        <v>15</v>
      </c>
      <c r="K91" s="124" t="s">
        <v>103</v>
      </c>
      <c r="L91" s="121" t="s">
        <v>105</v>
      </c>
      <c r="M91" s="121" t="s">
        <v>14</v>
      </c>
    </row>
    <row r="92" spans="1:13" x14ac:dyDescent="0.2">
      <c r="A92" s="121" t="s">
        <v>101</v>
      </c>
      <c r="B92" s="121" t="s">
        <v>102</v>
      </c>
      <c r="C92" s="121" t="s">
        <v>11</v>
      </c>
      <c r="D92" s="121" t="s">
        <v>12</v>
      </c>
      <c r="E92" s="122">
        <v>43053</v>
      </c>
      <c r="F92" s="123">
        <v>3.85</v>
      </c>
      <c r="G92" s="124" t="s">
        <v>13</v>
      </c>
      <c r="H92" s="121" t="s">
        <v>18</v>
      </c>
      <c r="I92" s="124">
        <v>1</v>
      </c>
      <c r="J92" s="124" t="s">
        <v>15</v>
      </c>
      <c r="K92" s="124" t="s">
        <v>103</v>
      </c>
      <c r="L92" s="121" t="s">
        <v>105</v>
      </c>
      <c r="M92" s="121" t="s">
        <v>17</v>
      </c>
    </row>
    <row r="93" spans="1:13" x14ac:dyDescent="0.2">
      <c r="A93" s="121" t="s">
        <v>101</v>
      </c>
      <c r="B93" s="121" t="s">
        <v>102</v>
      </c>
      <c r="C93" s="121" t="s">
        <v>11</v>
      </c>
      <c r="D93" s="121" t="s">
        <v>12</v>
      </c>
      <c r="E93" s="122">
        <v>43053</v>
      </c>
      <c r="F93" s="123">
        <v>52.979849999999999</v>
      </c>
      <c r="G93" s="124" t="s">
        <v>16</v>
      </c>
      <c r="H93" s="121" t="s">
        <v>18</v>
      </c>
      <c r="I93" s="124">
        <v>1</v>
      </c>
      <c r="J93" s="124" t="s">
        <v>15</v>
      </c>
      <c r="K93" s="124" t="s">
        <v>103</v>
      </c>
      <c r="L93" s="121" t="s">
        <v>105</v>
      </c>
      <c r="M93" s="121" t="s">
        <v>17</v>
      </c>
    </row>
    <row r="94" spans="1:13" x14ac:dyDescent="0.2">
      <c r="A94" s="121" t="s">
        <v>101</v>
      </c>
      <c r="B94" s="121" t="s">
        <v>102</v>
      </c>
      <c r="C94" s="121" t="s">
        <v>11</v>
      </c>
      <c r="D94" s="121" t="s">
        <v>12</v>
      </c>
      <c r="E94" s="122">
        <v>43046</v>
      </c>
      <c r="F94" s="123">
        <v>30.821000000000002</v>
      </c>
      <c r="G94" s="124" t="s">
        <v>13</v>
      </c>
      <c r="H94" s="121" t="s">
        <v>14</v>
      </c>
      <c r="I94" s="124">
        <v>1</v>
      </c>
      <c r="J94" s="124" t="s">
        <v>15</v>
      </c>
      <c r="K94" s="124" t="s">
        <v>103</v>
      </c>
      <c r="L94" s="121" t="s">
        <v>105</v>
      </c>
      <c r="M94" s="121" t="s">
        <v>14</v>
      </c>
    </row>
    <row r="95" spans="1:13" x14ac:dyDescent="0.2">
      <c r="A95" s="121" t="s">
        <v>101</v>
      </c>
      <c r="B95" s="121" t="s">
        <v>102</v>
      </c>
      <c r="C95" s="121" t="s">
        <v>11</v>
      </c>
      <c r="D95" s="121" t="s">
        <v>12</v>
      </c>
      <c r="E95" s="122">
        <v>43046</v>
      </c>
      <c r="F95" s="123">
        <v>321.82301919999998</v>
      </c>
      <c r="G95" s="124" t="s">
        <v>16</v>
      </c>
      <c r="H95" s="121" t="s">
        <v>14</v>
      </c>
      <c r="I95" s="124">
        <v>1</v>
      </c>
      <c r="J95" s="124" t="s">
        <v>15</v>
      </c>
      <c r="K95" s="124" t="s">
        <v>103</v>
      </c>
      <c r="L95" s="121" t="s">
        <v>105</v>
      </c>
      <c r="M95" s="121" t="s">
        <v>14</v>
      </c>
    </row>
    <row r="96" spans="1:13" x14ac:dyDescent="0.2">
      <c r="A96" s="121" t="s">
        <v>101</v>
      </c>
      <c r="B96" s="121" t="s">
        <v>102</v>
      </c>
      <c r="C96" s="121" t="s">
        <v>11</v>
      </c>
      <c r="D96" s="121" t="s">
        <v>12</v>
      </c>
      <c r="E96" s="122">
        <v>43046</v>
      </c>
      <c r="F96" s="123">
        <v>3.58</v>
      </c>
      <c r="G96" s="124" t="s">
        <v>13</v>
      </c>
      <c r="H96" s="121" t="s">
        <v>18</v>
      </c>
      <c r="I96" s="124">
        <v>1</v>
      </c>
      <c r="J96" s="124" t="s">
        <v>15</v>
      </c>
      <c r="K96" s="124" t="s">
        <v>103</v>
      </c>
      <c r="L96" s="121" t="s">
        <v>105</v>
      </c>
      <c r="M96" s="121" t="s">
        <v>17</v>
      </c>
    </row>
    <row r="97" spans="1:13" x14ac:dyDescent="0.2">
      <c r="A97" s="121" t="s">
        <v>101</v>
      </c>
      <c r="B97" s="121" t="s">
        <v>102</v>
      </c>
      <c r="C97" s="121" t="s">
        <v>11</v>
      </c>
      <c r="D97" s="121" t="s">
        <v>12</v>
      </c>
      <c r="E97" s="122">
        <v>43046</v>
      </c>
      <c r="F97" s="123">
        <v>51.354384000000003</v>
      </c>
      <c r="G97" s="124" t="s">
        <v>16</v>
      </c>
      <c r="H97" s="121" t="s">
        <v>18</v>
      </c>
      <c r="I97" s="124">
        <v>1</v>
      </c>
      <c r="J97" s="124" t="s">
        <v>15</v>
      </c>
      <c r="K97" s="124" t="s">
        <v>103</v>
      </c>
      <c r="L97" s="121" t="s">
        <v>105</v>
      </c>
      <c r="M97" s="121" t="s">
        <v>17</v>
      </c>
    </row>
    <row r="98" spans="1:13" x14ac:dyDescent="0.2">
      <c r="A98" s="121" t="s">
        <v>101</v>
      </c>
      <c r="B98" s="121" t="s">
        <v>102</v>
      </c>
      <c r="C98" s="121" t="s">
        <v>11</v>
      </c>
      <c r="D98" s="121" t="s">
        <v>12</v>
      </c>
      <c r="E98" s="122">
        <v>43040</v>
      </c>
      <c r="F98" s="123">
        <v>26.363</v>
      </c>
      <c r="G98" s="124" t="s">
        <v>13</v>
      </c>
      <c r="H98" s="121" t="s">
        <v>14</v>
      </c>
      <c r="I98" s="124">
        <v>1</v>
      </c>
      <c r="J98" s="124" t="s">
        <v>15</v>
      </c>
      <c r="K98" s="124" t="s">
        <v>103</v>
      </c>
      <c r="L98" s="121" t="s">
        <v>105</v>
      </c>
      <c r="M98" s="121" t="s">
        <v>14</v>
      </c>
    </row>
    <row r="99" spans="1:13" x14ac:dyDescent="0.2">
      <c r="A99" s="121" t="s">
        <v>101</v>
      </c>
      <c r="B99" s="121" t="s">
        <v>102</v>
      </c>
      <c r="C99" s="121" t="s">
        <v>11</v>
      </c>
      <c r="D99" s="121" t="s">
        <v>12</v>
      </c>
      <c r="E99" s="122">
        <v>43040</v>
      </c>
      <c r="F99" s="123">
        <v>286.92698309999997</v>
      </c>
      <c r="G99" s="124" t="s">
        <v>16</v>
      </c>
      <c r="H99" s="121" t="s">
        <v>14</v>
      </c>
      <c r="I99" s="124">
        <v>1</v>
      </c>
      <c r="J99" s="124" t="s">
        <v>15</v>
      </c>
      <c r="K99" s="124" t="s">
        <v>103</v>
      </c>
      <c r="L99" s="121" t="s">
        <v>105</v>
      </c>
      <c r="M99" s="121" t="s">
        <v>14</v>
      </c>
    </row>
    <row r="100" spans="1:13" x14ac:dyDescent="0.2">
      <c r="A100" s="121" t="s">
        <v>101</v>
      </c>
      <c r="B100" s="121" t="s">
        <v>102</v>
      </c>
      <c r="C100" s="121" t="s">
        <v>11</v>
      </c>
      <c r="D100" s="121" t="s">
        <v>12</v>
      </c>
      <c r="E100" s="122">
        <v>43040</v>
      </c>
      <c r="F100" s="123">
        <v>3.16</v>
      </c>
      <c r="G100" s="124" t="s">
        <v>13</v>
      </c>
      <c r="H100" s="121" t="s">
        <v>18</v>
      </c>
      <c r="I100" s="124">
        <v>1</v>
      </c>
      <c r="J100" s="124" t="s">
        <v>15</v>
      </c>
      <c r="K100" s="124" t="s">
        <v>103</v>
      </c>
      <c r="L100" s="121" t="s">
        <v>105</v>
      </c>
      <c r="M100" s="121" t="s">
        <v>17</v>
      </c>
    </row>
    <row r="101" spans="1:13" x14ac:dyDescent="0.2">
      <c r="A101" s="121" t="s">
        <v>101</v>
      </c>
      <c r="B101" s="121" t="s">
        <v>102</v>
      </c>
      <c r="C101" s="121" t="s">
        <v>11</v>
      </c>
      <c r="D101" s="121" t="s">
        <v>12</v>
      </c>
      <c r="E101" s="122">
        <v>43040</v>
      </c>
      <c r="F101" s="123">
        <v>47.965007999999997</v>
      </c>
      <c r="G101" s="124" t="s">
        <v>16</v>
      </c>
      <c r="H101" s="121" t="s">
        <v>18</v>
      </c>
      <c r="I101" s="124">
        <v>1</v>
      </c>
      <c r="J101" s="124" t="s">
        <v>15</v>
      </c>
      <c r="K101" s="124" t="s">
        <v>103</v>
      </c>
      <c r="L101" s="121" t="s">
        <v>105</v>
      </c>
      <c r="M101" s="121" t="s">
        <v>17</v>
      </c>
    </row>
    <row r="102" spans="1:13" x14ac:dyDescent="0.2">
      <c r="A102" s="121" t="s">
        <v>101</v>
      </c>
      <c r="B102" s="121" t="s">
        <v>102</v>
      </c>
      <c r="C102" s="121" t="s">
        <v>11</v>
      </c>
      <c r="D102" s="121" t="s">
        <v>12</v>
      </c>
      <c r="E102" s="122">
        <v>43033</v>
      </c>
      <c r="F102" s="123">
        <v>28.195</v>
      </c>
      <c r="G102" s="124" t="s">
        <v>13</v>
      </c>
      <c r="H102" s="121" t="s">
        <v>14</v>
      </c>
      <c r="I102" s="124">
        <v>1</v>
      </c>
      <c r="J102" s="124" t="s">
        <v>15</v>
      </c>
      <c r="K102" s="124" t="s">
        <v>103</v>
      </c>
      <c r="L102" s="121" t="s">
        <v>105</v>
      </c>
      <c r="M102" s="121" t="s">
        <v>14</v>
      </c>
    </row>
    <row r="103" spans="1:13" x14ac:dyDescent="0.2">
      <c r="A103" s="121" t="s">
        <v>101</v>
      </c>
      <c r="B103" s="121" t="s">
        <v>102</v>
      </c>
      <c r="C103" s="121" t="s">
        <v>11</v>
      </c>
      <c r="D103" s="121" t="s">
        <v>12</v>
      </c>
      <c r="E103" s="122">
        <v>43033</v>
      </c>
      <c r="F103" s="123">
        <v>325.44247919999998</v>
      </c>
      <c r="G103" s="124" t="s">
        <v>16</v>
      </c>
      <c r="H103" s="121" t="s">
        <v>14</v>
      </c>
      <c r="I103" s="124">
        <v>1</v>
      </c>
      <c r="J103" s="124" t="s">
        <v>15</v>
      </c>
      <c r="K103" s="124" t="s">
        <v>103</v>
      </c>
      <c r="L103" s="121" t="s">
        <v>105</v>
      </c>
      <c r="M103" s="121" t="s">
        <v>14</v>
      </c>
    </row>
    <row r="104" spans="1:13" x14ac:dyDescent="0.2">
      <c r="A104" s="121" t="s">
        <v>101</v>
      </c>
      <c r="B104" s="121" t="s">
        <v>102</v>
      </c>
      <c r="C104" s="121" t="s">
        <v>11</v>
      </c>
      <c r="D104" s="121" t="s">
        <v>12</v>
      </c>
      <c r="E104" s="122">
        <v>43033</v>
      </c>
      <c r="F104" s="123">
        <v>2.89</v>
      </c>
      <c r="G104" s="124" t="s">
        <v>13</v>
      </c>
      <c r="H104" s="121" t="s">
        <v>18</v>
      </c>
      <c r="I104" s="124">
        <v>1</v>
      </c>
      <c r="J104" s="124" t="s">
        <v>15</v>
      </c>
      <c r="K104" s="124" t="s">
        <v>103</v>
      </c>
      <c r="L104" s="121" t="s">
        <v>105</v>
      </c>
      <c r="M104" s="121" t="s">
        <v>17</v>
      </c>
    </row>
    <row r="105" spans="1:13" x14ac:dyDescent="0.2">
      <c r="A105" s="121" t="s">
        <v>101</v>
      </c>
      <c r="B105" s="121" t="s">
        <v>102</v>
      </c>
      <c r="C105" s="121" t="s">
        <v>11</v>
      </c>
      <c r="D105" s="121" t="s">
        <v>12</v>
      </c>
      <c r="E105" s="122">
        <v>43033</v>
      </c>
      <c r="F105" s="123">
        <v>47.241095999999999</v>
      </c>
      <c r="G105" s="124" t="s">
        <v>16</v>
      </c>
      <c r="H105" s="121" t="s">
        <v>18</v>
      </c>
      <c r="I105" s="124">
        <v>1</v>
      </c>
      <c r="J105" s="124" t="s">
        <v>15</v>
      </c>
      <c r="K105" s="124" t="s">
        <v>103</v>
      </c>
      <c r="L105" s="121" t="s">
        <v>105</v>
      </c>
      <c r="M105" s="121" t="s">
        <v>17</v>
      </c>
    </row>
    <row r="106" spans="1:13" x14ac:dyDescent="0.2">
      <c r="A106" s="121" t="s">
        <v>101</v>
      </c>
      <c r="B106" s="121" t="s">
        <v>102</v>
      </c>
      <c r="C106" s="121" t="s">
        <v>11</v>
      </c>
      <c r="D106" s="121" t="s">
        <v>12</v>
      </c>
      <c r="E106" s="122">
        <v>43025</v>
      </c>
      <c r="F106" s="123">
        <v>27.8</v>
      </c>
      <c r="G106" s="124" t="s">
        <v>13</v>
      </c>
      <c r="H106" s="121" t="s">
        <v>14</v>
      </c>
      <c r="I106" s="124">
        <v>1</v>
      </c>
      <c r="J106" s="124" t="s">
        <v>15</v>
      </c>
      <c r="K106" s="124" t="s">
        <v>103</v>
      </c>
      <c r="L106" s="121" t="s">
        <v>105</v>
      </c>
      <c r="M106" s="121" t="s">
        <v>14</v>
      </c>
    </row>
    <row r="107" spans="1:13" x14ac:dyDescent="0.2">
      <c r="A107" s="121" t="s">
        <v>101</v>
      </c>
      <c r="B107" s="121" t="s">
        <v>102</v>
      </c>
      <c r="C107" s="121" t="s">
        <v>11</v>
      </c>
      <c r="D107" s="121" t="s">
        <v>12</v>
      </c>
      <c r="E107" s="122">
        <v>43025</v>
      </c>
      <c r="F107" s="123">
        <v>330.62095199999999</v>
      </c>
      <c r="G107" s="124" t="s">
        <v>16</v>
      </c>
      <c r="H107" s="121" t="s">
        <v>14</v>
      </c>
      <c r="I107" s="124">
        <v>1</v>
      </c>
      <c r="J107" s="124" t="s">
        <v>15</v>
      </c>
      <c r="K107" s="124" t="s">
        <v>103</v>
      </c>
      <c r="L107" s="121" t="s">
        <v>105</v>
      </c>
      <c r="M107" s="121" t="s">
        <v>14</v>
      </c>
    </row>
    <row r="108" spans="1:13" x14ac:dyDescent="0.2">
      <c r="A108" s="121" t="s">
        <v>101</v>
      </c>
      <c r="B108" s="121" t="s">
        <v>102</v>
      </c>
      <c r="C108" s="121" t="s">
        <v>11</v>
      </c>
      <c r="D108" s="121" t="s">
        <v>12</v>
      </c>
      <c r="E108" s="122">
        <v>43025</v>
      </c>
      <c r="F108" s="123">
        <v>3.3</v>
      </c>
      <c r="G108" s="124" t="s">
        <v>13</v>
      </c>
      <c r="H108" s="121" t="s">
        <v>18</v>
      </c>
      <c r="I108" s="124">
        <v>1</v>
      </c>
      <c r="J108" s="124" t="s">
        <v>15</v>
      </c>
      <c r="K108" s="124" t="s">
        <v>103</v>
      </c>
      <c r="L108" s="121" t="s">
        <v>105</v>
      </c>
      <c r="M108" s="121" t="s">
        <v>17</v>
      </c>
    </row>
    <row r="109" spans="1:13" x14ac:dyDescent="0.2">
      <c r="A109" s="121" t="s">
        <v>101</v>
      </c>
      <c r="B109" s="121" t="s">
        <v>102</v>
      </c>
      <c r="C109" s="121" t="s">
        <v>11</v>
      </c>
      <c r="D109" s="121" t="s">
        <v>12</v>
      </c>
      <c r="E109" s="122">
        <v>43025</v>
      </c>
      <c r="F109" s="123">
        <v>56.420099999999998</v>
      </c>
      <c r="G109" s="124" t="s">
        <v>16</v>
      </c>
      <c r="H109" s="121" t="s">
        <v>18</v>
      </c>
      <c r="I109" s="124">
        <v>1</v>
      </c>
      <c r="J109" s="124" t="s">
        <v>15</v>
      </c>
      <c r="K109" s="124" t="s">
        <v>103</v>
      </c>
      <c r="L109" s="121" t="s">
        <v>105</v>
      </c>
      <c r="M109" s="121" t="s">
        <v>17</v>
      </c>
    </row>
    <row r="110" spans="1:13" x14ac:dyDescent="0.2">
      <c r="A110" s="121" t="s">
        <v>101</v>
      </c>
      <c r="B110" s="121" t="s">
        <v>102</v>
      </c>
      <c r="C110" s="121" t="s">
        <v>11</v>
      </c>
      <c r="D110" s="121" t="s">
        <v>12</v>
      </c>
      <c r="E110" s="122">
        <v>43018</v>
      </c>
      <c r="F110" s="123">
        <v>22.02</v>
      </c>
      <c r="G110" s="124" t="s">
        <v>13</v>
      </c>
      <c r="H110" s="121" t="s">
        <v>14</v>
      </c>
      <c r="I110" s="124">
        <v>1</v>
      </c>
      <c r="J110" s="124" t="s">
        <v>15</v>
      </c>
      <c r="K110" s="124" t="s">
        <v>103</v>
      </c>
      <c r="L110" s="121" t="s">
        <v>105</v>
      </c>
      <c r="M110" s="121" t="s">
        <v>14</v>
      </c>
    </row>
    <row r="111" spans="1:13" x14ac:dyDescent="0.2">
      <c r="A111" s="121" t="s">
        <v>101</v>
      </c>
      <c r="B111" s="121" t="s">
        <v>102</v>
      </c>
      <c r="C111" s="121" t="s">
        <v>11</v>
      </c>
      <c r="D111" s="121" t="s">
        <v>12</v>
      </c>
      <c r="E111" s="122">
        <v>43018</v>
      </c>
      <c r="F111" s="123">
        <v>306.32286240000002</v>
      </c>
      <c r="G111" s="124" t="s">
        <v>16</v>
      </c>
      <c r="H111" s="121" t="s">
        <v>14</v>
      </c>
      <c r="I111" s="124">
        <v>1</v>
      </c>
      <c r="J111" s="124" t="s">
        <v>15</v>
      </c>
      <c r="K111" s="124" t="s">
        <v>103</v>
      </c>
      <c r="L111" s="121" t="s">
        <v>105</v>
      </c>
      <c r="M111" s="121" t="s">
        <v>14</v>
      </c>
    </row>
    <row r="112" spans="1:13" x14ac:dyDescent="0.2">
      <c r="A112" s="121" t="s">
        <v>101</v>
      </c>
      <c r="B112" s="121" t="s">
        <v>102</v>
      </c>
      <c r="C112" s="121" t="s">
        <v>11</v>
      </c>
      <c r="D112" s="121" t="s">
        <v>12</v>
      </c>
      <c r="E112" s="122">
        <v>43018</v>
      </c>
      <c r="F112" s="123">
        <v>3.01</v>
      </c>
      <c r="G112" s="124" t="s">
        <v>13</v>
      </c>
      <c r="H112" s="121" t="s">
        <v>18</v>
      </c>
      <c r="I112" s="124">
        <v>1</v>
      </c>
      <c r="J112" s="124" t="s">
        <v>15</v>
      </c>
      <c r="K112" s="124" t="s">
        <v>103</v>
      </c>
      <c r="L112" s="121" t="s">
        <v>105</v>
      </c>
      <c r="M112" s="121" t="s">
        <v>17</v>
      </c>
    </row>
    <row r="113" spans="1:13" x14ac:dyDescent="0.2">
      <c r="A113" s="121" t="s">
        <v>101</v>
      </c>
      <c r="B113" s="121" t="s">
        <v>102</v>
      </c>
      <c r="C113" s="121" t="s">
        <v>11</v>
      </c>
      <c r="D113" s="121" t="s">
        <v>12</v>
      </c>
      <c r="E113" s="122">
        <v>43018</v>
      </c>
      <c r="F113" s="123">
        <v>56.733683999999997</v>
      </c>
      <c r="G113" s="124" t="s">
        <v>16</v>
      </c>
      <c r="H113" s="121" t="s">
        <v>18</v>
      </c>
      <c r="I113" s="124">
        <v>1</v>
      </c>
      <c r="J113" s="124" t="s">
        <v>15</v>
      </c>
      <c r="K113" s="124" t="s">
        <v>103</v>
      </c>
      <c r="L113" s="121" t="s">
        <v>105</v>
      </c>
      <c r="M113" s="121" t="s">
        <v>17</v>
      </c>
    </row>
    <row r="114" spans="1:13" x14ac:dyDescent="0.2">
      <c r="A114" s="121" t="s">
        <v>101</v>
      </c>
      <c r="B114" s="121" t="s">
        <v>102</v>
      </c>
      <c r="C114" s="121" t="s">
        <v>11</v>
      </c>
      <c r="D114" s="121" t="s">
        <v>12</v>
      </c>
      <c r="E114" s="122">
        <v>43012</v>
      </c>
      <c r="F114" s="123">
        <v>30.79</v>
      </c>
      <c r="G114" s="124" t="s">
        <v>13</v>
      </c>
      <c r="H114" s="121" t="s">
        <v>14</v>
      </c>
      <c r="I114" s="124">
        <v>1</v>
      </c>
      <c r="J114" s="124" t="s">
        <v>15</v>
      </c>
      <c r="K114" s="124" t="s">
        <v>103</v>
      </c>
      <c r="L114" s="121" t="s">
        <v>105</v>
      </c>
      <c r="M114" s="121" t="s">
        <v>14</v>
      </c>
    </row>
    <row r="115" spans="1:13" x14ac:dyDescent="0.2">
      <c r="A115" s="121" t="s">
        <v>101</v>
      </c>
      <c r="B115" s="121" t="s">
        <v>102</v>
      </c>
      <c r="C115" s="121" t="s">
        <v>11</v>
      </c>
      <c r="D115" s="121" t="s">
        <v>12</v>
      </c>
      <c r="E115" s="122">
        <v>43012</v>
      </c>
      <c r="F115" s="123">
        <v>305.32164540000002</v>
      </c>
      <c r="G115" s="124" t="s">
        <v>16</v>
      </c>
      <c r="H115" s="121" t="s">
        <v>14</v>
      </c>
      <c r="I115" s="124">
        <v>1</v>
      </c>
      <c r="J115" s="124" t="s">
        <v>15</v>
      </c>
      <c r="K115" s="124" t="s">
        <v>103</v>
      </c>
      <c r="L115" s="121" t="s">
        <v>105</v>
      </c>
      <c r="M115" s="121" t="s">
        <v>14</v>
      </c>
    </row>
    <row r="116" spans="1:13" x14ac:dyDescent="0.2">
      <c r="A116" s="121" t="s">
        <v>101</v>
      </c>
      <c r="B116" s="121" t="s">
        <v>102</v>
      </c>
      <c r="C116" s="121" t="s">
        <v>11</v>
      </c>
      <c r="D116" s="121" t="s">
        <v>12</v>
      </c>
      <c r="E116" s="122">
        <v>43012</v>
      </c>
      <c r="F116" s="123">
        <v>3.35</v>
      </c>
      <c r="G116" s="124" t="s">
        <v>13</v>
      </c>
      <c r="H116" s="121" t="s">
        <v>18</v>
      </c>
      <c r="I116" s="124">
        <v>1</v>
      </c>
      <c r="J116" s="124" t="s">
        <v>15</v>
      </c>
      <c r="K116" s="124" t="s">
        <v>103</v>
      </c>
      <c r="L116" s="121" t="s">
        <v>105</v>
      </c>
      <c r="M116" s="121" t="s">
        <v>17</v>
      </c>
    </row>
    <row r="117" spans="1:13" x14ac:dyDescent="0.2">
      <c r="A117" s="121" t="s">
        <v>101</v>
      </c>
      <c r="B117" s="121" t="s">
        <v>102</v>
      </c>
      <c r="C117" s="121" t="s">
        <v>11</v>
      </c>
      <c r="D117" s="121" t="s">
        <v>12</v>
      </c>
      <c r="E117" s="122">
        <v>43012</v>
      </c>
      <c r="F117" s="123">
        <v>33.526800000000001</v>
      </c>
      <c r="G117" s="124" t="s">
        <v>16</v>
      </c>
      <c r="H117" s="121" t="s">
        <v>18</v>
      </c>
      <c r="I117" s="124">
        <v>1</v>
      </c>
      <c r="J117" s="124" t="s">
        <v>15</v>
      </c>
      <c r="K117" s="124" t="s">
        <v>103</v>
      </c>
      <c r="L117" s="121" t="s">
        <v>105</v>
      </c>
      <c r="M117" s="121" t="s">
        <v>17</v>
      </c>
    </row>
    <row r="118" spans="1:13" x14ac:dyDescent="0.2">
      <c r="A118" s="121" t="s">
        <v>101</v>
      </c>
      <c r="B118" s="121" t="s">
        <v>102</v>
      </c>
      <c r="C118" s="121" t="s">
        <v>11</v>
      </c>
      <c r="D118" s="121" t="s">
        <v>12</v>
      </c>
      <c r="E118" s="122">
        <v>43005</v>
      </c>
      <c r="F118" s="123">
        <v>26.46</v>
      </c>
      <c r="G118" s="124" t="s">
        <v>13</v>
      </c>
      <c r="H118" s="121" t="s">
        <v>14</v>
      </c>
      <c r="I118" s="124">
        <v>1</v>
      </c>
      <c r="J118" s="124" t="s">
        <v>15</v>
      </c>
      <c r="K118" s="124" t="s">
        <v>103</v>
      </c>
      <c r="L118" s="121" t="s">
        <v>105</v>
      </c>
      <c r="M118" s="121" t="s">
        <v>14</v>
      </c>
    </row>
    <row r="119" spans="1:13" x14ac:dyDescent="0.2">
      <c r="A119" s="121" t="s">
        <v>101</v>
      </c>
      <c r="B119" s="121" t="s">
        <v>102</v>
      </c>
      <c r="C119" s="121" t="s">
        <v>11</v>
      </c>
      <c r="D119" s="121" t="s">
        <v>12</v>
      </c>
      <c r="E119" s="122">
        <v>43005</v>
      </c>
      <c r="F119" s="123">
        <v>263.26694520000001</v>
      </c>
      <c r="G119" s="124" t="s">
        <v>16</v>
      </c>
      <c r="H119" s="121" t="s">
        <v>14</v>
      </c>
      <c r="I119" s="124">
        <v>1</v>
      </c>
      <c r="J119" s="124" t="s">
        <v>15</v>
      </c>
      <c r="K119" s="124" t="s">
        <v>103</v>
      </c>
      <c r="L119" s="121" t="s">
        <v>105</v>
      </c>
      <c r="M119" s="121" t="s">
        <v>14</v>
      </c>
    </row>
    <row r="120" spans="1:13" x14ac:dyDescent="0.2">
      <c r="A120" s="121" t="s">
        <v>101</v>
      </c>
      <c r="B120" s="121" t="s">
        <v>102</v>
      </c>
      <c r="C120" s="121" t="s">
        <v>11</v>
      </c>
      <c r="D120" s="121" t="s">
        <v>12</v>
      </c>
      <c r="E120" s="122">
        <v>43005</v>
      </c>
      <c r="F120" s="123">
        <v>3.3</v>
      </c>
      <c r="G120" s="124" t="s">
        <v>13</v>
      </c>
      <c r="H120" s="121" t="s">
        <v>18</v>
      </c>
      <c r="I120" s="124">
        <v>1</v>
      </c>
      <c r="J120" s="124" t="s">
        <v>15</v>
      </c>
      <c r="K120" s="124" t="s">
        <v>103</v>
      </c>
      <c r="L120" s="121" t="s">
        <v>105</v>
      </c>
      <c r="M120" s="121" t="s">
        <v>17</v>
      </c>
    </row>
    <row r="121" spans="1:13" x14ac:dyDescent="0.2">
      <c r="A121" s="121" t="s">
        <v>101</v>
      </c>
      <c r="B121" s="121" t="s">
        <v>102</v>
      </c>
      <c r="C121" s="121" t="s">
        <v>11</v>
      </c>
      <c r="D121" s="121" t="s">
        <v>12</v>
      </c>
      <c r="E121" s="122">
        <v>43005</v>
      </c>
      <c r="F121" s="123">
        <v>52.567019999999999</v>
      </c>
      <c r="G121" s="124" t="s">
        <v>16</v>
      </c>
      <c r="H121" s="121" t="s">
        <v>18</v>
      </c>
      <c r="I121" s="124">
        <v>1</v>
      </c>
      <c r="J121" s="124" t="s">
        <v>15</v>
      </c>
      <c r="K121" s="124" t="s">
        <v>103</v>
      </c>
      <c r="L121" s="121" t="s">
        <v>105</v>
      </c>
      <c r="M121" s="121" t="s">
        <v>17</v>
      </c>
    </row>
    <row r="122" spans="1:13" x14ac:dyDescent="0.2">
      <c r="A122" s="121" t="s">
        <v>101</v>
      </c>
      <c r="B122" s="121" t="s">
        <v>102</v>
      </c>
      <c r="C122" s="121" t="s">
        <v>11</v>
      </c>
      <c r="D122" s="121" t="s">
        <v>12</v>
      </c>
      <c r="E122" s="122">
        <v>42998</v>
      </c>
      <c r="F122" s="123">
        <v>25.056999999999999</v>
      </c>
      <c r="G122" s="124" t="s">
        <v>13</v>
      </c>
      <c r="H122" s="121" t="s">
        <v>14</v>
      </c>
      <c r="I122" s="124">
        <v>1</v>
      </c>
      <c r="J122" s="124" t="s">
        <v>15</v>
      </c>
      <c r="K122" s="124" t="s">
        <v>103</v>
      </c>
      <c r="L122" s="121" t="s">
        <v>105</v>
      </c>
      <c r="M122" s="121" t="s">
        <v>14</v>
      </c>
    </row>
    <row r="123" spans="1:13" x14ac:dyDescent="0.2">
      <c r="A123" s="121" t="s">
        <v>101</v>
      </c>
      <c r="B123" s="121" t="s">
        <v>102</v>
      </c>
      <c r="C123" s="121" t="s">
        <v>11</v>
      </c>
      <c r="D123" s="121" t="s">
        <v>12</v>
      </c>
      <c r="E123" s="122">
        <v>42998</v>
      </c>
      <c r="F123" s="123">
        <v>250.56148060000001</v>
      </c>
      <c r="G123" s="124" t="s">
        <v>16</v>
      </c>
      <c r="H123" s="121" t="s">
        <v>14</v>
      </c>
      <c r="I123" s="124">
        <v>1</v>
      </c>
      <c r="J123" s="124" t="s">
        <v>15</v>
      </c>
      <c r="K123" s="124" t="s">
        <v>103</v>
      </c>
      <c r="L123" s="121" t="s">
        <v>105</v>
      </c>
      <c r="M123" s="121" t="s">
        <v>14</v>
      </c>
    </row>
    <row r="124" spans="1:13" x14ac:dyDescent="0.2">
      <c r="A124" s="121" t="s">
        <v>101</v>
      </c>
      <c r="B124" s="121" t="s">
        <v>102</v>
      </c>
      <c r="C124" s="121" t="s">
        <v>11</v>
      </c>
      <c r="D124" s="121" t="s">
        <v>12</v>
      </c>
      <c r="E124" s="122">
        <v>42998</v>
      </c>
      <c r="F124" s="123">
        <v>3.38</v>
      </c>
      <c r="G124" s="124" t="s">
        <v>13</v>
      </c>
      <c r="H124" s="121" t="s">
        <v>18</v>
      </c>
      <c r="I124" s="124">
        <v>1</v>
      </c>
      <c r="J124" s="124" t="s">
        <v>15</v>
      </c>
      <c r="K124" s="124" t="s">
        <v>103</v>
      </c>
      <c r="L124" s="121" t="s">
        <v>105</v>
      </c>
      <c r="M124" s="121" t="s">
        <v>17</v>
      </c>
    </row>
    <row r="125" spans="1:13" x14ac:dyDescent="0.2">
      <c r="A125" s="121" t="s">
        <v>101</v>
      </c>
      <c r="B125" s="121" t="s">
        <v>102</v>
      </c>
      <c r="C125" s="121" t="s">
        <v>11</v>
      </c>
      <c r="D125" s="121" t="s">
        <v>12</v>
      </c>
      <c r="E125" s="122">
        <v>42998</v>
      </c>
      <c r="F125" s="123">
        <v>52.150019999999998</v>
      </c>
      <c r="G125" s="124" t="s">
        <v>16</v>
      </c>
      <c r="H125" s="121" t="s">
        <v>18</v>
      </c>
      <c r="I125" s="124">
        <v>1</v>
      </c>
      <c r="J125" s="124" t="s">
        <v>15</v>
      </c>
      <c r="K125" s="124" t="s">
        <v>103</v>
      </c>
      <c r="L125" s="121" t="s">
        <v>105</v>
      </c>
      <c r="M125" s="121" t="s">
        <v>17</v>
      </c>
    </row>
    <row r="126" spans="1:13" x14ac:dyDescent="0.2">
      <c r="A126" s="121" t="s">
        <v>101</v>
      </c>
      <c r="B126" s="121" t="s">
        <v>102</v>
      </c>
      <c r="C126" s="121" t="s">
        <v>11</v>
      </c>
      <c r="D126" s="121" t="s">
        <v>12</v>
      </c>
      <c r="E126" s="122">
        <v>42990</v>
      </c>
      <c r="F126" s="123">
        <v>33.436999999999998</v>
      </c>
      <c r="G126" s="124" t="s">
        <v>13</v>
      </c>
      <c r="H126" s="121" t="s">
        <v>14</v>
      </c>
      <c r="I126" s="124">
        <v>1</v>
      </c>
      <c r="J126" s="124" t="s">
        <v>15</v>
      </c>
      <c r="K126" s="124" t="s">
        <v>103</v>
      </c>
      <c r="L126" s="121" t="s">
        <v>105</v>
      </c>
      <c r="M126" s="121" t="s">
        <v>14</v>
      </c>
    </row>
    <row r="127" spans="1:13" x14ac:dyDescent="0.2">
      <c r="A127" s="121" t="s">
        <v>101</v>
      </c>
      <c r="B127" s="121" t="s">
        <v>102</v>
      </c>
      <c r="C127" s="121" t="s">
        <v>11</v>
      </c>
      <c r="D127" s="121" t="s">
        <v>12</v>
      </c>
      <c r="E127" s="122">
        <v>42990</v>
      </c>
      <c r="F127" s="123">
        <v>320.4154024</v>
      </c>
      <c r="G127" s="124" t="s">
        <v>16</v>
      </c>
      <c r="H127" s="121" t="s">
        <v>14</v>
      </c>
      <c r="I127" s="124">
        <v>1</v>
      </c>
      <c r="J127" s="124" t="s">
        <v>15</v>
      </c>
      <c r="K127" s="124" t="s">
        <v>103</v>
      </c>
      <c r="L127" s="121" t="s">
        <v>105</v>
      </c>
      <c r="M127" s="121" t="s">
        <v>14</v>
      </c>
    </row>
    <row r="128" spans="1:13" x14ac:dyDescent="0.2">
      <c r="A128" s="121" t="s">
        <v>101</v>
      </c>
      <c r="B128" s="121" t="s">
        <v>102</v>
      </c>
      <c r="C128" s="121" t="s">
        <v>11</v>
      </c>
      <c r="D128" s="121" t="s">
        <v>12</v>
      </c>
      <c r="E128" s="122">
        <v>42990</v>
      </c>
      <c r="F128" s="123">
        <v>2.76</v>
      </c>
      <c r="G128" s="124" t="s">
        <v>13</v>
      </c>
      <c r="H128" s="121" t="s">
        <v>18</v>
      </c>
      <c r="I128" s="124">
        <v>1</v>
      </c>
      <c r="J128" s="124" t="s">
        <v>15</v>
      </c>
      <c r="K128" s="124" t="s">
        <v>103</v>
      </c>
      <c r="L128" s="121" t="s">
        <v>105</v>
      </c>
      <c r="M128" s="121" t="s">
        <v>17</v>
      </c>
    </row>
    <row r="129" spans="1:13" x14ac:dyDescent="0.2">
      <c r="A129" s="121" t="s">
        <v>101</v>
      </c>
      <c r="B129" s="121" t="s">
        <v>102</v>
      </c>
      <c r="C129" s="121" t="s">
        <v>11</v>
      </c>
      <c r="D129" s="121" t="s">
        <v>12</v>
      </c>
      <c r="E129" s="122">
        <v>42990</v>
      </c>
      <c r="F129" s="123">
        <v>43.044407999999997</v>
      </c>
      <c r="G129" s="124" t="s">
        <v>16</v>
      </c>
      <c r="H129" s="121" t="s">
        <v>18</v>
      </c>
      <c r="I129" s="124">
        <v>1</v>
      </c>
      <c r="J129" s="124" t="s">
        <v>15</v>
      </c>
      <c r="K129" s="124" t="s">
        <v>103</v>
      </c>
      <c r="L129" s="121" t="s">
        <v>105</v>
      </c>
      <c r="M129" s="121" t="s">
        <v>17</v>
      </c>
    </row>
    <row r="130" spans="1:13" x14ac:dyDescent="0.2">
      <c r="A130" s="121" t="s">
        <v>101</v>
      </c>
      <c r="B130" s="121" t="s">
        <v>102</v>
      </c>
      <c r="C130" s="121" t="s">
        <v>11</v>
      </c>
      <c r="D130" s="121" t="s">
        <v>12</v>
      </c>
      <c r="E130" s="122">
        <v>42984</v>
      </c>
      <c r="F130" s="123">
        <v>31.759</v>
      </c>
      <c r="G130" s="124" t="s">
        <v>13</v>
      </c>
      <c r="H130" s="121" t="s">
        <v>14</v>
      </c>
      <c r="I130" s="124">
        <v>1</v>
      </c>
      <c r="J130" s="124" t="s">
        <v>15</v>
      </c>
      <c r="K130" s="124" t="s">
        <v>103</v>
      </c>
      <c r="L130" s="121" t="s">
        <v>105</v>
      </c>
      <c r="M130" s="121" t="s">
        <v>14</v>
      </c>
    </row>
    <row r="131" spans="1:13" x14ac:dyDescent="0.2">
      <c r="A131" s="121" t="s">
        <v>101</v>
      </c>
      <c r="B131" s="121" t="s">
        <v>102</v>
      </c>
      <c r="C131" s="121" t="s">
        <v>11</v>
      </c>
      <c r="D131" s="121" t="s">
        <v>12</v>
      </c>
      <c r="E131" s="122">
        <v>42984</v>
      </c>
      <c r="F131" s="123">
        <v>322.61173300000002</v>
      </c>
      <c r="G131" s="124" t="s">
        <v>16</v>
      </c>
      <c r="H131" s="121" t="s">
        <v>14</v>
      </c>
      <c r="I131" s="124">
        <v>1</v>
      </c>
      <c r="J131" s="124" t="s">
        <v>15</v>
      </c>
      <c r="K131" s="124" t="s">
        <v>103</v>
      </c>
      <c r="L131" s="121" t="s">
        <v>105</v>
      </c>
      <c r="M131" s="121" t="s">
        <v>14</v>
      </c>
    </row>
    <row r="132" spans="1:13" x14ac:dyDescent="0.2">
      <c r="A132" s="121" t="s">
        <v>101</v>
      </c>
      <c r="B132" s="121" t="s">
        <v>102</v>
      </c>
      <c r="C132" s="121" t="s">
        <v>11</v>
      </c>
      <c r="D132" s="121" t="s">
        <v>12</v>
      </c>
      <c r="E132" s="122">
        <v>42984</v>
      </c>
      <c r="F132" s="123">
        <v>2.85</v>
      </c>
      <c r="G132" s="124" t="s">
        <v>13</v>
      </c>
      <c r="H132" s="121" t="s">
        <v>18</v>
      </c>
      <c r="I132" s="124">
        <v>1</v>
      </c>
      <c r="J132" s="124" t="s">
        <v>15</v>
      </c>
      <c r="K132" s="124" t="s">
        <v>103</v>
      </c>
      <c r="L132" s="121" t="s">
        <v>105</v>
      </c>
      <c r="M132" s="121" t="s">
        <v>17</v>
      </c>
    </row>
    <row r="133" spans="1:13" x14ac:dyDescent="0.2">
      <c r="A133" s="121" t="s">
        <v>101</v>
      </c>
      <c r="B133" s="121" t="s">
        <v>102</v>
      </c>
      <c r="C133" s="121" t="s">
        <v>11</v>
      </c>
      <c r="D133" s="121" t="s">
        <v>12</v>
      </c>
      <c r="E133" s="122">
        <v>42984</v>
      </c>
      <c r="F133" s="123">
        <v>40.407299999999999</v>
      </c>
      <c r="G133" s="124" t="s">
        <v>16</v>
      </c>
      <c r="H133" s="121" t="s">
        <v>18</v>
      </c>
      <c r="I133" s="124">
        <v>1</v>
      </c>
      <c r="J133" s="124" t="s">
        <v>15</v>
      </c>
      <c r="K133" s="124" t="s">
        <v>103</v>
      </c>
      <c r="L133" s="121" t="s">
        <v>105</v>
      </c>
      <c r="M133" s="121" t="s">
        <v>17</v>
      </c>
    </row>
    <row r="134" spans="1:13" x14ac:dyDescent="0.2">
      <c r="A134" s="121" t="s">
        <v>101</v>
      </c>
      <c r="B134" s="121" t="s">
        <v>102</v>
      </c>
      <c r="C134" s="121" t="s">
        <v>11</v>
      </c>
      <c r="D134" s="121" t="s">
        <v>12</v>
      </c>
      <c r="E134" s="122">
        <v>42971</v>
      </c>
      <c r="F134" s="123">
        <v>25.751999999999999</v>
      </c>
      <c r="G134" s="124" t="s">
        <v>13</v>
      </c>
      <c r="H134" s="121" t="s">
        <v>14</v>
      </c>
      <c r="I134" s="124">
        <v>1</v>
      </c>
      <c r="J134" s="124" t="s">
        <v>15</v>
      </c>
      <c r="K134" s="124" t="s">
        <v>103</v>
      </c>
      <c r="L134" s="121" t="s">
        <v>105</v>
      </c>
      <c r="M134" s="121" t="s">
        <v>14</v>
      </c>
    </row>
    <row r="135" spans="1:13" x14ac:dyDescent="0.2">
      <c r="A135" s="121" t="s">
        <v>101</v>
      </c>
      <c r="B135" s="121" t="s">
        <v>102</v>
      </c>
      <c r="C135" s="121" t="s">
        <v>11</v>
      </c>
      <c r="D135" s="121" t="s">
        <v>12</v>
      </c>
      <c r="E135" s="122">
        <v>42971</v>
      </c>
      <c r="F135" s="123">
        <v>286.93496440000001</v>
      </c>
      <c r="G135" s="124" t="s">
        <v>16</v>
      </c>
      <c r="H135" s="121" t="s">
        <v>14</v>
      </c>
      <c r="I135" s="124">
        <v>1</v>
      </c>
      <c r="J135" s="124" t="s">
        <v>15</v>
      </c>
      <c r="K135" s="124" t="s">
        <v>103</v>
      </c>
      <c r="L135" s="121" t="s">
        <v>105</v>
      </c>
      <c r="M135" s="121" t="s">
        <v>14</v>
      </c>
    </row>
    <row r="136" spans="1:13" x14ac:dyDescent="0.2">
      <c r="A136" s="121" t="s">
        <v>101</v>
      </c>
      <c r="B136" s="121" t="s">
        <v>102</v>
      </c>
      <c r="C136" s="121" t="s">
        <v>11</v>
      </c>
      <c r="D136" s="121" t="s">
        <v>12</v>
      </c>
      <c r="E136" s="122">
        <v>42971</v>
      </c>
      <c r="F136" s="123">
        <v>4.1100000000000003</v>
      </c>
      <c r="G136" s="124" t="s">
        <v>13</v>
      </c>
      <c r="H136" s="121" t="s">
        <v>18</v>
      </c>
      <c r="I136" s="124">
        <v>1</v>
      </c>
      <c r="J136" s="124" t="s">
        <v>15</v>
      </c>
      <c r="K136" s="124" t="s">
        <v>103</v>
      </c>
      <c r="L136" s="121" t="s">
        <v>105</v>
      </c>
      <c r="M136" s="121" t="s">
        <v>17</v>
      </c>
    </row>
    <row r="137" spans="1:13" x14ac:dyDescent="0.2">
      <c r="A137" s="121" t="s">
        <v>101</v>
      </c>
      <c r="B137" s="121" t="s">
        <v>102</v>
      </c>
      <c r="C137" s="121" t="s">
        <v>11</v>
      </c>
      <c r="D137" s="121" t="s">
        <v>12</v>
      </c>
      <c r="E137" s="122">
        <v>42971</v>
      </c>
      <c r="F137" s="123">
        <v>30.164111999999999</v>
      </c>
      <c r="G137" s="124" t="s">
        <v>16</v>
      </c>
      <c r="H137" s="121" t="s">
        <v>18</v>
      </c>
      <c r="I137" s="124">
        <v>1</v>
      </c>
      <c r="J137" s="124" t="s">
        <v>15</v>
      </c>
      <c r="K137" s="124" t="s">
        <v>103</v>
      </c>
      <c r="L137" s="121" t="s">
        <v>105</v>
      </c>
      <c r="M137" s="121" t="s">
        <v>17</v>
      </c>
    </row>
    <row r="138" spans="1:13" x14ac:dyDescent="0.2">
      <c r="A138" s="121" t="s">
        <v>101</v>
      </c>
      <c r="B138" s="121" t="s">
        <v>102</v>
      </c>
      <c r="C138" s="121" t="s">
        <v>11</v>
      </c>
      <c r="D138" s="121" t="s">
        <v>12</v>
      </c>
      <c r="E138" s="122">
        <v>42963</v>
      </c>
      <c r="F138" s="123">
        <v>29.125</v>
      </c>
      <c r="G138" s="124" t="s">
        <v>13</v>
      </c>
      <c r="H138" s="121" t="s">
        <v>14</v>
      </c>
      <c r="I138" s="124">
        <v>1</v>
      </c>
      <c r="J138" s="124" t="s">
        <v>15</v>
      </c>
      <c r="K138" s="124" t="s">
        <v>103</v>
      </c>
      <c r="L138" s="121" t="s">
        <v>105</v>
      </c>
      <c r="M138" s="121" t="s">
        <v>14</v>
      </c>
    </row>
    <row r="139" spans="1:13" x14ac:dyDescent="0.2">
      <c r="A139" s="121" t="s">
        <v>101</v>
      </c>
      <c r="B139" s="121" t="s">
        <v>102</v>
      </c>
      <c r="C139" s="121" t="s">
        <v>11</v>
      </c>
      <c r="D139" s="121" t="s">
        <v>12</v>
      </c>
      <c r="E139" s="122">
        <v>42963</v>
      </c>
      <c r="F139" s="123">
        <v>367.02567749999997</v>
      </c>
      <c r="G139" s="124" t="s">
        <v>16</v>
      </c>
      <c r="H139" s="121" t="s">
        <v>14</v>
      </c>
      <c r="I139" s="124">
        <v>1</v>
      </c>
      <c r="J139" s="124" t="s">
        <v>15</v>
      </c>
      <c r="K139" s="124" t="s">
        <v>103</v>
      </c>
      <c r="L139" s="121" t="s">
        <v>105</v>
      </c>
      <c r="M139" s="121" t="s">
        <v>14</v>
      </c>
    </row>
    <row r="140" spans="1:13" x14ac:dyDescent="0.2">
      <c r="A140" s="121" t="s">
        <v>101</v>
      </c>
      <c r="B140" s="121" t="s">
        <v>102</v>
      </c>
      <c r="C140" s="121" t="s">
        <v>11</v>
      </c>
      <c r="D140" s="121" t="s">
        <v>12</v>
      </c>
      <c r="E140" s="122">
        <v>42963</v>
      </c>
      <c r="F140" s="123">
        <v>3.81</v>
      </c>
      <c r="G140" s="124" t="s">
        <v>13</v>
      </c>
      <c r="H140" s="121" t="s">
        <v>18</v>
      </c>
      <c r="I140" s="124">
        <v>1</v>
      </c>
      <c r="J140" s="124" t="s">
        <v>15</v>
      </c>
      <c r="K140" s="124" t="s">
        <v>103</v>
      </c>
      <c r="L140" s="121" t="s">
        <v>105</v>
      </c>
      <c r="M140" s="121" t="s">
        <v>17</v>
      </c>
    </row>
    <row r="141" spans="1:13" x14ac:dyDescent="0.2">
      <c r="A141" s="121" t="s">
        <v>101</v>
      </c>
      <c r="B141" s="121" t="s">
        <v>102</v>
      </c>
      <c r="C141" s="121" t="s">
        <v>11</v>
      </c>
      <c r="D141" s="121" t="s">
        <v>12</v>
      </c>
      <c r="E141" s="122">
        <v>42963</v>
      </c>
      <c r="F141" s="123">
        <v>40.672511999999998</v>
      </c>
      <c r="G141" s="124" t="s">
        <v>16</v>
      </c>
      <c r="H141" s="121" t="s">
        <v>18</v>
      </c>
      <c r="I141" s="124">
        <v>1</v>
      </c>
      <c r="J141" s="124" t="s">
        <v>15</v>
      </c>
      <c r="K141" s="124" t="s">
        <v>103</v>
      </c>
      <c r="L141" s="121" t="s">
        <v>105</v>
      </c>
      <c r="M141" s="121" t="s">
        <v>17</v>
      </c>
    </row>
    <row r="142" spans="1:13" x14ac:dyDescent="0.2">
      <c r="A142" s="121" t="s">
        <v>101</v>
      </c>
      <c r="B142" s="121" t="s">
        <v>102</v>
      </c>
      <c r="C142" s="121" t="s">
        <v>11</v>
      </c>
      <c r="D142" s="121" t="s">
        <v>12</v>
      </c>
      <c r="E142" s="122">
        <v>42956</v>
      </c>
      <c r="F142" s="123">
        <v>32.616999999999997</v>
      </c>
      <c r="G142" s="124" t="s">
        <v>13</v>
      </c>
      <c r="H142" s="121" t="s">
        <v>14</v>
      </c>
      <c r="I142" s="124">
        <v>1</v>
      </c>
      <c r="J142" s="124" t="s">
        <v>15</v>
      </c>
      <c r="K142" s="124" t="s">
        <v>103</v>
      </c>
      <c r="L142" s="121" t="s">
        <v>105</v>
      </c>
      <c r="M142" s="121" t="s">
        <v>14</v>
      </c>
    </row>
    <row r="143" spans="1:13" x14ac:dyDescent="0.2">
      <c r="A143" s="121" t="s">
        <v>101</v>
      </c>
      <c r="B143" s="121" t="s">
        <v>102</v>
      </c>
      <c r="C143" s="121" t="s">
        <v>11</v>
      </c>
      <c r="D143" s="121" t="s">
        <v>12</v>
      </c>
      <c r="E143" s="122">
        <v>42956</v>
      </c>
      <c r="F143" s="123">
        <v>364.51454519999999</v>
      </c>
      <c r="G143" s="124" t="s">
        <v>16</v>
      </c>
      <c r="H143" s="121" t="s">
        <v>14</v>
      </c>
      <c r="I143" s="124">
        <v>1</v>
      </c>
      <c r="J143" s="124" t="s">
        <v>15</v>
      </c>
      <c r="K143" s="124" t="s">
        <v>103</v>
      </c>
      <c r="L143" s="121" t="s">
        <v>105</v>
      </c>
      <c r="M143" s="121" t="s">
        <v>14</v>
      </c>
    </row>
    <row r="144" spans="1:13" x14ac:dyDescent="0.2">
      <c r="A144" s="121" t="s">
        <v>101</v>
      </c>
      <c r="B144" s="121" t="s">
        <v>102</v>
      </c>
      <c r="C144" s="121" t="s">
        <v>11</v>
      </c>
      <c r="D144" s="121" t="s">
        <v>12</v>
      </c>
      <c r="E144" s="122">
        <v>42956</v>
      </c>
      <c r="F144" s="123">
        <v>4.99</v>
      </c>
      <c r="G144" s="124" t="s">
        <v>13</v>
      </c>
      <c r="H144" s="121" t="s">
        <v>18</v>
      </c>
      <c r="I144" s="124">
        <v>1</v>
      </c>
      <c r="J144" s="124" t="s">
        <v>15</v>
      </c>
      <c r="K144" s="124" t="s">
        <v>103</v>
      </c>
      <c r="L144" s="121" t="s">
        <v>105</v>
      </c>
      <c r="M144" s="121" t="s">
        <v>17</v>
      </c>
    </row>
    <row r="145" spans="1:13" x14ac:dyDescent="0.2">
      <c r="A145" s="121" t="s">
        <v>101</v>
      </c>
      <c r="B145" s="121" t="s">
        <v>102</v>
      </c>
      <c r="C145" s="121" t="s">
        <v>11</v>
      </c>
      <c r="D145" s="121" t="s">
        <v>12</v>
      </c>
      <c r="E145" s="122">
        <v>42956</v>
      </c>
      <c r="F145" s="123">
        <v>68.251223999999993</v>
      </c>
      <c r="G145" s="124" t="s">
        <v>16</v>
      </c>
      <c r="H145" s="121" t="s">
        <v>18</v>
      </c>
      <c r="I145" s="124">
        <v>1</v>
      </c>
      <c r="J145" s="124" t="s">
        <v>15</v>
      </c>
      <c r="K145" s="124" t="s">
        <v>103</v>
      </c>
      <c r="L145" s="121" t="s">
        <v>105</v>
      </c>
      <c r="M145" s="121" t="s">
        <v>17</v>
      </c>
    </row>
    <row r="146" spans="1:13" x14ac:dyDescent="0.2">
      <c r="A146" s="121" t="s">
        <v>101</v>
      </c>
      <c r="B146" s="121" t="s">
        <v>102</v>
      </c>
      <c r="C146" s="121" t="s">
        <v>11</v>
      </c>
      <c r="D146" s="121" t="s">
        <v>12</v>
      </c>
      <c r="E146" s="122">
        <v>42949</v>
      </c>
      <c r="F146" s="123">
        <v>26.494</v>
      </c>
      <c r="G146" s="124" t="s">
        <v>13</v>
      </c>
      <c r="H146" s="121" t="s">
        <v>14</v>
      </c>
      <c r="I146" s="124">
        <v>1</v>
      </c>
      <c r="J146" s="124" t="s">
        <v>15</v>
      </c>
      <c r="K146" s="124" t="s">
        <v>103</v>
      </c>
      <c r="L146" s="121" t="s">
        <v>105</v>
      </c>
      <c r="M146" s="121" t="s">
        <v>14</v>
      </c>
    </row>
    <row r="147" spans="1:13" x14ac:dyDescent="0.2">
      <c r="A147" s="121" t="s">
        <v>101</v>
      </c>
      <c r="B147" s="121" t="s">
        <v>102</v>
      </c>
      <c r="C147" s="121" t="s">
        <v>11</v>
      </c>
      <c r="D147" s="121" t="s">
        <v>12</v>
      </c>
      <c r="E147" s="122">
        <v>42949</v>
      </c>
      <c r="F147" s="123">
        <v>328.12554060000002</v>
      </c>
      <c r="G147" s="124" t="s">
        <v>16</v>
      </c>
      <c r="H147" s="121" t="s">
        <v>14</v>
      </c>
      <c r="I147" s="124">
        <v>1</v>
      </c>
      <c r="J147" s="124" t="s">
        <v>15</v>
      </c>
      <c r="K147" s="124" t="s">
        <v>103</v>
      </c>
      <c r="L147" s="121" t="s">
        <v>105</v>
      </c>
      <c r="M147" s="121" t="s">
        <v>14</v>
      </c>
    </row>
    <row r="148" spans="1:13" x14ac:dyDescent="0.2">
      <c r="A148" s="121" t="s">
        <v>101</v>
      </c>
      <c r="B148" s="121" t="s">
        <v>102</v>
      </c>
      <c r="C148" s="121" t="s">
        <v>11</v>
      </c>
      <c r="D148" s="121" t="s">
        <v>12</v>
      </c>
      <c r="E148" s="122">
        <v>42949</v>
      </c>
      <c r="F148" s="123">
        <v>4.4400000000000004</v>
      </c>
      <c r="G148" s="124" t="s">
        <v>13</v>
      </c>
      <c r="H148" s="121" t="s">
        <v>18</v>
      </c>
      <c r="I148" s="124">
        <v>1</v>
      </c>
      <c r="J148" s="124" t="s">
        <v>15</v>
      </c>
      <c r="K148" s="124" t="s">
        <v>103</v>
      </c>
      <c r="L148" s="121" t="s">
        <v>105</v>
      </c>
      <c r="M148" s="121" t="s">
        <v>17</v>
      </c>
    </row>
    <row r="149" spans="1:13" x14ac:dyDescent="0.2">
      <c r="A149" s="121" t="s">
        <v>101</v>
      </c>
      <c r="B149" s="121" t="s">
        <v>102</v>
      </c>
      <c r="C149" s="121" t="s">
        <v>11</v>
      </c>
      <c r="D149" s="121" t="s">
        <v>12</v>
      </c>
      <c r="E149" s="122">
        <v>42949</v>
      </c>
      <c r="F149" s="123">
        <v>69.245351999999997</v>
      </c>
      <c r="G149" s="124" t="s">
        <v>16</v>
      </c>
      <c r="H149" s="121" t="s">
        <v>18</v>
      </c>
      <c r="I149" s="124">
        <v>1</v>
      </c>
      <c r="J149" s="124" t="s">
        <v>15</v>
      </c>
      <c r="K149" s="124" t="s">
        <v>103</v>
      </c>
      <c r="L149" s="121" t="s">
        <v>105</v>
      </c>
      <c r="M149" s="121" t="s">
        <v>17</v>
      </c>
    </row>
    <row r="150" spans="1:13" x14ac:dyDescent="0.2">
      <c r="A150" s="121" t="s">
        <v>101</v>
      </c>
      <c r="B150" s="121" t="s">
        <v>102</v>
      </c>
      <c r="C150" s="121" t="s">
        <v>11</v>
      </c>
      <c r="D150" s="121" t="s">
        <v>12</v>
      </c>
      <c r="E150" s="122">
        <v>42941</v>
      </c>
      <c r="F150" s="123">
        <v>28.324999999999999</v>
      </c>
      <c r="G150" s="124" t="s">
        <v>13</v>
      </c>
      <c r="H150" s="121" t="s">
        <v>14</v>
      </c>
      <c r="I150" s="124">
        <v>1</v>
      </c>
      <c r="J150" s="124" t="s">
        <v>15</v>
      </c>
      <c r="K150" s="124" t="s">
        <v>103</v>
      </c>
      <c r="L150" s="121" t="s">
        <v>105</v>
      </c>
      <c r="M150" s="121" t="s">
        <v>14</v>
      </c>
    </row>
    <row r="151" spans="1:13" x14ac:dyDescent="0.2">
      <c r="A151" s="121" t="s">
        <v>101</v>
      </c>
      <c r="B151" s="121" t="s">
        <v>102</v>
      </c>
      <c r="C151" s="121" t="s">
        <v>11</v>
      </c>
      <c r="D151" s="121" t="s">
        <v>12</v>
      </c>
      <c r="E151" s="122">
        <v>42941</v>
      </c>
      <c r="F151" s="123">
        <v>448.6017195</v>
      </c>
      <c r="G151" s="124" t="s">
        <v>16</v>
      </c>
      <c r="H151" s="121" t="s">
        <v>14</v>
      </c>
      <c r="I151" s="124">
        <v>1</v>
      </c>
      <c r="J151" s="124" t="s">
        <v>15</v>
      </c>
      <c r="K151" s="124" t="s">
        <v>103</v>
      </c>
      <c r="L151" s="121" t="s">
        <v>105</v>
      </c>
      <c r="M151" s="121" t="s">
        <v>14</v>
      </c>
    </row>
    <row r="152" spans="1:13" x14ac:dyDescent="0.2">
      <c r="A152" s="121" t="s">
        <v>101</v>
      </c>
      <c r="B152" s="121" t="s">
        <v>102</v>
      </c>
      <c r="C152" s="121" t="s">
        <v>11</v>
      </c>
      <c r="D152" s="121" t="s">
        <v>12</v>
      </c>
      <c r="E152" s="122">
        <v>42941</v>
      </c>
      <c r="F152" s="123">
        <v>5.12</v>
      </c>
      <c r="G152" s="124" t="s">
        <v>13</v>
      </c>
      <c r="H152" s="121" t="s">
        <v>18</v>
      </c>
      <c r="I152" s="124">
        <v>1</v>
      </c>
      <c r="J152" s="124" t="s">
        <v>15</v>
      </c>
      <c r="K152" s="124" t="s">
        <v>103</v>
      </c>
      <c r="L152" s="121" t="s">
        <v>105</v>
      </c>
      <c r="M152" s="121" t="s">
        <v>17</v>
      </c>
    </row>
    <row r="153" spans="1:13" x14ac:dyDescent="0.2">
      <c r="A153" s="121" t="s">
        <v>101</v>
      </c>
      <c r="B153" s="121" t="s">
        <v>102</v>
      </c>
      <c r="C153" s="121" t="s">
        <v>11</v>
      </c>
      <c r="D153" s="121" t="s">
        <v>12</v>
      </c>
      <c r="E153" s="122">
        <v>42941</v>
      </c>
      <c r="F153" s="123">
        <v>94.795776000000004</v>
      </c>
      <c r="G153" s="124" t="s">
        <v>16</v>
      </c>
      <c r="H153" s="121" t="s">
        <v>18</v>
      </c>
      <c r="I153" s="124">
        <v>1</v>
      </c>
      <c r="J153" s="124" t="s">
        <v>15</v>
      </c>
      <c r="K153" s="124" t="s">
        <v>103</v>
      </c>
      <c r="L153" s="121" t="s">
        <v>105</v>
      </c>
      <c r="M153" s="121" t="s">
        <v>17</v>
      </c>
    </row>
    <row r="154" spans="1:13" x14ac:dyDescent="0.2">
      <c r="A154" s="121" t="s">
        <v>101</v>
      </c>
      <c r="B154" s="121" t="s">
        <v>102</v>
      </c>
      <c r="C154" s="121" t="s">
        <v>11</v>
      </c>
      <c r="D154" s="121" t="s">
        <v>12</v>
      </c>
      <c r="E154" s="122">
        <v>42934</v>
      </c>
      <c r="F154" s="123">
        <v>28.306000000000001</v>
      </c>
      <c r="G154" s="124" t="s">
        <v>13</v>
      </c>
      <c r="H154" s="121" t="s">
        <v>14</v>
      </c>
      <c r="I154" s="124">
        <v>1</v>
      </c>
      <c r="J154" s="124" t="s">
        <v>15</v>
      </c>
      <c r="K154" s="124" t="s">
        <v>103</v>
      </c>
      <c r="L154" s="121" t="s">
        <v>105</v>
      </c>
      <c r="M154" s="121" t="s">
        <v>14</v>
      </c>
    </row>
    <row r="155" spans="1:13" x14ac:dyDescent="0.2">
      <c r="A155" s="121" t="s">
        <v>101</v>
      </c>
      <c r="B155" s="121" t="s">
        <v>102</v>
      </c>
      <c r="C155" s="121" t="s">
        <v>11</v>
      </c>
      <c r="D155" s="121" t="s">
        <v>12</v>
      </c>
      <c r="E155" s="122">
        <v>42934</v>
      </c>
      <c r="F155" s="123">
        <v>377.47919189999999</v>
      </c>
      <c r="G155" s="124" t="s">
        <v>16</v>
      </c>
      <c r="H155" s="121" t="s">
        <v>14</v>
      </c>
      <c r="I155" s="124">
        <v>1</v>
      </c>
      <c r="J155" s="124" t="s">
        <v>15</v>
      </c>
      <c r="K155" s="124" t="s">
        <v>103</v>
      </c>
      <c r="L155" s="121" t="s">
        <v>105</v>
      </c>
      <c r="M155" s="121" t="s">
        <v>14</v>
      </c>
    </row>
    <row r="156" spans="1:13" x14ac:dyDescent="0.2">
      <c r="A156" s="121" t="s">
        <v>101</v>
      </c>
      <c r="B156" s="121" t="s">
        <v>102</v>
      </c>
      <c r="C156" s="121" t="s">
        <v>11</v>
      </c>
      <c r="D156" s="121" t="s">
        <v>12</v>
      </c>
      <c r="E156" s="122">
        <v>42934</v>
      </c>
      <c r="F156" s="123">
        <v>5.32</v>
      </c>
      <c r="G156" s="124" t="s">
        <v>13</v>
      </c>
      <c r="H156" s="121" t="s">
        <v>18</v>
      </c>
      <c r="I156" s="124">
        <v>1</v>
      </c>
      <c r="J156" s="124" t="s">
        <v>15</v>
      </c>
      <c r="K156" s="124" t="s">
        <v>103</v>
      </c>
      <c r="L156" s="121" t="s">
        <v>105</v>
      </c>
      <c r="M156" s="121" t="s">
        <v>17</v>
      </c>
    </row>
    <row r="157" spans="1:13" x14ac:dyDescent="0.2">
      <c r="A157" s="121" t="s">
        <v>101</v>
      </c>
      <c r="B157" s="121" t="s">
        <v>102</v>
      </c>
      <c r="C157" s="121" t="s">
        <v>11</v>
      </c>
      <c r="D157" s="121" t="s">
        <v>12</v>
      </c>
      <c r="E157" s="122">
        <v>42934</v>
      </c>
      <c r="F157" s="123">
        <v>84.300719999999998</v>
      </c>
      <c r="G157" s="124" t="s">
        <v>16</v>
      </c>
      <c r="H157" s="121" t="s">
        <v>18</v>
      </c>
      <c r="I157" s="124">
        <v>1</v>
      </c>
      <c r="J157" s="124" t="s">
        <v>15</v>
      </c>
      <c r="K157" s="124" t="s">
        <v>103</v>
      </c>
      <c r="L157" s="121" t="s">
        <v>105</v>
      </c>
      <c r="M157" s="121" t="s">
        <v>17</v>
      </c>
    </row>
    <row r="158" spans="1:13" x14ac:dyDescent="0.2">
      <c r="A158" s="121" t="s">
        <v>101</v>
      </c>
      <c r="B158" s="121" t="s">
        <v>102</v>
      </c>
      <c r="C158" s="121" t="s">
        <v>11</v>
      </c>
      <c r="D158" s="121" t="s">
        <v>12</v>
      </c>
      <c r="E158" s="122">
        <v>42927</v>
      </c>
      <c r="F158" s="123">
        <v>43.274999999999999</v>
      </c>
      <c r="G158" s="124" t="s">
        <v>13</v>
      </c>
      <c r="H158" s="121" t="s">
        <v>14</v>
      </c>
      <c r="I158" s="124">
        <v>1</v>
      </c>
      <c r="J158" s="124" t="s">
        <v>15</v>
      </c>
      <c r="K158" s="124" t="s">
        <v>103</v>
      </c>
      <c r="L158" s="121" t="s">
        <v>105</v>
      </c>
      <c r="M158" s="121" t="s">
        <v>14</v>
      </c>
    </row>
    <row r="159" spans="1:13" x14ac:dyDescent="0.2">
      <c r="A159" s="121" t="s">
        <v>101</v>
      </c>
      <c r="B159" s="121" t="s">
        <v>102</v>
      </c>
      <c r="C159" s="121" t="s">
        <v>11</v>
      </c>
      <c r="D159" s="121" t="s">
        <v>12</v>
      </c>
      <c r="E159" s="122">
        <v>42927</v>
      </c>
      <c r="F159" s="123">
        <v>566.63419499999998</v>
      </c>
      <c r="G159" s="124" t="s">
        <v>16</v>
      </c>
      <c r="H159" s="121" t="s">
        <v>14</v>
      </c>
      <c r="I159" s="124">
        <v>1</v>
      </c>
      <c r="J159" s="124" t="s">
        <v>15</v>
      </c>
      <c r="K159" s="124" t="s">
        <v>103</v>
      </c>
      <c r="L159" s="121" t="s">
        <v>105</v>
      </c>
      <c r="M159" s="121" t="s">
        <v>14</v>
      </c>
    </row>
    <row r="160" spans="1:13" x14ac:dyDescent="0.2">
      <c r="A160" s="121" t="s">
        <v>101</v>
      </c>
      <c r="B160" s="121" t="s">
        <v>102</v>
      </c>
      <c r="C160" s="121" t="s">
        <v>11</v>
      </c>
      <c r="D160" s="121" t="s">
        <v>12</v>
      </c>
      <c r="E160" s="122">
        <v>42927</v>
      </c>
      <c r="F160" s="123">
        <v>5.0199999999999996</v>
      </c>
      <c r="G160" s="124" t="s">
        <v>13</v>
      </c>
      <c r="H160" s="121" t="s">
        <v>18</v>
      </c>
      <c r="I160" s="124">
        <v>1</v>
      </c>
      <c r="J160" s="124" t="s">
        <v>15</v>
      </c>
      <c r="K160" s="124" t="s">
        <v>103</v>
      </c>
      <c r="L160" s="121" t="s">
        <v>105</v>
      </c>
      <c r="M160" s="121" t="s">
        <v>17</v>
      </c>
    </row>
    <row r="161" spans="1:13" x14ac:dyDescent="0.2">
      <c r="A161" s="121" t="s">
        <v>101</v>
      </c>
      <c r="B161" s="121" t="s">
        <v>102</v>
      </c>
      <c r="C161" s="121" t="s">
        <v>11</v>
      </c>
      <c r="D161" s="121" t="s">
        <v>12</v>
      </c>
      <c r="E161" s="122">
        <v>42927</v>
      </c>
      <c r="F161" s="123">
        <v>75.778908000000001</v>
      </c>
      <c r="G161" s="124" t="s">
        <v>16</v>
      </c>
      <c r="H161" s="121" t="s">
        <v>18</v>
      </c>
      <c r="I161" s="124">
        <v>1</v>
      </c>
      <c r="J161" s="124" t="s">
        <v>15</v>
      </c>
      <c r="K161" s="124" t="s">
        <v>103</v>
      </c>
      <c r="L161" s="121" t="s">
        <v>105</v>
      </c>
      <c r="M161" s="121" t="s">
        <v>17</v>
      </c>
    </row>
    <row r="162" spans="1:13" x14ac:dyDescent="0.2">
      <c r="A162" s="121" t="s">
        <v>101</v>
      </c>
      <c r="B162" s="121" t="s">
        <v>102</v>
      </c>
      <c r="C162" s="121" t="s">
        <v>11</v>
      </c>
      <c r="D162" s="121" t="s">
        <v>12</v>
      </c>
      <c r="E162" s="122">
        <v>42921</v>
      </c>
      <c r="F162" s="133">
        <v>36.122999999999998</v>
      </c>
      <c r="G162" s="124" t="s">
        <v>13</v>
      </c>
      <c r="H162" s="121" t="s">
        <v>14</v>
      </c>
      <c r="I162" s="124">
        <v>1</v>
      </c>
      <c r="J162" s="124" t="s">
        <v>15</v>
      </c>
      <c r="K162" s="124" t="s">
        <v>103</v>
      </c>
      <c r="L162" s="121" t="s">
        <v>105</v>
      </c>
      <c r="M162" s="121" t="s">
        <v>14</v>
      </c>
    </row>
    <row r="163" spans="1:13" x14ac:dyDescent="0.2">
      <c r="A163" s="121" t="s">
        <v>101</v>
      </c>
      <c r="B163" s="121" t="s">
        <v>102</v>
      </c>
      <c r="C163" s="121" t="s">
        <v>11</v>
      </c>
      <c r="D163" s="121" t="s">
        <v>12</v>
      </c>
      <c r="E163" s="122">
        <v>42921</v>
      </c>
      <c r="F163" s="133">
        <v>601.02531090000002</v>
      </c>
      <c r="G163" s="125" t="s">
        <v>16</v>
      </c>
      <c r="H163" s="126" t="s">
        <v>14</v>
      </c>
      <c r="I163" s="124">
        <v>1</v>
      </c>
      <c r="J163" s="124" t="s">
        <v>15</v>
      </c>
      <c r="K163" s="124" t="s">
        <v>103</v>
      </c>
      <c r="L163" s="121" t="s">
        <v>105</v>
      </c>
      <c r="M163" s="121" t="s">
        <v>14</v>
      </c>
    </row>
    <row r="164" spans="1:13" x14ac:dyDescent="0.2">
      <c r="A164" s="121" t="s">
        <v>101</v>
      </c>
      <c r="B164" s="121" t="s">
        <v>102</v>
      </c>
      <c r="C164" s="121" t="s">
        <v>11</v>
      </c>
      <c r="D164" s="121" t="s">
        <v>12</v>
      </c>
      <c r="E164" s="122">
        <v>42921</v>
      </c>
      <c r="F164" s="133">
        <v>6.76</v>
      </c>
      <c r="G164" s="124" t="s">
        <v>13</v>
      </c>
      <c r="H164" s="121" t="s">
        <v>18</v>
      </c>
      <c r="I164" s="124">
        <v>1</v>
      </c>
      <c r="J164" s="124" t="s">
        <v>15</v>
      </c>
      <c r="K164" s="124" t="s">
        <v>103</v>
      </c>
      <c r="L164" s="121" t="s">
        <v>105</v>
      </c>
      <c r="M164" s="121" t="s">
        <v>17</v>
      </c>
    </row>
    <row r="165" spans="1:13" x14ac:dyDescent="0.2">
      <c r="A165" s="121" t="s">
        <v>101</v>
      </c>
      <c r="B165" s="121" t="s">
        <v>102</v>
      </c>
      <c r="C165" s="121" t="s">
        <v>11</v>
      </c>
      <c r="D165" s="121" t="s">
        <v>12</v>
      </c>
      <c r="E165" s="122">
        <v>42921</v>
      </c>
      <c r="F165" s="133">
        <v>125.723832</v>
      </c>
      <c r="G165" s="124" t="s">
        <v>16</v>
      </c>
      <c r="H165" s="121" t="s">
        <v>18</v>
      </c>
      <c r="I165" s="124">
        <v>1</v>
      </c>
      <c r="J165" s="124" t="s">
        <v>15</v>
      </c>
      <c r="K165" s="124" t="s">
        <v>103</v>
      </c>
      <c r="L165" s="121" t="s">
        <v>105</v>
      </c>
      <c r="M165" s="121" t="s">
        <v>17</v>
      </c>
    </row>
    <row r="166" spans="1:13" x14ac:dyDescent="0.2">
      <c r="A166" s="121" t="s">
        <v>101</v>
      </c>
      <c r="B166" s="121" t="s">
        <v>102</v>
      </c>
      <c r="C166" s="121" t="s">
        <v>11</v>
      </c>
      <c r="D166" s="121" t="s">
        <v>12</v>
      </c>
      <c r="E166" s="122">
        <v>42912</v>
      </c>
      <c r="F166" s="123">
        <v>26.96</v>
      </c>
      <c r="G166" s="124" t="s">
        <v>13</v>
      </c>
      <c r="H166" s="121" t="s">
        <v>14</v>
      </c>
      <c r="I166" s="124">
        <v>1</v>
      </c>
      <c r="J166" s="124" t="s">
        <v>15</v>
      </c>
      <c r="K166" s="124" t="s">
        <v>103</v>
      </c>
      <c r="L166" s="121" t="s">
        <v>105</v>
      </c>
      <c r="M166" s="121" t="s">
        <v>14</v>
      </c>
    </row>
    <row r="167" spans="1:13" x14ac:dyDescent="0.2">
      <c r="A167" s="121" t="s">
        <v>101</v>
      </c>
      <c r="B167" s="121" t="s">
        <v>102</v>
      </c>
      <c r="C167" s="121" t="s">
        <v>11</v>
      </c>
      <c r="D167" s="121" t="s">
        <v>12</v>
      </c>
      <c r="E167" s="122">
        <v>42912</v>
      </c>
      <c r="F167" s="123">
        <v>414.39191520000003</v>
      </c>
      <c r="G167" s="124" t="s">
        <v>16</v>
      </c>
      <c r="H167" s="121" t="s">
        <v>14</v>
      </c>
      <c r="I167" s="124">
        <v>1</v>
      </c>
      <c r="J167" s="124" t="s">
        <v>15</v>
      </c>
      <c r="K167" s="124" t="s">
        <v>103</v>
      </c>
      <c r="L167" s="121" t="s">
        <v>105</v>
      </c>
      <c r="M167" s="121" t="s">
        <v>14</v>
      </c>
    </row>
    <row r="168" spans="1:13" x14ac:dyDescent="0.2">
      <c r="A168" s="121" t="s">
        <v>101</v>
      </c>
      <c r="B168" s="121" t="s">
        <v>102</v>
      </c>
      <c r="C168" s="121" t="s">
        <v>11</v>
      </c>
      <c r="D168" s="121" t="s">
        <v>12</v>
      </c>
      <c r="E168" s="122">
        <v>42912</v>
      </c>
      <c r="F168" s="123">
        <v>5.56</v>
      </c>
      <c r="G168" s="124" t="s">
        <v>13</v>
      </c>
      <c r="H168" s="121" t="s">
        <v>18</v>
      </c>
      <c r="I168" s="124">
        <v>1</v>
      </c>
      <c r="J168" s="124" t="s">
        <v>15</v>
      </c>
      <c r="K168" s="124" t="s">
        <v>103</v>
      </c>
      <c r="L168" s="121" t="s">
        <v>105</v>
      </c>
      <c r="M168" s="121" t="s">
        <v>17</v>
      </c>
    </row>
    <row r="169" spans="1:13" x14ac:dyDescent="0.2">
      <c r="A169" s="121" t="s">
        <v>101</v>
      </c>
      <c r="B169" s="121" t="s">
        <v>102</v>
      </c>
      <c r="C169" s="121" t="s">
        <v>11</v>
      </c>
      <c r="D169" s="121" t="s">
        <v>12</v>
      </c>
      <c r="E169" s="122">
        <v>42912</v>
      </c>
      <c r="F169" s="123">
        <v>96.450432000000006</v>
      </c>
      <c r="G169" s="124" t="s">
        <v>16</v>
      </c>
      <c r="H169" s="121" t="s">
        <v>18</v>
      </c>
      <c r="I169" s="124">
        <v>1</v>
      </c>
      <c r="J169" s="124" t="s">
        <v>15</v>
      </c>
      <c r="K169" s="124" t="s">
        <v>103</v>
      </c>
      <c r="L169" s="121" t="s">
        <v>105</v>
      </c>
      <c r="M169" s="121" t="s">
        <v>17</v>
      </c>
    </row>
    <row r="170" spans="1:13" x14ac:dyDescent="0.2">
      <c r="A170" s="121" t="s">
        <v>101</v>
      </c>
      <c r="B170" s="121" t="s">
        <v>102</v>
      </c>
      <c r="C170" s="121" t="s">
        <v>11</v>
      </c>
      <c r="D170" s="121" t="s">
        <v>12</v>
      </c>
      <c r="E170" s="122">
        <v>42905</v>
      </c>
      <c r="F170" s="123">
        <v>27.542000000000002</v>
      </c>
      <c r="G170" s="124" t="s">
        <v>13</v>
      </c>
      <c r="H170" s="121" t="s">
        <v>14</v>
      </c>
      <c r="I170" s="124">
        <v>1</v>
      </c>
      <c r="J170" s="124" t="s">
        <v>15</v>
      </c>
      <c r="K170" s="124" t="s">
        <v>103</v>
      </c>
      <c r="L170" s="121" t="s">
        <v>105</v>
      </c>
      <c r="M170" s="121" t="s">
        <v>14</v>
      </c>
    </row>
    <row r="171" spans="1:13" x14ac:dyDescent="0.2">
      <c r="A171" s="121" t="s">
        <v>101</v>
      </c>
      <c r="B171" s="121" t="s">
        <v>102</v>
      </c>
      <c r="C171" s="121" t="s">
        <v>11</v>
      </c>
      <c r="D171" s="121" t="s">
        <v>12</v>
      </c>
      <c r="E171" s="122">
        <v>42905</v>
      </c>
      <c r="F171" s="123">
        <v>398.30028549999997</v>
      </c>
      <c r="G171" s="124" t="s">
        <v>16</v>
      </c>
      <c r="H171" s="121" t="s">
        <v>14</v>
      </c>
      <c r="I171" s="124">
        <v>1</v>
      </c>
      <c r="J171" s="124" t="s">
        <v>15</v>
      </c>
      <c r="K171" s="124" t="s">
        <v>103</v>
      </c>
      <c r="L171" s="121" t="s">
        <v>105</v>
      </c>
      <c r="M171" s="121" t="s">
        <v>14</v>
      </c>
    </row>
    <row r="172" spans="1:13" x14ac:dyDescent="0.2">
      <c r="A172" s="121" t="s">
        <v>101</v>
      </c>
      <c r="B172" s="121" t="s">
        <v>102</v>
      </c>
      <c r="C172" s="121" t="s">
        <v>11</v>
      </c>
      <c r="D172" s="121" t="s">
        <v>12</v>
      </c>
      <c r="E172" s="122">
        <v>42905</v>
      </c>
      <c r="F172" s="123">
        <v>6</v>
      </c>
      <c r="G172" s="124" t="s">
        <v>13</v>
      </c>
      <c r="H172" s="121" t="s">
        <v>18</v>
      </c>
      <c r="I172" s="124">
        <v>1</v>
      </c>
      <c r="J172" s="124" t="s">
        <v>15</v>
      </c>
      <c r="K172" s="124" t="s">
        <v>103</v>
      </c>
      <c r="L172" s="121" t="s">
        <v>105</v>
      </c>
      <c r="M172" s="121" t="s">
        <v>17</v>
      </c>
    </row>
    <row r="173" spans="1:13" x14ac:dyDescent="0.2">
      <c r="A173" s="121" t="s">
        <v>101</v>
      </c>
      <c r="B173" s="121" t="s">
        <v>102</v>
      </c>
      <c r="C173" s="121" t="s">
        <v>11</v>
      </c>
      <c r="D173" s="121" t="s">
        <v>12</v>
      </c>
      <c r="E173" s="122">
        <v>42905</v>
      </c>
      <c r="F173" s="123">
        <v>105.084</v>
      </c>
      <c r="G173" s="124" t="s">
        <v>16</v>
      </c>
      <c r="H173" s="121" t="s">
        <v>18</v>
      </c>
      <c r="I173" s="124">
        <v>1</v>
      </c>
      <c r="J173" s="124" t="s">
        <v>15</v>
      </c>
      <c r="K173" s="124" t="s">
        <v>103</v>
      </c>
      <c r="L173" s="121" t="s">
        <v>105</v>
      </c>
      <c r="M173" s="121" t="s">
        <v>17</v>
      </c>
    </row>
    <row r="174" spans="1:13" x14ac:dyDescent="0.2">
      <c r="A174" s="121" t="s">
        <v>101</v>
      </c>
      <c r="B174" s="121" t="s">
        <v>102</v>
      </c>
      <c r="C174" s="121" t="s">
        <v>11</v>
      </c>
      <c r="D174" s="121" t="s">
        <v>12</v>
      </c>
      <c r="E174" s="122">
        <v>42898</v>
      </c>
      <c r="F174" s="123">
        <v>26.56</v>
      </c>
      <c r="G174" s="124" t="s">
        <v>13</v>
      </c>
      <c r="H174" s="121" t="s">
        <v>14</v>
      </c>
      <c r="I174" s="124">
        <v>1</v>
      </c>
      <c r="J174" s="124" t="s">
        <v>15</v>
      </c>
      <c r="K174" s="124" t="s">
        <v>103</v>
      </c>
      <c r="L174" s="121" t="s">
        <v>105</v>
      </c>
      <c r="M174" s="121" t="s">
        <v>14</v>
      </c>
    </row>
    <row r="175" spans="1:13" x14ac:dyDescent="0.2">
      <c r="A175" s="121" t="s">
        <v>101</v>
      </c>
      <c r="B175" s="121" t="s">
        <v>102</v>
      </c>
      <c r="C175" s="121" t="s">
        <v>11</v>
      </c>
      <c r="D175" s="121" t="s">
        <v>12</v>
      </c>
      <c r="E175" s="122">
        <v>42898</v>
      </c>
      <c r="F175" s="123">
        <v>404.25648000000001</v>
      </c>
      <c r="G175" s="124" t="s">
        <v>16</v>
      </c>
      <c r="H175" s="121" t="s">
        <v>14</v>
      </c>
      <c r="I175" s="124">
        <v>1</v>
      </c>
      <c r="J175" s="124" t="s">
        <v>15</v>
      </c>
      <c r="K175" s="124" t="s">
        <v>103</v>
      </c>
      <c r="L175" s="121" t="s">
        <v>105</v>
      </c>
      <c r="M175" s="121" t="s">
        <v>14</v>
      </c>
    </row>
    <row r="176" spans="1:13" x14ac:dyDescent="0.2">
      <c r="A176" s="121" t="s">
        <v>101</v>
      </c>
      <c r="B176" s="121" t="s">
        <v>102</v>
      </c>
      <c r="C176" s="121" t="s">
        <v>11</v>
      </c>
      <c r="D176" s="121" t="s">
        <v>12</v>
      </c>
      <c r="E176" s="122">
        <v>42898</v>
      </c>
      <c r="F176" s="123">
        <v>4.71</v>
      </c>
      <c r="G176" s="124" t="s">
        <v>13</v>
      </c>
      <c r="H176" s="121" t="s">
        <v>18</v>
      </c>
      <c r="I176" s="124">
        <v>1</v>
      </c>
      <c r="J176" s="124" t="s">
        <v>15</v>
      </c>
      <c r="K176" s="124" t="s">
        <v>103</v>
      </c>
      <c r="L176" s="121" t="s">
        <v>105</v>
      </c>
      <c r="M176" s="121" t="s">
        <v>17</v>
      </c>
    </row>
    <row r="177" spans="1:13" x14ac:dyDescent="0.2">
      <c r="A177" s="121" t="s">
        <v>101</v>
      </c>
      <c r="B177" s="121" t="s">
        <v>102</v>
      </c>
      <c r="C177" s="121" t="s">
        <v>11</v>
      </c>
      <c r="D177" s="121" t="s">
        <v>12</v>
      </c>
      <c r="E177" s="122">
        <v>42898</v>
      </c>
      <c r="F177" s="123">
        <v>92.31129</v>
      </c>
      <c r="G177" s="124" t="s">
        <v>16</v>
      </c>
      <c r="H177" s="121" t="s">
        <v>18</v>
      </c>
      <c r="I177" s="124">
        <v>1</v>
      </c>
      <c r="J177" s="124" t="s">
        <v>15</v>
      </c>
      <c r="K177" s="124" t="s">
        <v>103</v>
      </c>
      <c r="L177" s="121" t="s">
        <v>105</v>
      </c>
      <c r="M177" s="121" t="s">
        <v>17</v>
      </c>
    </row>
    <row r="178" spans="1:13" x14ac:dyDescent="0.2">
      <c r="A178" s="121" t="s">
        <v>101</v>
      </c>
      <c r="B178" s="121" t="s">
        <v>102</v>
      </c>
      <c r="C178" s="121" t="s">
        <v>11</v>
      </c>
      <c r="D178" s="121" t="s">
        <v>12</v>
      </c>
      <c r="E178" s="122">
        <v>42891</v>
      </c>
      <c r="F178" s="123">
        <v>22.28</v>
      </c>
      <c r="G178" s="124" t="s">
        <v>13</v>
      </c>
      <c r="H178" s="121" t="s">
        <v>14</v>
      </c>
      <c r="I178" s="124">
        <v>1</v>
      </c>
      <c r="J178" s="124" t="s">
        <v>15</v>
      </c>
      <c r="K178" s="124" t="s">
        <v>103</v>
      </c>
      <c r="L178" s="121" t="s">
        <v>105</v>
      </c>
      <c r="M178" s="121" t="s">
        <v>14</v>
      </c>
    </row>
    <row r="179" spans="1:13" x14ac:dyDescent="0.2">
      <c r="A179" s="121" t="s">
        <v>101</v>
      </c>
      <c r="B179" s="121" t="s">
        <v>102</v>
      </c>
      <c r="C179" s="121" t="s">
        <v>11</v>
      </c>
      <c r="D179" s="121" t="s">
        <v>12</v>
      </c>
      <c r="E179" s="122">
        <v>42891</v>
      </c>
      <c r="F179" s="123">
        <v>394.11403919999998</v>
      </c>
      <c r="G179" s="124" t="s">
        <v>16</v>
      </c>
      <c r="H179" s="121" t="s">
        <v>14</v>
      </c>
      <c r="I179" s="124">
        <v>1</v>
      </c>
      <c r="J179" s="124" t="s">
        <v>15</v>
      </c>
      <c r="K179" s="124" t="s">
        <v>103</v>
      </c>
      <c r="L179" s="121" t="s">
        <v>105</v>
      </c>
      <c r="M179" s="121" t="s">
        <v>14</v>
      </c>
    </row>
    <row r="180" spans="1:13" x14ac:dyDescent="0.2">
      <c r="A180" s="121" t="s">
        <v>101</v>
      </c>
      <c r="B180" s="121" t="s">
        <v>102</v>
      </c>
      <c r="C180" s="121" t="s">
        <v>11</v>
      </c>
      <c r="D180" s="121" t="s">
        <v>12</v>
      </c>
      <c r="E180" s="122">
        <v>42891</v>
      </c>
      <c r="F180" s="123">
        <v>4.2300000000000004</v>
      </c>
      <c r="G180" s="124" t="s">
        <v>13</v>
      </c>
      <c r="H180" s="121" t="s">
        <v>18</v>
      </c>
      <c r="I180" s="124">
        <v>1</v>
      </c>
      <c r="J180" s="124" t="s">
        <v>15</v>
      </c>
      <c r="K180" s="124" t="s">
        <v>103</v>
      </c>
      <c r="L180" s="121" t="s">
        <v>105</v>
      </c>
      <c r="M180" s="121" t="s">
        <v>17</v>
      </c>
    </row>
    <row r="181" spans="1:13" x14ac:dyDescent="0.2">
      <c r="A181" s="121" t="s">
        <v>101</v>
      </c>
      <c r="B181" s="121" t="s">
        <v>102</v>
      </c>
      <c r="C181" s="121" t="s">
        <v>11</v>
      </c>
      <c r="D181" s="121" t="s">
        <v>12</v>
      </c>
      <c r="E181" s="122">
        <v>42891</v>
      </c>
      <c r="F181" s="123">
        <v>92.076102000000006</v>
      </c>
      <c r="G181" s="124" t="s">
        <v>16</v>
      </c>
      <c r="H181" s="121" t="s">
        <v>18</v>
      </c>
      <c r="I181" s="124">
        <v>1</v>
      </c>
      <c r="J181" s="124" t="s">
        <v>15</v>
      </c>
      <c r="K181" s="124" t="s">
        <v>103</v>
      </c>
      <c r="L181" s="121" t="s">
        <v>105</v>
      </c>
      <c r="M181" s="121" t="s">
        <v>17</v>
      </c>
    </row>
    <row r="182" spans="1:13" x14ac:dyDescent="0.2">
      <c r="A182" s="121" t="s">
        <v>101</v>
      </c>
      <c r="B182" s="121" t="s">
        <v>102</v>
      </c>
      <c r="C182" s="121" t="s">
        <v>11</v>
      </c>
      <c r="D182" s="121" t="s">
        <v>12</v>
      </c>
      <c r="E182" s="122">
        <v>42887</v>
      </c>
      <c r="F182" s="123">
        <v>16.077000000000002</v>
      </c>
      <c r="G182" s="124" t="s">
        <v>13</v>
      </c>
      <c r="H182" s="121" t="s">
        <v>14</v>
      </c>
      <c r="I182" s="124">
        <v>1</v>
      </c>
      <c r="J182" s="124" t="s">
        <v>15</v>
      </c>
      <c r="K182" s="124" t="s">
        <v>103</v>
      </c>
      <c r="L182" s="121" t="s">
        <v>105</v>
      </c>
      <c r="M182" s="121" t="s">
        <v>14</v>
      </c>
    </row>
    <row r="183" spans="1:13" x14ac:dyDescent="0.2">
      <c r="A183" s="121" t="s">
        <v>101</v>
      </c>
      <c r="B183" s="121" t="s">
        <v>102</v>
      </c>
      <c r="C183" s="121" t="s">
        <v>11</v>
      </c>
      <c r="D183" s="121" t="s">
        <v>12</v>
      </c>
      <c r="E183" s="122">
        <v>42887</v>
      </c>
      <c r="F183" s="123">
        <v>320.72457450000002</v>
      </c>
      <c r="G183" s="124" t="s">
        <v>16</v>
      </c>
      <c r="H183" s="121" t="s">
        <v>14</v>
      </c>
      <c r="I183" s="124">
        <v>1</v>
      </c>
      <c r="J183" s="124" t="s">
        <v>15</v>
      </c>
      <c r="K183" s="124" t="s">
        <v>103</v>
      </c>
      <c r="L183" s="121" t="s">
        <v>105</v>
      </c>
      <c r="M183" s="121" t="s">
        <v>14</v>
      </c>
    </row>
    <row r="184" spans="1:13" x14ac:dyDescent="0.2">
      <c r="A184" s="121" t="s">
        <v>101</v>
      </c>
      <c r="B184" s="121" t="s">
        <v>102</v>
      </c>
      <c r="C184" s="121" t="s">
        <v>11</v>
      </c>
      <c r="D184" s="121" t="s">
        <v>12</v>
      </c>
      <c r="E184" s="122">
        <v>42887</v>
      </c>
      <c r="F184" s="123">
        <v>3.67</v>
      </c>
      <c r="G184" s="124" t="s">
        <v>13</v>
      </c>
      <c r="H184" s="121" t="s">
        <v>18</v>
      </c>
      <c r="I184" s="124">
        <v>1</v>
      </c>
      <c r="J184" s="124" t="s">
        <v>15</v>
      </c>
      <c r="K184" s="124" t="s">
        <v>103</v>
      </c>
      <c r="L184" s="121" t="s">
        <v>105</v>
      </c>
      <c r="M184" s="121" t="s">
        <v>17</v>
      </c>
    </row>
    <row r="185" spans="1:13" x14ac:dyDescent="0.2">
      <c r="A185" s="121" t="s">
        <v>101</v>
      </c>
      <c r="B185" s="121" t="s">
        <v>102</v>
      </c>
      <c r="C185" s="121" t="s">
        <v>11</v>
      </c>
      <c r="D185" s="121" t="s">
        <v>12</v>
      </c>
      <c r="E185" s="122">
        <v>42887</v>
      </c>
      <c r="F185" s="123">
        <v>87.844386</v>
      </c>
      <c r="G185" s="124" t="s">
        <v>16</v>
      </c>
      <c r="H185" s="121" t="s">
        <v>18</v>
      </c>
      <c r="I185" s="124">
        <v>1</v>
      </c>
      <c r="J185" s="124" t="s">
        <v>15</v>
      </c>
      <c r="K185" s="124" t="s">
        <v>103</v>
      </c>
      <c r="L185" s="121" t="s">
        <v>105</v>
      </c>
      <c r="M185" s="121" t="s">
        <v>17</v>
      </c>
    </row>
    <row r="186" spans="1:13" x14ac:dyDescent="0.2">
      <c r="A186" s="121" t="s">
        <v>101</v>
      </c>
      <c r="B186" s="121" t="s">
        <v>102</v>
      </c>
      <c r="C186" s="121" t="s">
        <v>11</v>
      </c>
      <c r="D186" s="121" t="s">
        <v>12</v>
      </c>
      <c r="E186" s="122">
        <v>42877</v>
      </c>
      <c r="F186" s="123">
        <v>11.125</v>
      </c>
      <c r="G186" s="124" t="s">
        <v>13</v>
      </c>
      <c r="H186" s="121" t="s">
        <v>14</v>
      </c>
      <c r="I186" s="124">
        <v>1</v>
      </c>
      <c r="J186" s="124" t="s">
        <v>15</v>
      </c>
      <c r="K186" s="124" t="s">
        <v>103</v>
      </c>
      <c r="L186" s="121" t="s">
        <v>105</v>
      </c>
      <c r="M186" s="121" t="s">
        <v>14</v>
      </c>
    </row>
    <row r="187" spans="1:13" x14ac:dyDescent="0.2">
      <c r="A187" s="121" t="s">
        <v>101</v>
      </c>
      <c r="B187" s="121" t="s">
        <v>102</v>
      </c>
      <c r="C187" s="121" t="s">
        <v>11</v>
      </c>
      <c r="D187" s="121" t="s">
        <v>12</v>
      </c>
      <c r="E187" s="122">
        <v>42877</v>
      </c>
      <c r="F187" s="123">
        <v>371.50112999999999</v>
      </c>
      <c r="G187" s="124" t="s">
        <v>16</v>
      </c>
      <c r="H187" s="121" t="s">
        <v>14</v>
      </c>
      <c r="I187" s="124">
        <v>1</v>
      </c>
      <c r="J187" s="124" t="s">
        <v>15</v>
      </c>
      <c r="K187" s="124" t="s">
        <v>103</v>
      </c>
      <c r="L187" s="121" t="s">
        <v>105</v>
      </c>
      <c r="M187" s="121" t="s">
        <v>14</v>
      </c>
    </row>
    <row r="188" spans="1:13" x14ac:dyDescent="0.2">
      <c r="A188" s="121" t="s">
        <v>101</v>
      </c>
      <c r="B188" s="121" t="s">
        <v>102</v>
      </c>
      <c r="C188" s="121" t="s">
        <v>11</v>
      </c>
      <c r="D188" s="121" t="s">
        <v>12</v>
      </c>
      <c r="E188" s="122">
        <v>42877</v>
      </c>
      <c r="F188" s="123">
        <v>3.5</v>
      </c>
      <c r="G188" s="124" t="s">
        <v>13</v>
      </c>
      <c r="H188" s="121" t="s">
        <v>18</v>
      </c>
      <c r="I188" s="124">
        <v>1</v>
      </c>
      <c r="J188" s="124" t="s">
        <v>15</v>
      </c>
      <c r="K188" s="124" t="s">
        <v>103</v>
      </c>
      <c r="L188" s="121" t="s">
        <v>105</v>
      </c>
      <c r="M188" s="121" t="s">
        <v>17</v>
      </c>
    </row>
    <row r="189" spans="1:13" x14ac:dyDescent="0.2">
      <c r="A189" s="121" t="s">
        <v>101</v>
      </c>
      <c r="B189" s="121" t="s">
        <v>102</v>
      </c>
      <c r="C189" s="121" t="s">
        <v>11</v>
      </c>
      <c r="D189" s="121" t="s">
        <v>12</v>
      </c>
      <c r="E189" s="122">
        <v>42877</v>
      </c>
      <c r="F189" s="123">
        <v>126.10080000000001</v>
      </c>
      <c r="G189" s="124" t="s">
        <v>16</v>
      </c>
      <c r="H189" s="121" t="s">
        <v>18</v>
      </c>
      <c r="I189" s="124">
        <v>1</v>
      </c>
      <c r="J189" s="124" t="s">
        <v>15</v>
      </c>
      <c r="K189" s="124" t="s">
        <v>103</v>
      </c>
      <c r="L189" s="121" t="s">
        <v>105</v>
      </c>
      <c r="M189" s="121" t="s">
        <v>17</v>
      </c>
    </row>
    <row r="190" spans="1:13" x14ac:dyDescent="0.2">
      <c r="A190" s="121" t="s">
        <v>101</v>
      </c>
      <c r="B190" s="121" t="s">
        <v>102</v>
      </c>
      <c r="C190" s="121" t="s">
        <v>11</v>
      </c>
      <c r="D190" s="121" t="s">
        <v>12</v>
      </c>
      <c r="E190" s="122">
        <v>42871</v>
      </c>
      <c r="F190" s="123">
        <v>19.902999999999999</v>
      </c>
      <c r="G190" s="124" t="s">
        <v>13</v>
      </c>
      <c r="H190" s="121" t="s">
        <v>14</v>
      </c>
      <c r="I190" s="124">
        <v>1</v>
      </c>
      <c r="J190" s="124" t="s">
        <v>15</v>
      </c>
      <c r="K190" s="124" t="s">
        <v>103</v>
      </c>
      <c r="L190" s="121" t="s">
        <v>105</v>
      </c>
      <c r="M190" s="121" t="s">
        <v>14</v>
      </c>
    </row>
    <row r="191" spans="1:13" x14ac:dyDescent="0.2">
      <c r="A191" s="121" t="s">
        <v>101</v>
      </c>
      <c r="B191" s="121" t="s">
        <v>102</v>
      </c>
      <c r="C191" s="121" t="s">
        <v>11</v>
      </c>
      <c r="D191" s="121" t="s">
        <v>12</v>
      </c>
      <c r="E191" s="122">
        <v>42871</v>
      </c>
      <c r="F191" s="123">
        <v>436.22440060000002</v>
      </c>
      <c r="G191" s="124" t="s">
        <v>16</v>
      </c>
      <c r="H191" s="121" t="s">
        <v>14</v>
      </c>
      <c r="I191" s="124">
        <v>1</v>
      </c>
      <c r="J191" s="124" t="s">
        <v>15</v>
      </c>
      <c r="K191" s="124" t="s">
        <v>103</v>
      </c>
      <c r="L191" s="121" t="s">
        <v>105</v>
      </c>
      <c r="M191" s="121" t="s">
        <v>14</v>
      </c>
    </row>
    <row r="192" spans="1:13" x14ac:dyDescent="0.2">
      <c r="A192" s="121" t="s">
        <v>101</v>
      </c>
      <c r="B192" s="121" t="s">
        <v>102</v>
      </c>
      <c r="C192" s="121" t="s">
        <v>11</v>
      </c>
      <c r="D192" s="121" t="s">
        <v>12</v>
      </c>
      <c r="E192" s="122">
        <v>42871</v>
      </c>
      <c r="F192" s="123">
        <v>4.49</v>
      </c>
      <c r="G192" s="124" t="s">
        <v>13</v>
      </c>
      <c r="H192" s="121" t="s">
        <v>18</v>
      </c>
      <c r="I192" s="124">
        <v>1</v>
      </c>
      <c r="J192" s="124" t="s">
        <v>15</v>
      </c>
      <c r="K192" s="124" t="s">
        <v>103</v>
      </c>
      <c r="L192" s="121" t="s">
        <v>105</v>
      </c>
      <c r="M192" s="121" t="s">
        <v>17</v>
      </c>
    </row>
    <row r="193" spans="1:13" x14ac:dyDescent="0.2">
      <c r="A193" s="121" t="s">
        <v>101</v>
      </c>
      <c r="B193" s="121" t="s">
        <v>102</v>
      </c>
      <c r="C193" s="121" t="s">
        <v>11</v>
      </c>
      <c r="D193" s="121" t="s">
        <v>12</v>
      </c>
      <c r="E193" s="122">
        <v>42871</v>
      </c>
      <c r="F193" s="123">
        <v>111.965334</v>
      </c>
      <c r="G193" s="124" t="s">
        <v>16</v>
      </c>
      <c r="H193" s="121" t="s">
        <v>18</v>
      </c>
      <c r="I193" s="124">
        <v>1</v>
      </c>
      <c r="J193" s="124" t="s">
        <v>15</v>
      </c>
      <c r="K193" s="124" t="s">
        <v>103</v>
      </c>
      <c r="L193" s="121" t="s">
        <v>105</v>
      </c>
      <c r="M193" s="121" t="s">
        <v>17</v>
      </c>
    </row>
    <row r="194" spans="1:13" x14ac:dyDescent="0.2">
      <c r="A194" s="121" t="s">
        <v>101</v>
      </c>
      <c r="B194" s="121" t="s">
        <v>102</v>
      </c>
      <c r="C194" s="121" t="s">
        <v>11</v>
      </c>
      <c r="D194" s="121" t="s">
        <v>12</v>
      </c>
      <c r="E194" s="122">
        <v>42865</v>
      </c>
      <c r="F194" s="123">
        <v>4.04</v>
      </c>
      <c r="G194" s="124" t="s">
        <v>13</v>
      </c>
      <c r="H194" s="121" t="s">
        <v>18</v>
      </c>
      <c r="I194" s="124">
        <v>1</v>
      </c>
      <c r="J194" s="124" t="s">
        <v>15</v>
      </c>
      <c r="K194" s="124" t="s">
        <v>103</v>
      </c>
      <c r="L194" s="121" t="s">
        <v>105</v>
      </c>
      <c r="M194" s="121" t="s">
        <v>17</v>
      </c>
    </row>
    <row r="195" spans="1:13" x14ac:dyDescent="0.2">
      <c r="A195" s="121" t="s">
        <v>101</v>
      </c>
      <c r="B195" s="121" t="s">
        <v>102</v>
      </c>
      <c r="C195" s="121" t="s">
        <v>11</v>
      </c>
      <c r="D195" s="121" t="s">
        <v>12</v>
      </c>
      <c r="E195" s="122">
        <v>42865</v>
      </c>
      <c r="F195" s="123">
        <v>120.623088</v>
      </c>
      <c r="G195" s="124" t="s">
        <v>16</v>
      </c>
      <c r="H195" s="121" t="s">
        <v>18</v>
      </c>
      <c r="I195" s="124">
        <v>1</v>
      </c>
      <c r="J195" s="124" t="s">
        <v>15</v>
      </c>
      <c r="K195" s="124" t="s">
        <v>103</v>
      </c>
      <c r="L195" s="121" t="s">
        <v>105</v>
      </c>
      <c r="M195" s="121" t="s">
        <v>17</v>
      </c>
    </row>
    <row r="196" spans="1:13" x14ac:dyDescent="0.2">
      <c r="A196" s="121" t="s">
        <v>101</v>
      </c>
      <c r="B196" s="121" t="s">
        <v>102</v>
      </c>
      <c r="C196" s="121" t="s">
        <v>11</v>
      </c>
      <c r="D196" s="121" t="s">
        <v>12</v>
      </c>
      <c r="E196" s="122">
        <v>42863</v>
      </c>
      <c r="F196" s="123">
        <v>13.933</v>
      </c>
      <c r="G196" s="124" t="s">
        <v>13</v>
      </c>
      <c r="H196" s="121" t="s">
        <v>14</v>
      </c>
      <c r="I196" s="124">
        <v>1</v>
      </c>
      <c r="J196" s="124" t="s">
        <v>15</v>
      </c>
      <c r="K196" s="124" t="s">
        <v>103</v>
      </c>
      <c r="L196" s="121" t="s">
        <v>105</v>
      </c>
      <c r="M196" s="121" t="s">
        <v>14</v>
      </c>
    </row>
    <row r="197" spans="1:13" x14ac:dyDescent="0.2">
      <c r="A197" s="121" t="s">
        <v>101</v>
      </c>
      <c r="B197" s="121" t="s">
        <v>102</v>
      </c>
      <c r="C197" s="121" t="s">
        <v>11</v>
      </c>
      <c r="D197" s="121" t="s">
        <v>12</v>
      </c>
      <c r="E197" s="122">
        <v>42863</v>
      </c>
      <c r="F197" s="123">
        <v>330.12766599999998</v>
      </c>
      <c r="G197" s="124" t="s">
        <v>16</v>
      </c>
      <c r="H197" s="121" t="s">
        <v>14</v>
      </c>
      <c r="I197" s="124">
        <v>1</v>
      </c>
      <c r="J197" s="124" t="s">
        <v>15</v>
      </c>
      <c r="K197" s="124" t="s">
        <v>103</v>
      </c>
      <c r="L197" s="121" t="s">
        <v>105</v>
      </c>
      <c r="M197" s="121" t="s">
        <v>14</v>
      </c>
    </row>
    <row r="198" spans="1:13" x14ac:dyDescent="0.2">
      <c r="A198" s="121" t="s">
        <v>101</v>
      </c>
      <c r="B198" s="121" t="s">
        <v>102</v>
      </c>
      <c r="C198" s="121" t="s">
        <v>11</v>
      </c>
      <c r="D198" s="121" t="s">
        <v>12</v>
      </c>
      <c r="E198" s="122">
        <v>42856</v>
      </c>
      <c r="F198" s="123">
        <v>16.088999999999999</v>
      </c>
      <c r="G198" s="124" t="s">
        <v>13</v>
      </c>
      <c r="H198" s="121" t="s">
        <v>14</v>
      </c>
      <c r="I198" s="124">
        <v>1</v>
      </c>
      <c r="J198" s="124" t="s">
        <v>15</v>
      </c>
      <c r="K198" s="124" t="s">
        <v>103</v>
      </c>
      <c r="L198" s="121" t="s">
        <v>105</v>
      </c>
      <c r="M198" s="121" t="s">
        <v>14</v>
      </c>
    </row>
    <row r="199" spans="1:13" x14ac:dyDescent="0.2">
      <c r="A199" s="121" t="s">
        <v>101</v>
      </c>
      <c r="B199" s="121" t="s">
        <v>102</v>
      </c>
      <c r="C199" s="121" t="s">
        <v>11</v>
      </c>
      <c r="D199" s="121" t="s">
        <v>12</v>
      </c>
      <c r="E199" s="122">
        <v>42856</v>
      </c>
      <c r="F199" s="123">
        <v>494.7299926</v>
      </c>
      <c r="G199" s="124" t="s">
        <v>16</v>
      </c>
      <c r="H199" s="121" t="s">
        <v>14</v>
      </c>
      <c r="I199" s="124">
        <v>1</v>
      </c>
      <c r="J199" s="124" t="s">
        <v>15</v>
      </c>
      <c r="K199" s="124" t="s">
        <v>103</v>
      </c>
      <c r="L199" s="121" t="s">
        <v>105</v>
      </c>
      <c r="M199" s="121" t="s">
        <v>14</v>
      </c>
    </row>
    <row r="200" spans="1:13" x14ac:dyDescent="0.2">
      <c r="A200" s="121" t="s">
        <v>101</v>
      </c>
      <c r="B200" s="121" t="s">
        <v>102</v>
      </c>
      <c r="C200" s="121" t="s">
        <v>11</v>
      </c>
      <c r="D200" s="121" t="s">
        <v>12</v>
      </c>
      <c r="E200" s="122">
        <v>42856</v>
      </c>
      <c r="F200" s="123">
        <v>4.8600000000000003</v>
      </c>
      <c r="G200" s="124" t="s">
        <v>13</v>
      </c>
      <c r="H200" s="121" t="s">
        <v>18</v>
      </c>
      <c r="I200" s="124">
        <v>1</v>
      </c>
      <c r="J200" s="124" t="s">
        <v>15</v>
      </c>
      <c r="K200" s="124" t="s">
        <v>103</v>
      </c>
      <c r="L200" s="121" t="s">
        <v>105</v>
      </c>
      <c r="M200" s="121" t="s">
        <v>17</v>
      </c>
    </row>
    <row r="201" spans="1:13" x14ac:dyDescent="0.2">
      <c r="A201" s="121" t="s">
        <v>101</v>
      </c>
      <c r="B201" s="121" t="s">
        <v>102</v>
      </c>
      <c r="C201" s="121" t="s">
        <v>11</v>
      </c>
      <c r="D201" s="121" t="s">
        <v>12</v>
      </c>
      <c r="E201" s="122">
        <v>42856</v>
      </c>
      <c r="F201" s="123">
        <v>159.69765599999999</v>
      </c>
      <c r="G201" s="124" t="s">
        <v>16</v>
      </c>
      <c r="H201" s="121" t="s">
        <v>18</v>
      </c>
      <c r="I201" s="124">
        <v>1</v>
      </c>
      <c r="J201" s="124" t="s">
        <v>15</v>
      </c>
      <c r="K201" s="124" t="s">
        <v>103</v>
      </c>
      <c r="L201" s="121" t="s">
        <v>105</v>
      </c>
      <c r="M201" s="121" t="s">
        <v>17</v>
      </c>
    </row>
    <row r="202" spans="1:13" x14ac:dyDescent="0.2">
      <c r="A202" s="121" t="s">
        <v>101</v>
      </c>
      <c r="B202" s="121" t="s">
        <v>102</v>
      </c>
      <c r="C202" s="121" t="s">
        <v>11</v>
      </c>
      <c r="D202" s="121" t="s">
        <v>12</v>
      </c>
      <c r="E202" s="122">
        <v>42850</v>
      </c>
      <c r="F202" s="123">
        <v>11.94</v>
      </c>
      <c r="G202" s="124" t="s">
        <v>13</v>
      </c>
      <c r="H202" s="121" t="s">
        <v>14</v>
      </c>
      <c r="I202" s="124">
        <v>1</v>
      </c>
      <c r="J202" s="124" t="s">
        <v>15</v>
      </c>
      <c r="K202" s="124" t="s">
        <v>103</v>
      </c>
      <c r="L202" s="121" t="s">
        <v>104</v>
      </c>
    </row>
    <row r="203" spans="1:13" x14ac:dyDescent="0.2">
      <c r="A203" s="121" t="s">
        <v>101</v>
      </c>
      <c r="B203" s="121" t="s">
        <v>102</v>
      </c>
      <c r="C203" s="121" t="s">
        <v>11</v>
      </c>
      <c r="D203" s="121" t="s">
        <v>12</v>
      </c>
      <c r="E203" s="122">
        <v>42850</v>
      </c>
      <c r="F203" s="123">
        <v>280.01783519999998</v>
      </c>
      <c r="G203" s="124" t="s">
        <v>16</v>
      </c>
      <c r="H203" s="121" t="s">
        <v>14</v>
      </c>
      <c r="I203" s="124">
        <v>1</v>
      </c>
      <c r="J203" s="124" t="s">
        <v>15</v>
      </c>
      <c r="K203" s="124" t="s">
        <v>103</v>
      </c>
      <c r="L203" s="121" t="s">
        <v>104</v>
      </c>
    </row>
    <row r="204" spans="1:13" x14ac:dyDescent="0.2">
      <c r="A204" s="121" t="s">
        <v>101</v>
      </c>
      <c r="B204" s="121" t="s">
        <v>102</v>
      </c>
      <c r="C204" s="121" t="s">
        <v>11</v>
      </c>
      <c r="D204" s="121" t="s">
        <v>12</v>
      </c>
      <c r="E204" s="122">
        <v>42850</v>
      </c>
      <c r="F204" s="123">
        <v>4.5</v>
      </c>
      <c r="G204" s="124" t="s">
        <v>13</v>
      </c>
      <c r="H204" s="121" t="s">
        <v>18</v>
      </c>
      <c r="I204" s="124">
        <v>1</v>
      </c>
      <c r="J204" s="124" t="s">
        <v>15</v>
      </c>
      <c r="K204" s="124" t="s">
        <v>103</v>
      </c>
      <c r="L204" s="121" t="s">
        <v>104</v>
      </c>
    </row>
    <row r="205" spans="1:13" x14ac:dyDescent="0.2">
      <c r="A205" s="121" t="s">
        <v>101</v>
      </c>
      <c r="B205" s="121" t="s">
        <v>102</v>
      </c>
      <c r="C205" s="121" t="s">
        <v>11</v>
      </c>
      <c r="D205" s="121" t="s">
        <v>12</v>
      </c>
      <c r="E205" s="122">
        <v>42850</v>
      </c>
      <c r="F205" s="123">
        <v>132.10560000000001</v>
      </c>
      <c r="G205" s="124" t="s">
        <v>16</v>
      </c>
      <c r="H205" s="121" t="s">
        <v>18</v>
      </c>
      <c r="I205" s="124">
        <v>1</v>
      </c>
      <c r="J205" s="124" t="s">
        <v>15</v>
      </c>
      <c r="K205" s="124" t="s">
        <v>103</v>
      </c>
      <c r="L205" s="121" t="s">
        <v>104</v>
      </c>
    </row>
    <row r="206" spans="1:13" x14ac:dyDescent="0.2">
      <c r="A206" s="121" t="s">
        <v>101</v>
      </c>
      <c r="B206" s="121" t="s">
        <v>102</v>
      </c>
      <c r="C206" s="121" t="s">
        <v>11</v>
      </c>
      <c r="D206" s="121" t="s">
        <v>12</v>
      </c>
      <c r="E206" s="122">
        <v>42843</v>
      </c>
      <c r="F206" s="123">
        <v>15.7</v>
      </c>
      <c r="G206" s="124" t="s">
        <v>13</v>
      </c>
      <c r="H206" s="121" t="s">
        <v>14</v>
      </c>
      <c r="I206" s="124">
        <v>1</v>
      </c>
      <c r="J206" s="124" t="s">
        <v>15</v>
      </c>
      <c r="K206" s="124" t="s">
        <v>103</v>
      </c>
      <c r="L206" s="121" t="s">
        <v>104</v>
      </c>
    </row>
    <row r="207" spans="1:13" x14ac:dyDescent="0.2">
      <c r="A207" s="121" t="s">
        <v>101</v>
      </c>
      <c r="B207" s="121" t="s">
        <v>102</v>
      </c>
      <c r="C207" s="121" t="s">
        <v>11</v>
      </c>
      <c r="D207" s="121" t="s">
        <v>12</v>
      </c>
      <c r="E207" s="122">
        <v>42843</v>
      </c>
      <c r="F207" s="123">
        <v>404.99123400000002</v>
      </c>
      <c r="G207" s="124" t="s">
        <v>16</v>
      </c>
      <c r="H207" s="121" t="s">
        <v>14</v>
      </c>
      <c r="I207" s="124">
        <v>1</v>
      </c>
      <c r="J207" s="124" t="s">
        <v>15</v>
      </c>
      <c r="K207" s="124" t="s">
        <v>103</v>
      </c>
      <c r="L207" s="121" t="s">
        <v>104</v>
      </c>
    </row>
    <row r="208" spans="1:13" x14ac:dyDescent="0.2">
      <c r="A208" s="121" t="s">
        <v>101</v>
      </c>
      <c r="B208" s="121" t="s">
        <v>102</v>
      </c>
      <c r="C208" s="121" t="s">
        <v>11</v>
      </c>
      <c r="D208" s="121" t="s">
        <v>12</v>
      </c>
      <c r="E208" s="122">
        <v>42843</v>
      </c>
      <c r="F208" s="123">
        <v>3.95</v>
      </c>
      <c r="G208" s="124" t="s">
        <v>13</v>
      </c>
      <c r="H208" s="121" t="s">
        <v>18</v>
      </c>
      <c r="I208" s="124">
        <v>1</v>
      </c>
      <c r="J208" s="124" t="s">
        <v>15</v>
      </c>
      <c r="K208" s="124" t="s">
        <v>103</v>
      </c>
      <c r="L208" s="121" t="s">
        <v>104</v>
      </c>
    </row>
    <row r="209" spans="1:12" x14ac:dyDescent="0.2">
      <c r="A209" s="121" t="s">
        <v>101</v>
      </c>
      <c r="B209" s="121" t="s">
        <v>102</v>
      </c>
      <c r="C209" s="121" t="s">
        <v>11</v>
      </c>
      <c r="D209" s="121" t="s">
        <v>12</v>
      </c>
      <c r="E209" s="122">
        <v>42843</v>
      </c>
      <c r="F209" s="123">
        <v>115.3005</v>
      </c>
      <c r="G209" s="124" t="s">
        <v>16</v>
      </c>
      <c r="H209" s="121" t="s">
        <v>18</v>
      </c>
      <c r="I209" s="124">
        <v>1</v>
      </c>
      <c r="J209" s="124" t="s">
        <v>15</v>
      </c>
      <c r="K209" s="124" t="s">
        <v>103</v>
      </c>
      <c r="L209" s="121" t="s">
        <v>104</v>
      </c>
    </row>
    <row r="210" spans="1:12" x14ac:dyDescent="0.2">
      <c r="A210" s="121" t="s">
        <v>101</v>
      </c>
      <c r="B210" s="121" t="s">
        <v>102</v>
      </c>
      <c r="C210" s="121" t="s">
        <v>11</v>
      </c>
      <c r="D210" s="121" t="s">
        <v>12</v>
      </c>
      <c r="E210" s="122">
        <v>42837</v>
      </c>
      <c r="F210" s="123">
        <v>9.7899999999999991</v>
      </c>
      <c r="G210" s="124" t="s">
        <v>13</v>
      </c>
      <c r="H210" s="121" t="s">
        <v>14</v>
      </c>
      <c r="I210" s="124">
        <v>1</v>
      </c>
      <c r="J210" s="124" t="s">
        <v>15</v>
      </c>
      <c r="K210" s="124" t="s">
        <v>103</v>
      </c>
      <c r="L210" s="121" t="s">
        <v>104</v>
      </c>
    </row>
    <row r="211" spans="1:12" x14ac:dyDescent="0.2">
      <c r="A211" s="121" t="s">
        <v>101</v>
      </c>
      <c r="B211" s="121" t="s">
        <v>102</v>
      </c>
      <c r="C211" s="121" t="s">
        <v>11</v>
      </c>
      <c r="D211" s="121" t="s">
        <v>12</v>
      </c>
      <c r="E211" s="122">
        <v>42837</v>
      </c>
      <c r="F211" s="123">
        <v>226.4115678</v>
      </c>
      <c r="G211" s="124" t="s">
        <v>16</v>
      </c>
      <c r="H211" s="121" t="s">
        <v>14</v>
      </c>
      <c r="I211" s="124">
        <v>1</v>
      </c>
      <c r="J211" s="124" t="s">
        <v>15</v>
      </c>
      <c r="K211" s="124" t="s">
        <v>103</v>
      </c>
      <c r="L211" s="121" t="s">
        <v>104</v>
      </c>
    </row>
    <row r="212" spans="1:12" x14ac:dyDescent="0.2">
      <c r="A212" s="121" t="s">
        <v>101</v>
      </c>
      <c r="B212" s="121" t="s">
        <v>102</v>
      </c>
      <c r="C212" s="121" t="s">
        <v>11</v>
      </c>
      <c r="D212" s="121" t="s">
        <v>12</v>
      </c>
      <c r="E212" s="122">
        <v>42837</v>
      </c>
      <c r="F212" s="123">
        <v>4</v>
      </c>
      <c r="G212" s="124" t="s">
        <v>13</v>
      </c>
      <c r="H212" s="121" t="s">
        <v>18</v>
      </c>
      <c r="I212" s="124">
        <v>1</v>
      </c>
      <c r="J212" s="124" t="s">
        <v>15</v>
      </c>
      <c r="K212" s="124" t="s">
        <v>103</v>
      </c>
      <c r="L212" s="121" t="s">
        <v>104</v>
      </c>
    </row>
    <row r="213" spans="1:12" x14ac:dyDescent="0.2">
      <c r="A213" s="121" t="s">
        <v>101</v>
      </c>
      <c r="B213" s="121" t="s">
        <v>102</v>
      </c>
      <c r="C213" s="121" t="s">
        <v>11</v>
      </c>
      <c r="D213" s="121" t="s">
        <v>12</v>
      </c>
      <c r="E213" s="122">
        <v>42837</v>
      </c>
      <c r="F213" s="123">
        <v>99.746399999999994</v>
      </c>
      <c r="G213" s="124" t="s">
        <v>16</v>
      </c>
      <c r="H213" s="121" t="s">
        <v>18</v>
      </c>
      <c r="I213" s="124">
        <v>1</v>
      </c>
      <c r="J213" s="124" t="s">
        <v>15</v>
      </c>
      <c r="K213" s="124" t="s">
        <v>103</v>
      </c>
      <c r="L213" s="121" t="s">
        <v>104</v>
      </c>
    </row>
    <row r="214" spans="1:12" x14ac:dyDescent="0.2">
      <c r="A214" s="121" t="s">
        <v>101</v>
      </c>
      <c r="B214" s="121" t="s">
        <v>102</v>
      </c>
      <c r="C214" s="121" t="s">
        <v>11</v>
      </c>
      <c r="D214" s="121" t="s">
        <v>12</v>
      </c>
      <c r="E214" s="122">
        <v>42828</v>
      </c>
      <c r="F214" s="123">
        <v>16.7</v>
      </c>
      <c r="G214" s="124" t="s">
        <v>13</v>
      </c>
      <c r="H214" s="121" t="s">
        <v>14</v>
      </c>
      <c r="I214" s="124">
        <v>1</v>
      </c>
      <c r="J214" s="124" t="s">
        <v>15</v>
      </c>
      <c r="K214" s="124" t="s">
        <v>103</v>
      </c>
      <c r="L214" s="121" t="s">
        <v>104</v>
      </c>
    </row>
    <row r="215" spans="1:12" x14ac:dyDescent="0.2">
      <c r="A215" s="121" t="s">
        <v>101</v>
      </c>
      <c r="B215" s="121" t="s">
        <v>102</v>
      </c>
      <c r="C215" s="121" t="s">
        <v>11</v>
      </c>
      <c r="D215" s="121" t="s">
        <v>12</v>
      </c>
      <c r="E215" s="122">
        <v>42828</v>
      </c>
      <c r="F215" s="123">
        <v>400.006416</v>
      </c>
      <c r="G215" s="124" t="s">
        <v>16</v>
      </c>
      <c r="H215" s="121" t="s">
        <v>14</v>
      </c>
      <c r="I215" s="124">
        <v>1</v>
      </c>
      <c r="J215" s="124" t="s">
        <v>15</v>
      </c>
      <c r="K215" s="124" t="s">
        <v>103</v>
      </c>
      <c r="L215" s="121" t="s">
        <v>104</v>
      </c>
    </row>
    <row r="216" spans="1:12" x14ac:dyDescent="0.2">
      <c r="A216" s="121" t="s">
        <v>101</v>
      </c>
      <c r="B216" s="121" t="s">
        <v>102</v>
      </c>
      <c r="C216" s="121" t="s">
        <v>11</v>
      </c>
      <c r="D216" s="121" t="s">
        <v>12</v>
      </c>
      <c r="E216" s="122">
        <v>42828</v>
      </c>
      <c r="F216" s="123">
        <v>3.61</v>
      </c>
      <c r="G216" s="124" t="s">
        <v>13</v>
      </c>
      <c r="H216" s="121" t="s">
        <v>18</v>
      </c>
      <c r="I216" s="124">
        <v>1</v>
      </c>
      <c r="J216" s="124" t="s">
        <v>15</v>
      </c>
      <c r="K216" s="124" t="s">
        <v>103</v>
      </c>
      <c r="L216" s="121" t="s">
        <v>104</v>
      </c>
    </row>
    <row r="217" spans="1:12" x14ac:dyDescent="0.2">
      <c r="A217" s="121" t="s">
        <v>101</v>
      </c>
      <c r="B217" s="121" t="s">
        <v>102</v>
      </c>
      <c r="C217" s="121" t="s">
        <v>11</v>
      </c>
      <c r="D217" s="121" t="s">
        <v>12</v>
      </c>
      <c r="E217" s="122">
        <v>42828</v>
      </c>
      <c r="F217" s="123">
        <v>102.666234</v>
      </c>
      <c r="G217" s="124" t="s">
        <v>16</v>
      </c>
      <c r="H217" s="121" t="s">
        <v>18</v>
      </c>
      <c r="I217" s="124">
        <v>1</v>
      </c>
      <c r="J217" s="124" t="s">
        <v>15</v>
      </c>
      <c r="K217" s="124" t="s">
        <v>103</v>
      </c>
      <c r="L217" s="121" t="s">
        <v>104</v>
      </c>
    </row>
    <row r="218" spans="1:12" x14ac:dyDescent="0.2">
      <c r="A218" s="121" t="s">
        <v>101</v>
      </c>
      <c r="B218" s="121" t="s">
        <v>102</v>
      </c>
      <c r="C218" s="121" t="s">
        <v>11</v>
      </c>
      <c r="D218" s="121" t="s">
        <v>12</v>
      </c>
      <c r="E218" s="122">
        <v>42822</v>
      </c>
      <c r="F218" s="123">
        <v>17.29</v>
      </c>
      <c r="G218" s="124" t="s">
        <v>13</v>
      </c>
      <c r="H218" s="121" t="s">
        <v>14</v>
      </c>
      <c r="I218" s="124">
        <v>1</v>
      </c>
      <c r="J218" s="124" t="s">
        <v>15</v>
      </c>
      <c r="K218" s="124" t="s">
        <v>103</v>
      </c>
      <c r="L218" s="121" t="s">
        <v>104</v>
      </c>
    </row>
    <row r="219" spans="1:12" x14ac:dyDescent="0.2">
      <c r="A219" s="121" t="s">
        <v>101</v>
      </c>
      <c r="B219" s="121" t="s">
        <v>102</v>
      </c>
      <c r="C219" s="121" t="s">
        <v>11</v>
      </c>
      <c r="D219" s="121" t="s">
        <v>12</v>
      </c>
      <c r="E219" s="122">
        <v>42822</v>
      </c>
      <c r="F219" s="123">
        <v>303.24965580000003</v>
      </c>
      <c r="G219" s="124" t="s">
        <v>16</v>
      </c>
      <c r="H219" s="121" t="s">
        <v>14</v>
      </c>
      <c r="I219" s="124">
        <v>1</v>
      </c>
      <c r="J219" s="124" t="s">
        <v>15</v>
      </c>
      <c r="K219" s="124" t="s">
        <v>103</v>
      </c>
      <c r="L219" s="121" t="s">
        <v>104</v>
      </c>
    </row>
    <row r="220" spans="1:12" x14ac:dyDescent="0.2">
      <c r="A220" s="121" t="s">
        <v>101</v>
      </c>
      <c r="B220" s="121" t="s">
        <v>102</v>
      </c>
      <c r="C220" s="121" t="s">
        <v>11</v>
      </c>
      <c r="D220" s="121" t="s">
        <v>12</v>
      </c>
      <c r="E220" s="122">
        <v>42822</v>
      </c>
      <c r="F220" s="123">
        <v>5.16</v>
      </c>
      <c r="G220" s="124" t="s">
        <v>13</v>
      </c>
      <c r="H220" s="121" t="s">
        <v>18</v>
      </c>
      <c r="I220" s="124">
        <v>1</v>
      </c>
      <c r="J220" s="124" t="s">
        <v>15</v>
      </c>
      <c r="K220" s="124" t="s">
        <v>103</v>
      </c>
      <c r="L220" s="121" t="s">
        <v>104</v>
      </c>
    </row>
    <row r="221" spans="1:12" x14ac:dyDescent="0.2">
      <c r="A221" s="121" t="s">
        <v>101</v>
      </c>
      <c r="B221" s="121" t="s">
        <v>102</v>
      </c>
      <c r="C221" s="121" t="s">
        <v>11</v>
      </c>
      <c r="D221" s="121" t="s">
        <v>12</v>
      </c>
      <c r="E221" s="122">
        <v>42822</v>
      </c>
      <c r="F221" s="123">
        <v>102.852216</v>
      </c>
      <c r="G221" s="124" t="s">
        <v>16</v>
      </c>
      <c r="H221" s="121" t="s">
        <v>18</v>
      </c>
      <c r="I221" s="124">
        <v>1</v>
      </c>
      <c r="J221" s="124" t="s">
        <v>15</v>
      </c>
      <c r="K221" s="124" t="s">
        <v>103</v>
      </c>
      <c r="L221" s="121" t="s">
        <v>104</v>
      </c>
    </row>
    <row r="222" spans="1:12" x14ac:dyDescent="0.2">
      <c r="A222" s="121" t="s">
        <v>101</v>
      </c>
      <c r="B222" s="121" t="s">
        <v>102</v>
      </c>
      <c r="C222" s="121" t="s">
        <v>11</v>
      </c>
      <c r="D222" s="121" t="s">
        <v>12</v>
      </c>
      <c r="E222" s="122">
        <v>42815</v>
      </c>
      <c r="F222" s="123">
        <v>13.45</v>
      </c>
      <c r="G222" s="124" t="s">
        <v>13</v>
      </c>
      <c r="H222" s="121" t="s">
        <v>14</v>
      </c>
      <c r="I222" s="124">
        <v>1</v>
      </c>
      <c r="J222" s="124" t="s">
        <v>15</v>
      </c>
      <c r="K222" s="124" t="s">
        <v>103</v>
      </c>
      <c r="L222" s="121" t="s">
        <v>104</v>
      </c>
    </row>
    <row r="223" spans="1:12" x14ac:dyDescent="0.2">
      <c r="A223" s="121" t="s">
        <v>101</v>
      </c>
      <c r="B223" s="121" t="s">
        <v>102</v>
      </c>
      <c r="C223" s="121" t="s">
        <v>11</v>
      </c>
      <c r="D223" s="121" t="s">
        <v>12</v>
      </c>
      <c r="E223" s="122">
        <v>42815</v>
      </c>
      <c r="F223" s="123">
        <v>261.02657099999999</v>
      </c>
      <c r="G223" s="124" t="s">
        <v>16</v>
      </c>
      <c r="H223" s="121" t="s">
        <v>14</v>
      </c>
      <c r="I223" s="124">
        <v>1</v>
      </c>
      <c r="J223" s="124" t="s">
        <v>15</v>
      </c>
      <c r="K223" s="124" t="s">
        <v>103</v>
      </c>
      <c r="L223" s="121" t="s">
        <v>104</v>
      </c>
    </row>
    <row r="224" spans="1:12" x14ac:dyDescent="0.2">
      <c r="A224" s="121" t="s">
        <v>101</v>
      </c>
      <c r="B224" s="121" t="s">
        <v>102</v>
      </c>
      <c r="C224" s="121" t="s">
        <v>11</v>
      </c>
      <c r="D224" s="121" t="s">
        <v>12</v>
      </c>
      <c r="E224" s="122">
        <v>42815</v>
      </c>
      <c r="F224" s="123">
        <v>5.3</v>
      </c>
      <c r="G224" s="124" t="s">
        <v>13</v>
      </c>
      <c r="H224" s="121" t="s">
        <v>18</v>
      </c>
      <c r="I224" s="124">
        <v>1</v>
      </c>
      <c r="J224" s="124" t="s">
        <v>15</v>
      </c>
      <c r="K224" s="124" t="s">
        <v>103</v>
      </c>
      <c r="L224" s="121" t="s">
        <v>104</v>
      </c>
    </row>
    <row r="225" spans="1:12" x14ac:dyDescent="0.2">
      <c r="A225" s="121" t="s">
        <v>101</v>
      </c>
      <c r="B225" s="121" t="s">
        <v>102</v>
      </c>
      <c r="C225" s="121" t="s">
        <v>11</v>
      </c>
      <c r="D225" s="121" t="s">
        <v>12</v>
      </c>
      <c r="E225" s="122">
        <v>42815</v>
      </c>
      <c r="F225" s="123">
        <v>116.25126</v>
      </c>
      <c r="G225" s="124" t="s">
        <v>16</v>
      </c>
      <c r="H225" s="121" t="s">
        <v>18</v>
      </c>
      <c r="I225" s="124">
        <v>1</v>
      </c>
      <c r="J225" s="124" t="s">
        <v>15</v>
      </c>
      <c r="K225" s="124" t="s">
        <v>103</v>
      </c>
      <c r="L225" s="121" t="s">
        <v>104</v>
      </c>
    </row>
    <row r="226" spans="1:12" x14ac:dyDescent="0.2">
      <c r="A226" s="121" t="s">
        <v>101</v>
      </c>
      <c r="B226" s="121" t="s">
        <v>102</v>
      </c>
      <c r="C226" s="121" t="s">
        <v>11</v>
      </c>
      <c r="D226" s="121" t="s">
        <v>12</v>
      </c>
      <c r="E226" s="122">
        <v>42808</v>
      </c>
      <c r="F226" s="123">
        <v>15.2</v>
      </c>
      <c r="G226" s="124" t="s">
        <v>13</v>
      </c>
      <c r="H226" s="121" t="s">
        <v>14</v>
      </c>
      <c r="I226" s="124">
        <v>1</v>
      </c>
      <c r="J226" s="124" t="s">
        <v>15</v>
      </c>
      <c r="K226" s="124" t="s">
        <v>103</v>
      </c>
      <c r="L226" s="121" t="s">
        <v>104</v>
      </c>
    </row>
    <row r="227" spans="1:12" x14ac:dyDescent="0.2">
      <c r="A227" s="121" t="s">
        <v>101</v>
      </c>
      <c r="B227" s="121" t="s">
        <v>102</v>
      </c>
      <c r="C227" s="121" t="s">
        <v>11</v>
      </c>
      <c r="D227" s="121" t="s">
        <v>12</v>
      </c>
      <c r="E227" s="122">
        <v>42808</v>
      </c>
      <c r="F227" s="123">
        <v>308.55331200000001</v>
      </c>
      <c r="G227" s="124" t="s">
        <v>16</v>
      </c>
      <c r="H227" s="121" t="s">
        <v>14</v>
      </c>
      <c r="I227" s="124">
        <v>1</v>
      </c>
      <c r="J227" s="124" t="s">
        <v>15</v>
      </c>
      <c r="K227" s="124" t="s">
        <v>103</v>
      </c>
      <c r="L227" s="121" t="s">
        <v>104</v>
      </c>
    </row>
    <row r="228" spans="1:12" x14ac:dyDescent="0.2">
      <c r="A228" s="121" t="s">
        <v>101</v>
      </c>
      <c r="B228" s="121" t="s">
        <v>102</v>
      </c>
      <c r="C228" s="121" t="s">
        <v>11</v>
      </c>
      <c r="D228" s="121" t="s">
        <v>12</v>
      </c>
      <c r="E228" s="122">
        <v>42808</v>
      </c>
      <c r="F228" s="123">
        <v>5.71</v>
      </c>
      <c r="G228" s="124" t="s">
        <v>13</v>
      </c>
      <c r="H228" s="121" t="s">
        <v>18</v>
      </c>
      <c r="I228" s="124">
        <v>1</v>
      </c>
      <c r="J228" s="124" t="s">
        <v>15</v>
      </c>
      <c r="K228" s="124" t="s">
        <v>103</v>
      </c>
      <c r="L228" s="121" t="s">
        <v>104</v>
      </c>
    </row>
    <row r="229" spans="1:12" x14ac:dyDescent="0.2">
      <c r="A229" s="121" t="s">
        <v>101</v>
      </c>
      <c r="B229" s="121" t="s">
        <v>102</v>
      </c>
      <c r="C229" s="121" t="s">
        <v>11</v>
      </c>
      <c r="D229" s="121" t="s">
        <v>12</v>
      </c>
      <c r="E229" s="122">
        <v>42808</v>
      </c>
      <c r="F229" s="123">
        <v>118.101072</v>
      </c>
      <c r="G229" s="124" t="s">
        <v>16</v>
      </c>
      <c r="H229" s="121" t="s">
        <v>18</v>
      </c>
      <c r="I229" s="124">
        <v>1</v>
      </c>
      <c r="J229" s="124" t="s">
        <v>15</v>
      </c>
      <c r="K229" s="124" t="s">
        <v>103</v>
      </c>
      <c r="L229" s="121" t="s">
        <v>104</v>
      </c>
    </row>
    <row r="230" spans="1:12" x14ac:dyDescent="0.2">
      <c r="A230" s="121" t="s">
        <v>101</v>
      </c>
      <c r="B230" s="121" t="s">
        <v>102</v>
      </c>
      <c r="C230" s="121" t="s">
        <v>11</v>
      </c>
      <c r="D230" s="121" t="s">
        <v>12</v>
      </c>
      <c r="E230" s="122">
        <v>42801</v>
      </c>
      <c r="F230" s="123">
        <v>11.75</v>
      </c>
      <c r="G230" s="124" t="s">
        <v>13</v>
      </c>
      <c r="H230" s="121" t="s">
        <v>14</v>
      </c>
      <c r="I230" s="124">
        <v>1</v>
      </c>
      <c r="J230" s="124" t="s">
        <v>15</v>
      </c>
      <c r="K230" s="124" t="s">
        <v>103</v>
      </c>
      <c r="L230" s="121" t="s">
        <v>104</v>
      </c>
    </row>
    <row r="231" spans="1:12" x14ac:dyDescent="0.2">
      <c r="A231" s="121" t="s">
        <v>101</v>
      </c>
      <c r="B231" s="121" t="s">
        <v>102</v>
      </c>
      <c r="C231" s="121" t="s">
        <v>11</v>
      </c>
      <c r="D231" s="121" t="s">
        <v>12</v>
      </c>
      <c r="E231" s="122">
        <v>42801</v>
      </c>
      <c r="F231" s="123">
        <v>369.63713999999999</v>
      </c>
      <c r="G231" s="124" t="s">
        <v>16</v>
      </c>
      <c r="H231" s="121" t="s">
        <v>14</v>
      </c>
      <c r="I231" s="124">
        <v>1</v>
      </c>
      <c r="J231" s="124" t="s">
        <v>15</v>
      </c>
      <c r="K231" s="124" t="s">
        <v>103</v>
      </c>
      <c r="L231" s="121" t="s">
        <v>104</v>
      </c>
    </row>
    <row r="232" spans="1:12" x14ac:dyDescent="0.2">
      <c r="A232" s="121" t="s">
        <v>101</v>
      </c>
      <c r="B232" s="121" t="s">
        <v>102</v>
      </c>
      <c r="C232" s="121" t="s">
        <v>11</v>
      </c>
      <c r="D232" s="121" t="s">
        <v>12</v>
      </c>
      <c r="E232" s="122">
        <v>42801</v>
      </c>
      <c r="F232" s="123">
        <v>4.01</v>
      </c>
      <c r="G232" s="124" t="s">
        <v>13</v>
      </c>
      <c r="H232" s="121" t="s">
        <v>18</v>
      </c>
      <c r="I232" s="124">
        <v>1</v>
      </c>
      <c r="J232" s="124" t="s">
        <v>15</v>
      </c>
      <c r="K232" s="124" t="s">
        <v>103</v>
      </c>
      <c r="L232" s="121" t="s">
        <v>104</v>
      </c>
    </row>
    <row r="233" spans="1:12" x14ac:dyDescent="0.2">
      <c r="A233" s="121" t="s">
        <v>101</v>
      </c>
      <c r="B233" s="121" t="s">
        <v>102</v>
      </c>
      <c r="C233" s="121" t="s">
        <v>11</v>
      </c>
      <c r="D233" s="121" t="s">
        <v>12</v>
      </c>
      <c r="E233" s="122">
        <v>42801</v>
      </c>
      <c r="F233" s="123">
        <v>130.42926</v>
      </c>
      <c r="G233" s="124" t="s">
        <v>16</v>
      </c>
      <c r="H233" s="121" t="s">
        <v>18</v>
      </c>
      <c r="I233" s="124">
        <v>1</v>
      </c>
      <c r="J233" s="124" t="s">
        <v>15</v>
      </c>
      <c r="K233" s="124" t="s">
        <v>103</v>
      </c>
      <c r="L233" s="121" t="s">
        <v>104</v>
      </c>
    </row>
    <row r="234" spans="1:12" x14ac:dyDescent="0.2">
      <c r="A234" s="121" t="s">
        <v>101</v>
      </c>
      <c r="B234" s="121" t="s">
        <v>102</v>
      </c>
      <c r="C234" s="121" t="s">
        <v>11</v>
      </c>
      <c r="D234" s="121" t="s">
        <v>12</v>
      </c>
      <c r="E234" s="122">
        <v>42795</v>
      </c>
      <c r="F234" s="123">
        <v>11.7</v>
      </c>
      <c r="G234" s="124" t="s">
        <v>13</v>
      </c>
      <c r="H234" s="121" t="s">
        <v>14</v>
      </c>
      <c r="I234" s="124">
        <v>1</v>
      </c>
      <c r="J234" s="124" t="s">
        <v>15</v>
      </c>
      <c r="K234" s="124" t="s">
        <v>103</v>
      </c>
      <c r="L234" s="121" t="s">
        <v>104</v>
      </c>
    </row>
    <row r="235" spans="1:12" x14ac:dyDescent="0.2">
      <c r="A235" s="121" t="s">
        <v>101</v>
      </c>
      <c r="B235" s="121" t="s">
        <v>102</v>
      </c>
      <c r="C235" s="121" t="s">
        <v>11</v>
      </c>
      <c r="D235" s="121" t="s">
        <v>12</v>
      </c>
      <c r="E235" s="122">
        <v>42795</v>
      </c>
      <c r="F235" s="123">
        <v>323.178336</v>
      </c>
      <c r="G235" s="124" t="s">
        <v>16</v>
      </c>
      <c r="H235" s="121" t="s">
        <v>14</v>
      </c>
      <c r="I235" s="124">
        <v>1</v>
      </c>
      <c r="J235" s="124" t="s">
        <v>15</v>
      </c>
      <c r="K235" s="124" t="s">
        <v>103</v>
      </c>
      <c r="L235" s="121" t="s">
        <v>104</v>
      </c>
    </row>
    <row r="236" spans="1:12" x14ac:dyDescent="0.2">
      <c r="A236" s="121" t="s">
        <v>101</v>
      </c>
      <c r="B236" s="121" t="s">
        <v>102</v>
      </c>
      <c r="C236" s="121" t="s">
        <v>11</v>
      </c>
      <c r="D236" s="121" t="s">
        <v>12</v>
      </c>
      <c r="E236" s="122">
        <v>42795</v>
      </c>
      <c r="F236" s="123">
        <v>4.76</v>
      </c>
      <c r="G236" s="124" t="s">
        <v>13</v>
      </c>
      <c r="H236" s="121" t="s">
        <v>18</v>
      </c>
      <c r="I236" s="124">
        <v>1</v>
      </c>
      <c r="J236" s="124" t="s">
        <v>15</v>
      </c>
      <c r="K236" s="124" t="s">
        <v>103</v>
      </c>
      <c r="L236" s="121" t="s">
        <v>104</v>
      </c>
    </row>
    <row r="237" spans="1:12" x14ac:dyDescent="0.2">
      <c r="A237" s="121" t="s">
        <v>101</v>
      </c>
      <c r="B237" s="121" t="s">
        <v>102</v>
      </c>
      <c r="C237" s="121" t="s">
        <v>11</v>
      </c>
      <c r="D237" s="121" t="s">
        <v>12</v>
      </c>
      <c r="E237" s="122">
        <v>42795</v>
      </c>
      <c r="F237" s="123">
        <v>146.48709600000001</v>
      </c>
      <c r="G237" s="124" t="s">
        <v>16</v>
      </c>
      <c r="H237" s="121" t="s">
        <v>18</v>
      </c>
      <c r="I237" s="124">
        <v>1</v>
      </c>
      <c r="J237" s="124" t="s">
        <v>15</v>
      </c>
      <c r="K237" s="124" t="s">
        <v>103</v>
      </c>
      <c r="L237" s="121" t="s">
        <v>104</v>
      </c>
    </row>
    <row r="238" spans="1:12" x14ac:dyDescent="0.2">
      <c r="A238" s="121" t="s">
        <v>101</v>
      </c>
      <c r="B238" s="121" t="s">
        <v>102</v>
      </c>
      <c r="C238" s="121" t="s">
        <v>11</v>
      </c>
      <c r="D238" s="121" t="s">
        <v>12</v>
      </c>
      <c r="E238" s="122">
        <v>42787</v>
      </c>
      <c r="F238" s="133">
        <v>19.63</v>
      </c>
      <c r="G238" s="124" t="s">
        <v>13</v>
      </c>
      <c r="H238" s="121" t="s">
        <v>14</v>
      </c>
      <c r="I238" s="124">
        <v>1</v>
      </c>
      <c r="J238" s="124" t="s">
        <v>15</v>
      </c>
      <c r="K238" s="124" t="s">
        <v>103</v>
      </c>
      <c r="L238" s="121" t="s">
        <v>104</v>
      </c>
    </row>
    <row r="239" spans="1:12" x14ac:dyDescent="0.2">
      <c r="A239" s="121" t="s">
        <v>101</v>
      </c>
      <c r="B239" s="121" t="s">
        <v>102</v>
      </c>
      <c r="C239" s="121" t="s">
        <v>11</v>
      </c>
      <c r="D239" s="121" t="s">
        <v>12</v>
      </c>
      <c r="E239" s="122">
        <v>42787</v>
      </c>
      <c r="F239" s="133">
        <v>845.91127140000003</v>
      </c>
      <c r="G239" s="125" t="s">
        <v>16</v>
      </c>
      <c r="H239" s="126" t="s">
        <v>14</v>
      </c>
      <c r="I239" s="124">
        <v>1</v>
      </c>
      <c r="J239" s="124" t="s">
        <v>15</v>
      </c>
      <c r="K239" s="124" t="s">
        <v>103</v>
      </c>
      <c r="L239" s="121" t="s">
        <v>104</v>
      </c>
    </row>
    <row r="240" spans="1:12" x14ac:dyDescent="0.2">
      <c r="A240" s="121" t="s">
        <v>101</v>
      </c>
      <c r="B240" s="121" t="s">
        <v>102</v>
      </c>
      <c r="C240" s="121" t="s">
        <v>11</v>
      </c>
      <c r="D240" s="121" t="s">
        <v>12</v>
      </c>
      <c r="E240" s="122">
        <v>42787</v>
      </c>
      <c r="F240" s="133">
        <v>5.47</v>
      </c>
      <c r="G240" s="124" t="s">
        <v>13</v>
      </c>
      <c r="H240" s="121" t="s">
        <v>18</v>
      </c>
      <c r="I240" s="124">
        <v>1</v>
      </c>
      <c r="J240" s="124" t="s">
        <v>15</v>
      </c>
      <c r="K240" s="124" t="s">
        <v>103</v>
      </c>
      <c r="L240" s="121" t="s">
        <v>104</v>
      </c>
    </row>
    <row r="241" spans="1:12" x14ac:dyDescent="0.2">
      <c r="A241" s="121" t="s">
        <v>101</v>
      </c>
      <c r="B241" s="121" t="s">
        <v>102</v>
      </c>
      <c r="C241" s="121" t="s">
        <v>11</v>
      </c>
      <c r="D241" s="121" t="s">
        <v>12</v>
      </c>
      <c r="E241" s="122">
        <v>42787</v>
      </c>
      <c r="F241" s="133">
        <v>256.839474</v>
      </c>
      <c r="G241" s="124" t="s">
        <v>16</v>
      </c>
      <c r="H241" s="121" t="s">
        <v>18</v>
      </c>
      <c r="I241" s="124">
        <v>1</v>
      </c>
      <c r="J241" s="124" t="s">
        <v>15</v>
      </c>
      <c r="K241" s="124" t="s">
        <v>103</v>
      </c>
      <c r="L241" s="121" t="s">
        <v>104</v>
      </c>
    </row>
    <row r="242" spans="1:12" x14ac:dyDescent="0.2">
      <c r="A242" s="121" t="s">
        <v>101</v>
      </c>
      <c r="B242" s="121" t="s">
        <v>102</v>
      </c>
      <c r="C242" s="121" t="s">
        <v>11</v>
      </c>
      <c r="D242" s="121" t="s">
        <v>12</v>
      </c>
      <c r="E242" s="122">
        <v>42781</v>
      </c>
      <c r="F242" s="123">
        <v>20.59</v>
      </c>
      <c r="G242" s="124" t="s">
        <v>13</v>
      </c>
      <c r="H242" s="121" t="s">
        <v>14</v>
      </c>
      <c r="I242" s="124">
        <v>1</v>
      </c>
      <c r="J242" s="124" t="s">
        <v>15</v>
      </c>
      <c r="K242" s="124" t="s">
        <v>103</v>
      </c>
      <c r="L242" s="121" t="s">
        <v>104</v>
      </c>
    </row>
    <row r="243" spans="1:12" x14ac:dyDescent="0.2">
      <c r="A243" s="121" t="s">
        <v>101</v>
      </c>
      <c r="B243" s="121" t="s">
        <v>102</v>
      </c>
      <c r="C243" s="121" t="s">
        <v>11</v>
      </c>
      <c r="D243" s="121" t="s">
        <v>12</v>
      </c>
      <c r="E243" s="122">
        <v>42781</v>
      </c>
      <c r="F243" s="123">
        <v>383.45209979999998</v>
      </c>
      <c r="G243" s="124" t="s">
        <v>16</v>
      </c>
      <c r="H243" s="121" t="s">
        <v>14</v>
      </c>
      <c r="I243" s="124">
        <v>1</v>
      </c>
      <c r="J243" s="124" t="s">
        <v>15</v>
      </c>
      <c r="K243" s="124" t="s">
        <v>103</v>
      </c>
      <c r="L243" s="121" t="s">
        <v>104</v>
      </c>
    </row>
    <row r="244" spans="1:12" x14ac:dyDescent="0.2">
      <c r="A244" s="121" t="s">
        <v>101</v>
      </c>
      <c r="B244" s="121" t="s">
        <v>102</v>
      </c>
      <c r="C244" s="121" t="s">
        <v>11</v>
      </c>
      <c r="D244" s="121" t="s">
        <v>12</v>
      </c>
      <c r="E244" s="122">
        <v>42781</v>
      </c>
      <c r="F244" s="123">
        <v>5.7</v>
      </c>
      <c r="G244" s="124" t="s">
        <v>13</v>
      </c>
      <c r="H244" s="121" t="s">
        <v>18</v>
      </c>
      <c r="I244" s="124">
        <v>1</v>
      </c>
      <c r="J244" s="124" t="s">
        <v>15</v>
      </c>
      <c r="K244" s="124" t="s">
        <v>103</v>
      </c>
      <c r="L244" s="121" t="s">
        <v>104</v>
      </c>
    </row>
    <row r="245" spans="1:12" x14ac:dyDescent="0.2">
      <c r="A245" s="121" t="s">
        <v>101</v>
      </c>
      <c r="B245" s="121" t="s">
        <v>102</v>
      </c>
      <c r="C245" s="121" t="s">
        <v>11</v>
      </c>
      <c r="D245" s="121" t="s">
        <v>12</v>
      </c>
      <c r="E245" s="122">
        <v>42781</v>
      </c>
      <c r="F245" s="123">
        <v>115.04196</v>
      </c>
      <c r="G245" s="124" t="s">
        <v>16</v>
      </c>
      <c r="H245" s="121" t="s">
        <v>18</v>
      </c>
      <c r="I245" s="124">
        <v>1</v>
      </c>
      <c r="J245" s="124" t="s">
        <v>15</v>
      </c>
      <c r="K245" s="124" t="s">
        <v>103</v>
      </c>
      <c r="L245" s="121" t="s">
        <v>104</v>
      </c>
    </row>
    <row r="246" spans="1:12" x14ac:dyDescent="0.2">
      <c r="A246" s="121" t="s">
        <v>101</v>
      </c>
      <c r="B246" s="121" t="s">
        <v>102</v>
      </c>
      <c r="C246" s="121" t="s">
        <v>11</v>
      </c>
      <c r="D246" s="121" t="s">
        <v>12</v>
      </c>
      <c r="E246" s="122">
        <v>42773</v>
      </c>
      <c r="F246" s="123">
        <v>18.96</v>
      </c>
      <c r="G246" s="124" t="s">
        <v>13</v>
      </c>
      <c r="H246" s="121" t="s">
        <v>14</v>
      </c>
      <c r="I246" s="124">
        <v>1</v>
      </c>
      <c r="J246" s="124" t="s">
        <v>15</v>
      </c>
      <c r="K246" s="124" t="s">
        <v>103</v>
      </c>
      <c r="L246" s="121" t="s">
        <v>104</v>
      </c>
    </row>
    <row r="247" spans="1:12" x14ac:dyDescent="0.2">
      <c r="A247" s="121" t="s">
        <v>101</v>
      </c>
      <c r="B247" s="121" t="s">
        <v>102</v>
      </c>
      <c r="C247" s="121" t="s">
        <v>11</v>
      </c>
      <c r="D247" s="121" t="s">
        <v>12</v>
      </c>
      <c r="E247" s="122">
        <v>42773</v>
      </c>
      <c r="F247" s="123">
        <v>281.62311840000001</v>
      </c>
      <c r="G247" s="124" t="s">
        <v>16</v>
      </c>
      <c r="H247" s="121" t="s">
        <v>14</v>
      </c>
      <c r="I247" s="124">
        <v>1</v>
      </c>
      <c r="J247" s="124" t="s">
        <v>15</v>
      </c>
      <c r="K247" s="124" t="s">
        <v>103</v>
      </c>
      <c r="L247" s="121" t="s">
        <v>104</v>
      </c>
    </row>
    <row r="248" spans="1:12" x14ac:dyDescent="0.2">
      <c r="A248" s="121" t="s">
        <v>101</v>
      </c>
      <c r="B248" s="121" t="s">
        <v>102</v>
      </c>
      <c r="C248" s="121" t="s">
        <v>11</v>
      </c>
      <c r="D248" s="121" t="s">
        <v>12</v>
      </c>
      <c r="E248" s="122">
        <v>42773</v>
      </c>
      <c r="F248" s="123">
        <v>5.69</v>
      </c>
      <c r="G248" s="124" t="s">
        <v>13</v>
      </c>
      <c r="H248" s="121" t="s">
        <v>18</v>
      </c>
      <c r="I248" s="124">
        <v>1</v>
      </c>
      <c r="J248" s="124" t="s">
        <v>15</v>
      </c>
      <c r="K248" s="124" t="s">
        <v>103</v>
      </c>
      <c r="L248" s="121" t="s">
        <v>104</v>
      </c>
    </row>
    <row r="249" spans="1:12" x14ac:dyDescent="0.2">
      <c r="A249" s="121" t="s">
        <v>101</v>
      </c>
      <c r="B249" s="121" t="s">
        <v>102</v>
      </c>
      <c r="C249" s="121" t="s">
        <v>11</v>
      </c>
      <c r="D249" s="121" t="s">
        <v>12</v>
      </c>
      <c r="E249" s="122">
        <v>42773</v>
      </c>
      <c r="F249" s="123">
        <v>95.383746000000002</v>
      </c>
      <c r="G249" s="124" t="s">
        <v>16</v>
      </c>
      <c r="H249" s="121" t="s">
        <v>18</v>
      </c>
      <c r="I249" s="124">
        <v>1</v>
      </c>
      <c r="J249" s="124" t="s">
        <v>15</v>
      </c>
      <c r="K249" s="124" t="s">
        <v>103</v>
      </c>
      <c r="L249" s="121" t="s">
        <v>104</v>
      </c>
    </row>
    <row r="250" spans="1:12" x14ac:dyDescent="0.2">
      <c r="A250" s="121" t="s">
        <v>101</v>
      </c>
      <c r="B250" s="121" t="s">
        <v>102</v>
      </c>
      <c r="C250" s="121" t="s">
        <v>11</v>
      </c>
      <c r="D250" s="121" t="s">
        <v>12</v>
      </c>
      <c r="E250" s="122">
        <v>42768</v>
      </c>
      <c r="F250" s="123">
        <v>19.77</v>
      </c>
      <c r="G250" s="124" t="s">
        <v>13</v>
      </c>
      <c r="H250" s="121" t="s">
        <v>14</v>
      </c>
      <c r="I250" s="124">
        <v>1</v>
      </c>
      <c r="J250" s="124" t="s">
        <v>15</v>
      </c>
      <c r="K250" s="124" t="s">
        <v>103</v>
      </c>
      <c r="L250" s="121" t="s">
        <v>104</v>
      </c>
    </row>
    <row r="251" spans="1:12" x14ac:dyDescent="0.2">
      <c r="A251" s="121" t="s">
        <v>101</v>
      </c>
      <c r="B251" s="121" t="s">
        <v>102</v>
      </c>
      <c r="C251" s="121" t="s">
        <v>11</v>
      </c>
      <c r="D251" s="121" t="s">
        <v>12</v>
      </c>
      <c r="E251" s="122">
        <v>42768</v>
      </c>
      <c r="F251" s="123">
        <v>311.62660199999999</v>
      </c>
      <c r="G251" s="124" t="s">
        <v>16</v>
      </c>
      <c r="H251" s="121" t="s">
        <v>14</v>
      </c>
      <c r="I251" s="124">
        <v>1</v>
      </c>
      <c r="J251" s="124" t="s">
        <v>15</v>
      </c>
      <c r="K251" s="124" t="s">
        <v>103</v>
      </c>
      <c r="L251" s="121" t="s">
        <v>104</v>
      </c>
    </row>
    <row r="252" spans="1:12" x14ac:dyDescent="0.2">
      <c r="A252" s="121" t="s">
        <v>101</v>
      </c>
      <c r="B252" s="121" t="s">
        <v>102</v>
      </c>
      <c r="C252" s="121" t="s">
        <v>11</v>
      </c>
      <c r="D252" s="121" t="s">
        <v>12</v>
      </c>
      <c r="E252" s="122">
        <v>42768</v>
      </c>
      <c r="F252" s="123">
        <v>6.05</v>
      </c>
      <c r="G252" s="124" t="s">
        <v>13</v>
      </c>
      <c r="H252" s="121" t="s">
        <v>18</v>
      </c>
      <c r="I252" s="124">
        <v>1</v>
      </c>
      <c r="J252" s="124" t="s">
        <v>15</v>
      </c>
      <c r="K252" s="124" t="s">
        <v>103</v>
      </c>
      <c r="L252" s="121" t="s">
        <v>104</v>
      </c>
    </row>
    <row r="253" spans="1:12" x14ac:dyDescent="0.2">
      <c r="A253" s="121" t="s">
        <v>101</v>
      </c>
      <c r="B253" s="121" t="s">
        <v>102</v>
      </c>
      <c r="C253" s="121" t="s">
        <v>11</v>
      </c>
      <c r="D253" s="121" t="s">
        <v>12</v>
      </c>
      <c r="E253" s="122">
        <v>42768</v>
      </c>
      <c r="F253" s="123">
        <v>98.391149999999996</v>
      </c>
      <c r="G253" s="124" t="s">
        <v>16</v>
      </c>
      <c r="H253" s="121" t="s">
        <v>18</v>
      </c>
      <c r="I253" s="124">
        <v>1</v>
      </c>
      <c r="J253" s="124" t="s">
        <v>15</v>
      </c>
      <c r="K253" s="124" t="s">
        <v>103</v>
      </c>
      <c r="L253" s="121" t="s">
        <v>104</v>
      </c>
    </row>
    <row r="254" spans="1:12" x14ac:dyDescent="0.2">
      <c r="A254" s="121" t="s">
        <v>101</v>
      </c>
      <c r="B254" s="121" t="s">
        <v>102</v>
      </c>
      <c r="C254" s="121" t="s">
        <v>11</v>
      </c>
      <c r="D254" s="121" t="s">
        <v>12</v>
      </c>
      <c r="E254" s="122">
        <v>42760</v>
      </c>
      <c r="F254" s="123">
        <v>13.981</v>
      </c>
      <c r="G254" s="124" t="s">
        <v>13</v>
      </c>
      <c r="H254" s="121" t="s">
        <v>14</v>
      </c>
      <c r="I254" s="124">
        <v>1</v>
      </c>
      <c r="J254" s="124" t="s">
        <v>15</v>
      </c>
      <c r="K254" s="124" t="s">
        <v>103</v>
      </c>
      <c r="L254" s="121" t="s">
        <v>104</v>
      </c>
    </row>
    <row r="255" spans="1:12" x14ac:dyDescent="0.2">
      <c r="A255" s="121" t="s">
        <v>101</v>
      </c>
      <c r="B255" s="121" t="s">
        <v>102</v>
      </c>
      <c r="C255" s="121" t="s">
        <v>11</v>
      </c>
      <c r="D255" s="121" t="s">
        <v>12</v>
      </c>
      <c r="E255" s="122">
        <v>42760</v>
      </c>
      <c r="F255" s="123">
        <v>232.6200723</v>
      </c>
      <c r="G255" s="124" t="s">
        <v>16</v>
      </c>
      <c r="H255" s="121" t="s">
        <v>14</v>
      </c>
      <c r="I255" s="124">
        <v>1</v>
      </c>
      <c r="J255" s="124" t="s">
        <v>15</v>
      </c>
      <c r="K255" s="124" t="s">
        <v>103</v>
      </c>
      <c r="L255" s="121" t="s">
        <v>104</v>
      </c>
    </row>
    <row r="256" spans="1:12" x14ac:dyDescent="0.2">
      <c r="A256" s="121" t="s">
        <v>101</v>
      </c>
      <c r="B256" s="121" t="s">
        <v>102</v>
      </c>
      <c r="C256" s="121" t="s">
        <v>11</v>
      </c>
      <c r="D256" s="121" t="s">
        <v>12</v>
      </c>
      <c r="E256" s="122">
        <v>42760</v>
      </c>
      <c r="F256" s="123">
        <v>3.39</v>
      </c>
      <c r="G256" s="124" t="s">
        <v>13</v>
      </c>
      <c r="H256" s="121" t="s">
        <v>18</v>
      </c>
      <c r="I256" s="124">
        <v>1</v>
      </c>
      <c r="J256" s="124" t="s">
        <v>15</v>
      </c>
      <c r="K256" s="124" t="s">
        <v>103</v>
      </c>
      <c r="L256" s="121" t="s">
        <v>104</v>
      </c>
    </row>
    <row r="257" spans="1:12" x14ac:dyDescent="0.2">
      <c r="A257" s="121" t="s">
        <v>101</v>
      </c>
      <c r="B257" s="121" t="s">
        <v>102</v>
      </c>
      <c r="C257" s="121" t="s">
        <v>11</v>
      </c>
      <c r="D257" s="121" t="s">
        <v>12</v>
      </c>
      <c r="E257" s="122">
        <v>42760</v>
      </c>
      <c r="F257" s="123">
        <v>59.372459999999997</v>
      </c>
      <c r="G257" s="124" t="s">
        <v>16</v>
      </c>
      <c r="H257" s="121" t="s">
        <v>18</v>
      </c>
      <c r="I257" s="124">
        <v>1</v>
      </c>
      <c r="J257" s="124" t="s">
        <v>15</v>
      </c>
      <c r="K257" s="124" t="s">
        <v>103</v>
      </c>
      <c r="L257" s="121" t="s">
        <v>104</v>
      </c>
    </row>
    <row r="258" spans="1:12" x14ac:dyDescent="0.2">
      <c r="A258" s="121" t="s">
        <v>101</v>
      </c>
      <c r="B258" s="121" t="s">
        <v>102</v>
      </c>
      <c r="C258" s="121" t="s">
        <v>11</v>
      </c>
      <c r="D258" s="121" t="s">
        <v>12</v>
      </c>
      <c r="E258" s="122">
        <v>42752</v>
      </c>
      <c r="F258" s="123">
        <v>29.286999999999999</v>
      </c>
      <c r="G258" s="124" t="s">
        <v>13</v>
      </c>
      <c r="H258" s="121" t="s">
        <v>14</v>
      </c>
      <c r="I258" s="124">
        <v>1</v>
      </c>
      <c r="J258" s="124" t="s">
        <v>15</v>
      </c>
      <c r="K258" s="124" t="s">
        <v>103</v>
      </c>
      <c r="L258" s="121" t="s">
        <v>104</v>
      </c>
    </row>
    <row r="259" spans="1:12" x14ac:dyDescent="0.2">
      <c r="A259" s="121" t="s">
        <v>101</v>
      </c>
      <c r="B259" s="121" t="s">
        <v>102</v>
      </c>
      <c r="C259" s="121" t="s">
        <v>11</v>
      </c>
      <c r="D259" s="121" t="s">
        <v>12</v>
      </c>
      <c r="E259" s="122">
        <v>42752</v>
      </c>
      <c r="F259" s="123">
        <v>410.10176080000002</v>
      </c>
      <c r="G259" s="124" t="s">
        <v>16</v>
      </c>
      <c r="H259" s="121" t="s">
        <v>14</v>
      </c>
      <c r="I259" s="124">
        <v>1</v>
      </c>
      <c r="J259" s="124" t="s">
        <v>15</v>
      </c>
      <c r="K259" s="124" t="s">
        <v>103</v>
      </c>
      <c r="L259" s="121" t="s">
        <v>104</v>
      </c>
    </row>
    <row r="260" spans="1:12" x14ac:dyDescent="0.2">
      <c r="A260" s="121" t="s">
        <v>101</v>
      </c>
      <c r="B260" s="121" t="s">
        <v>102</v>
      </c>
      <c r="C260" s="121" t="s">
        <v>11</v>
      </c>
      <c r="D260" s="121" t="s">
        <v>12</v>
      </c>
      <c r="E260" s="122">
        <v>42752</v>
      </c>
      <c r="F260" s="123">
        <v>5.01</v>
      </c>
      <c r="G260" s="124" t="s">
        <v>13</v>
      </c>
      <c r="H260" s="121" t="s">
        <v>18</v>
      </c>
      <c r="I260" s="124">
        <v>1</v>
      </c>
      <c r="J260" s="124" t="s">
        <v>15</v>
      </c>
      <c r="K260" s="124" t="s">
        <v>103</v>
      </c>
      <c r="L260" s="121" t="s">
        <v>104</v>
      </c>
    </row>
    <row r="261" spans="1:12" x14ac:dyDescent="0.2">
      <c r="A261" s="121" t="s">
        <v>101</v>
      </c>
      <c r="B261" s="121" t="s">
        <v>102</v>
      </c>
      <c r="C261" s="121" t="s">
        <v>11</v>
      </c>
      <c r="D261" s="121" t="s">
        <v>12</v>
      </c>
      <c r="E261" s="122">
        <v>42752</v>
      </c>
      <c r="F261" s="123">
        <v>73.538784000000007</v>
      </c>
      <c r="G261" s="124" t="s">
        <v>16</v>
      </c>
      <c r="H261" s="121" t="s">
        <v>18</v>
      </c>
      <c r="I261" s="124">
        <v>1</v>
      </c>
      <c r="J261" s="124" t="s">
        <v>15</v>
      </c>
      <c r="K261" s="124" t="s">
        <v>103</v>
      </c>
      <c r="L261" s="121" t="s">
        <v>104</v>
      </c>
    </row>
    <row r="262" spans="1:12" x14ac:dyDescent="0.2">
      <c r="A262" s="121" t="s">
        <v>101</v>
      </c>
      <c r="B262" s="121" t="s">
        <v>102</v>
      </c>
      <c r="C262" s="121" t="s">
        <v>11</v>
      </c>
      <c r="D262" s="121" t="s">
        <v>12</v>
      </c>
      <c r="E262" s="122">
        <v>42745</v>
      </c>
      <c r="F262" s="123">
        <v>24.172999999999998</v>
      </c>
      <c r="G262" s="124" t="s">
        <v>13</v>
      </c>
      <c r="H262" s="121" t="s">
        <v>14</v>
      </c>
      <c r="I262" s="124">
        <v>1</v>
      </c>
      <c r="J262" s="124" t="s">
        <v>15</v>
      </c>
      <c r="K262" s="124" t="s">
        <v>103</v>
      </c>
      <c r="L262" s="121" t="s">
        <v>104</v>
      </c>
    </row>
    <row r="263" spans="1:12" x14ac:dyDescent="0.2">
      <c r="A263" s="121" t="s">
        <v>101</v>
      </c>
      <c r="B263" s="121" t="s">
        <v>102</v>
      </c>
      <c r="C263" s="121" t="s">
        <v>11</v>
      </c>
      <c r="D263" s="121" t="s">
        <v>12</v>
      </c>
      <c r="E263" s="122">
        <v>42745</v>
      </c>
      <c r="F263" s="123">
        <v>335.46709240000001</v>
      </c>
      <c r="G263" s="124" t="s">
        <v>16</v>
      </c>
      <c r="H263" s="121" t="s">
        <v>14</v>
      </c>
      <c r="I263" s="124">
        <v>1</v>
      </c>
      <c r="J263" s="124" t="s">
        <v>15</v>
      </c>
      <c r="K263" s="124" t="s">
        <v>103</v>
      </c>
      <c r="L263" s="121" t="s">
        <v>104</v>
      </c>
    </row>
    <row r="264" spans="1:12" x14ac:dyDescent="0.2">
      <c r="A264" s="121" t="s">
        <v>101</v>
      </c>
      <c r="B264" s="121" t="s">
        <v>102</v>
      </c>
      <c r="C264" s="121" t="s">
        <v>11</v>
      </c>
      <c r="D264" s="121" t="s">
        <v>12</v>
      </c>
      <c r="E264" s="122">
        <v>42745</v>
      </c>
      <c r="F264" s="123">
        <v>6.89</v>
      </c>
      <c r="G264" s="124" t="s">
        <v>13</v>
      </c>
      <c r="H264" s="121" t="s">
        <v>18</v>
      </c>
      <c r="I264" s="124">
        <v>1</v>
      </c>
      <c r="J264" s="124" t="s">
        <v>15</v>
      </c>
      <c r="K264" s="124" t="s">
        <v>103</v>
      </c>
      <c r="L264" s="121" t="s">
        <v>104</v>
      </c>
    </row>
    <row r="265" spans="1:12" x14ac:dyDescent="0.2">
      <c r="A265" s="121" t="s">
        <v>101</v>
      </c>
      <c r="B265" s="121" t="s">
        <v>102</v>
      </c>
      <c r="C265" s="121" t="s">
        <v>11</v>
      </c>
      <c r="D265" s="121" t="s">
        <v>12</v>
      </c>
      <c r="E265" s="122">
        <v>42745</v>
      </c>
      <c r="F265" s="123">
        <v>98.261045999999993</v>
      </c>
      <c r="G265" s="124" t="s">
        <v>16</v>
      </c>
      <c r="H265" s="121" t="s">
        <v>18</v>
      </c>
      <c r="I265" s="124">
        <v>1</v>
      </c>
      <c r="J265" s="124" t="s">
        <v>15</v>
      </c>
      <c r="K265" s="124" t="s">
        <v>103</v>
      </c>
      <c r="L265" s="121" t="s">
        <v>104</v>
      </c>
    </row>
    <row r="266" spans="1:12" s="131" customFormat="1" x14ac:dyDescent="0.2">
      <c r="A266" s="128" t="s">
        <v>101</v>
      </c>
      <c r="B266" s="128" t="s">
        <v>102</v>
      </c>
      <c r="C266" s="128" t="s">
        <v>11</v>
      </c>
      <c r="D266" s="128" t="s">
        <v>12</v>
      </c>
      <c r="E266" s="129">
        <v>42740</v>
      </c>
      <c r="F266" s="132">
        <v>6.21</v>
      </c>
      <c r="G266" s="130" t="s">
        <v>13</v>
      </c>
      <c r="H266" s="128" t="s">
        <v>14</v>
      </c>
      <c r="I266" s="130">
        <v>1</v>
      </c>
      <c r="J266" s="130" t="s">
        <v>15</v>
      </c>
      <c r="K266" s="130" t="s">
        <v>103</v>
      </c>
      <c r="L266" s="128" t="s">
        <v>104</v>
      </c>
    </row>
    <row r="267" spans="1:12" s="131" customFormat="1" x14ac:dyDescent="0.2">
      <c r="A267" s="128" t="s">
        <v>101</v>
      </c>
      <c r="B267" s="128" t="s">
        <v>102</v>
      </c>
      <c r="C267" s="128" t="s">
        <v>11</v>
      </c>
      <c r="D267" s="128" t="s">
        <v>12</v>
      </c>
      <c r="E267" s="129">
        <v>42740</v>
      </c>
      <c r="F267" s="132">
        <v>91.308238200000005</v>
      </c>
      <c r="G267" s="130" t="s">
        <v>16</v>
      </c>
      <c r="H267" s="128" t="s">
        <v>14</v>
      </c>
      <c r="I267" s="130">
        <v>1</v>
      </c>
      <c r="J267" s="130" t="s">
        <v>15</v>
      </c>
      <c r="K267" s="130" t="s">
        <v>103</v>
      </c>
      <c r="L267" s="128" t="s">
        <v>104</v>
      </c>
    </row>
    <row r="268" spans="1:12" s="131" customFormat="1" x14ac:dyDescent="0.2">
      <c r="A268" s="128" t="s">
        <v>101</v>
      </c>
      <c r="B268" s="128" t="s">
        <v>102</v>
      </c>
      <c r="C268" s="128" t="s">
        <v>11</v>
      </c>
      <c r="D268" s="128" t="s">
        <v>12</v>
      </c>
      <c r="E268" s="129">
        <v>42740</v>
      </c>
      <c r="F268" s="132">
        <v>8.1300000000000008</v>
      </c>
      <c r="G268" s="130" t="s">
        <v>13</v>
      </c>
      <c r="H268" s="128" t="s">
        <v>18</v>
      </c>
      <c r="I268" s="130">
        <v>1</v>
      </c>
      <c r="J268" s="130" t="s">
        <v>15</v>
      </c>
      <c r="K268" s="130" t="s">
        <v>103</v>
      </c>
      <c r="L268" s="128" t="s">
        <v>104</v>
      </c>
    </row>
    <row r="269" spans="1:12" s="131" customFormat="1" x14ac:dyDescent="0.2">
      <c r="A269" s="128" t="s">
        <v>101</v>
      </c>
      <c r="B269" s="128" t="s">
        <v>102</v>
      </c>
      <c r="C269" s="128" t="s">
        <v>11</v>
      </c>
      <c r="D269" s="128" t="s">
        <v>12</v>
      </c>
      <c r="E269" s="129">
        <v>42740</v>
      </c>
      <c r="F269" s="132">
        <v>125.43777</v>
      </c>
      <c r="G269" s="130" t="s">
        <v>16</v>
      </c>
      <c r="H269" s="128" t="s">
        <v>18</v>
      </c>
      <c r="I269" s="130">
        <v>1</v>
      </c>
      <c r="J269" s="130" t="s">
        <v>15</v>
      </c>
      <c r="K269" s="130" t="s">
        <v>103</v>
      </c>
      <c r="L269" s="128" t="s">
        <v>104</v>
      </c>
    </row>
    <row r="270" spans="1:12" x14ac:dyDescent="0.2">
      <c r="A270" s="121" t="s">
        <v>101</v>
      </c>
      <c r="B270" s="121" t="s">
        <v>102</v>
      </c>
      <c r="C270" s="121" t="s">
        <v>11</v>
      </c>
      <c r="D270" s="121" t="s">
        <v>12</v>
      </c>
      <c r="E270" s="122">
        <v>42732</v>
      </c>
      <c r="F270" s="123">
        <v>20.908999999999999</v>
      </c>
      <c r="G270" s="124" t="s">
        <v>13</v>
      </c>
      <c r="H270" s="121" t="s">
        <v>14</v>
      </c>
      <c r="I270" s="124">
        <v>1</v>
      </c>
      <c r="J270" s="124" t="s">
        <v>15</v>
      </c>
      <c r="K270" s="124" t="s">
        <v>103</v>
      </c>
      <c r="L270" s="121" t="s">
        <v>104</v>
      </c>
    </row>
    <row r="271" spans="1:12" x14ac:dyDescent="0.2">
      <c r="A271" s="121" t="s">
        <v>101</v>
      </c>
      <c r="B271" s="121" t="s">
        <v>102</v>
      </c>
      <c r="C271" s="121" t="s">
        <v>11</v>
      </c>
      <c r="D271" s="121" t="s">
        <v>12</v>
      </c>
      <c r="E271" s="122">
        <v>42732</v>
      </c>
      <c r="F271" s="123">
        <v>347.1926904</v>
      </c>
      <c r="G271" s="124" t="s">
        <v>16</v>
      </c>
      <c r="H271" s="121" t="s">
        <v>14</v>
      </c>
      <c r="I271" s="124">
        <v>1</v>
      </c>
      <c r="J271" s="124" t="s">
        <v>15</v>
      </c>
      <c r="K271" s="124" t="s">
        <v>103</v>
      </c>
      <c r="L271" s="121" t="s">
        <v>104</v>
      </c>
    </row>
    <row r="272" spans="1:12" x14ac:dyDescent="0.2">
      <c r="A272" s="121" t="s">
        <v>101</v>
      </c>
      <c r="B272" s="121" t="s">
        <v>102</v>
      </c>
      <c r="C272" s="121" t="s">
        <v>11</v>
      </c>
      <c r="D272" s="121" t="s">
        <v>12</v>
      </c>
      <c r="E272" s="122">
        <v>42732</v>
      </c>
      <c r="F272" s="123">
        <v>5.03</v>
      </c>
      <c r="G272" s="124" t="s">
        <v>13</v>
      </c>
      <c r="H272" s="121" t="s">
        <v>18</v>
      </c>
      <c r="I272" s="124">
        <v>1</v>
      </c>
      <c r="J272" s="124" t="s">
        <v>15</v>
      </c>
      <c r="K272" s="124" t="s">
        <v>103</v>
      </c>
      <c r="L272" s="121" t="s">
        <v>104</v>
      </c>
    </row>
    <row r="273" spans="1:12" x14ac:dyDescent="0.2">
      <c r="A273" s="121" t="s">
        <v>101</v>
      </c>
      <c r="B273" s="121" t="s">
        <v>102</v>
      </c>
      <c r="C273" s="121" t="s">
        <v>11</v>
      </c>
      <c r="D273" s="121" t="s">
        <v>12</v>
      </c>
      <c r="E273" s="122">
        <v>42732</v>
      </c>
      <c r="F273" s="123">
        <v>85.997910000000005</v>
      </c>
      <c r="G273" s="124" t="s">
        <v>16</v>
      </c>
      <c r="H273" s="121" t="s">
        <v>18</v>
      </c>
      <c r="I273" s="124">
        <v>1</v>
      </c>
      <c r="J273" s="124" t="s">
        <v>15</v>
      </c>
      <c r="K273" s="124" t="s">
        <v>103</v>
      </c>
      <c r="L273" s="121" t="s">
        <v>104</v>
      </c>
    </row>
    <row r="274" spans="1:12" x14ac:dyDescent="0.2">
      <c r="A274" s="121" t="s">
        <v>101</v>
      </c>
      <c r="B274" s="121" t="s">
        <v>102</v>
      </c>
      <c r="C274" s="121" t="s">
        <v>11</v>
      </c>
      <c r="D274" s="121" t="s">
        <v>12</v>
      </c>
      <c r="E274" s="122">
        <v>42723</v>
      </c>
      <c r="F274" s="123">
        <v>20.126000000000001</v>
      </c>
      <c r="G274" s="124" t="s">
        <v>13</v>
      </c>
      <c r="H274" s="121" t="s">
        <v>14</v>
      </c>
      <c r="I274" s="124">
        <v>1</v>
      </c>
      <c r="J274" s="124" t="s">
        <v>15</v>
      </c>
      <c r="K274" s="124" t="s">
        <v>103</v>
      </c>
      <c r="L274" s="121" t="s">
        <v>104</v>
      </c>
    </row>
    <row r="275" spans="1:12" x14ac:dyDescent="0.2">
      <c r="A275" s="121" t="s">
        <v>101</v>
      </c>
      <c r="B275" s="121" t="s">
        <v>102</v>
      </c>
      <c r="C275" s="121" t="s">
        <v>11</v>
      </c>
      <c r="D275" s="121" t="s">
        <v>12</v>
      </c>
      <c r="E275" s="122">
        <v>42723</v>
      </c>
      <c r="F275" s="123">
        <v>297.09598679999999</v>
      </c>
      <c r="G275" s="124" t="s">
        <v>16</v>
      </c>
      <c r="H275" s="121" t="s">
        <v>14</v>
      </c>
      <c r="I275" s="124">
        <v>1</v>
      </c>
      <c r="J275" s="124" t="s">
        <v>15</v>
      </c>
      <c r="K275" s="124" t="s">
        <v>103</v>
      </c>
      <c r="L275" s="121" t="s">
        <v>104</v>
      </c>
    </row>
    <row r="276" spans="1:12" x14ac:dyDescent="0.2">
      <c r="A276" s="121" t="s">
        <v>101</v>
      </c>
      <c r="B276" s="121" t="s">
        <v>102</v>
      </c>
      <c r="C276" s="121" t="s">
        <v>11</v>
      </c>
      <c r="D276" s="121" t="s">
        <v>12</v>
      </c>
      <c r="E276" s="122">
        <v>42723</v>
      </c>
      <c r="F276" s="123">
        <v>5.64</v>
      </c>
      <c r="G276" s="124" t="s">
        <v>13</v>
      </c>
      <c r="H276" s="121" t="s">
        <v>18</v>
      </c>
      <c r="I276" s="124">
        <v>1</v>
      </c>
      <c r="J276" s="124" t="s">
        <v>15</v>
      </c>
      <c r="K276" s="124" t="s">
        <v>103</v>
      </c>
      <c r="L276" s="121" t="s">
        <v>104</v>
      </c>
    </row>
    <row r="277" spans="1:12" x14ac:dyDescent="0.2">
      <c r="A277" s="121" t="s">
        <v>101</v>
      </c>
      <c r="B277" s="121" t="s">
        <v>102</v>
      </c>
      <c r="C277" s="121" t="s">
        <v>11</v>
      </c>
      <c r="D277" s="121" t="s">
        <v>12</v>
      </c>
      <c r="E277" s="122">
        <v>42723</v>
      </c>
      <c r="F277" s="123">
        <v>92.193696000000003</v>
      </c>
      <c r="G277" s="124" t="s">
        <v>16</v>
      </c>
      <c r="H277" s="121" t="s">
        <v>18</v>
      </c>
      <c r="I277" s="124">
        <v>1</v>
      </c>
      <c r="J277" s="124" t="s">
        <v>15</v>
      </c>
      <c r="K277" s="124" t="s">
        <v>103</v>
      </c>
      <c r="L277" s="121" t="s">
        <v>104</v>
      </c>
    </row>
    <row r="278" spans="1:12" x14ac:dyDescent="0.2">
      <c r="A278" s="121" t="s">
        <v>101</v>
      </c>
      <c r="B278" s="121" t="s">
        <v>102</v>
      </c>
      <c r="C278" s="121" t="s">
        <v>11</v>
      </c>
      <c r="D278" s="121" t="s">
        <v>12</v>
      </c>
      <c r="E278" s="122">
        <v>42717</v>
      </c>
      <c r="F278" s="123">
        <v>20.335999999999999</v>
      </c>
      <c r="G278" s="124" t="s">
        <v>13</v>
      </c>
      <c r="H278" s="121" t="s">
        <v>14</v>
      </c>
      <c r="I278" s="124">
        <v>1</v>
      </c>
      <c r="J278" s="124" t="s">
        <v>15</v>
      </c>
      <c r="K278" s="124" t="s">
        <v>103</v>
      </c>
      <c r="L278" s="121" t="s">
        <v>104</v>
      </c>
    </row>
    <row r="279" spans="1:12" x14ac:dyDescent="0.2">
      <c r="A279" s="121" t="s">
        <v>101</v>
      </c>
      <c r="B279" s="121" t="s">
        <v>102</v>
      </c>
      <c r="C279" s="121" t="s">
        <v>11</v>
      </c>
      <c r="D279" s="121" t="s">
        <v>12</v>
      </c>
      <c r="E279" s="122">
        <v>42717</v>
      </c>
      <c r="F279" s="123">
        <v>301.89198720000002</v>
      </c>
      <c r="G279" s="124" t="s">
        <v>16</v>
      </c>
      <c r="H279" s="121" t="s">
        <v>14</v>
      </c>
      <c r="I279" s="124">
        <v>1</v>
      </c>
      <c r="J279" s="124" t="s">
        <v>15</v>
      </c>
      <c r="K279" s="124" t="s">
        <v>103</v>
      </c>
      <c r="L279" s="121" t="s">
        <v>104</v>
      </c>
    </row>
    <row r="280" spans="1:12" x14ac:dyDescent="0.2">
      <c r="A280" s="121" t="s">
        <v>101</v>
      </c>
      <c r="B280" s="121" t="s">
        <v>102</v>
      </c>
      <c r="C280" s="121" t="s">
        <v>11</v>
      </c>
      <c r="D280" s="121" t="s">
        <v>12</v>
      </c>
      <c r="E280" s="122">
        <v>42717</v>
      </c>
      <c r="F280" s="123">
        <v>4.5999999999999996</v>
      </c>
      <c r="G280" s="124" t="s">
        <v>13</v>
      </c>
      <c r="H280" s="121" t="s">
        <v>18</v>
      </c>
      <c r="I280" s="124">
        <v>1</v>
      </c>
      <c r="J280" s="124" t="s">
        <v>15</v>
      </c>
      <c r="K280" s="124" t="s">
        <v>103</v>
      </c>
      <c r="L280" s="121" t="s">
        <v>104</v>
      </c>
    </row>
    <row r="281" spans="1:12" x14ac:dyDescent="0.2">
      <c r="A281" s="121" t="s">
        <v>101</v>
      </c>
      <c r="B281" s="121" t="s">
        <v>102</v>
      </c>
      <c r="C281" s="121" t="s">
        <v>11</v>
      </c>
      <c r="D281" s="121" t="s">
        <v>12</v>
      </c>
      <c r="E281" s="122">
        <v>42717</v>
      </c>
      <c r="F281" s="123">
        <v>68.28792</v>
      </c>
      <c r="G281" s="124" t="s">
        <v>16</v>
      </c>
      <c r="H281" s="121" t="s">
        <v>18</v>
      </c>
      <c r="I281" s="124">
        <v>1</v>
      </c>
      <c r="J281" s="124" t="s">
        <v>15</v>
      </c>
      <c r="K281" s="124" t="s">
        <v>103</v>
      </c>
      <c r="L281" s="121" t="s">
        <v>104</v>
      </c>
    </row>
    <row r="282" spans="1:12" x14ac:dyDescent="0.2">
      <c r="A282" s="121" t="s">
        <v>101</v>
      </c>
      <c r="B282" s="121" t="s">
        <v>102</v>
      </c>
      <c r="C282" s="121" t="s">
        <v>11</v>
      </c>
      <c r="D282" s="121" t="s">
        <v>12</v>
      </c>
      <c r="E282" s="122">
        <v>42712</v>
      </c>
      <c r="F282" s="123">
        <v>20.891999999999999</v>
      </c>
      <c r="G282" s="124" t="s">
        <v>13</v>
      </c>
      <c r="H282" s="121" t="s">
        <v>14</v>
      </c>
      <c r="I282" s="124">
        <v>1</v>
      </c>
      <c r="J282" s="124" t="s">
        <v>15</v>
      </c>
      <c r="K282" s="124" t="s">
        <v>103</v>
      </c>
      <c r="L282" s="121" t="s">
        <v>104</v>
      </c>
    </row>
    <row r="283" spans="1:12" x14ac:dyDescent="0.2">
      <c r="A283" s="121" t="s">
        <v>101</v>
      </c>
      <c r="B283" s="121" t="s">
        <v>102</v>
      </c>
      <c r="C283" s="121" t="s">
        <v>11</v>
      </c>
      <c r="D283" s="121" t="s">
        <v>12</v>
      </c>
      <c r="E283" s="122">
        <v>42712</v>
      </c>
      <c r="F283" s="123">
        <v>329.66071770000002</v>
      </c>
      <c r="G283" s="124" t="s">
        <v>16</v>
      </c>
      <c r="H283" s="121" t="s">
        <v>14</v>
      </c>
      <c r="I283" s="124">
        <v>1</v>
      </c>
      <c r="J283" s="124" t="s">
        <v>15</v>
      </c>
      <c r="K283" s="124" t="s">
        <v>103</v>
      </c>
      <c r="L283" s="121" t="s">
        <v>104</v>
      </c>
    </row>
    <row r="284" spans="1:12" x14ac:dyDescent="0.2">
      <c r="A284" s="121" t="s">
        <v>101</v>
      </c>
      <c r="B284" s="121" t="s">
        <v>102</v>
      </c>
      <c r="C284" s="121" t="s">
        <v>11</v>
      </c>
      <c r="D284" s="121" t="s">
        <v>12</v>
      </c>
      <c r="E284" s="122">
        <v>42712</v>
      </c>
      <c r="F284" s="123">
        <v>7.63</v>
      </c>
      <c r="G284" s="124" t="s">
        <v>13</v>
      </c>
      <c r="H284" s="121" t="s">
        <v>18</v>
      </c>
      <c r="I284" s="124">
        <v>1</v>
      </c>
      <c r="J284" s="124" t="s">
        <v>15</v>
      </c>
      <c r="K284" s="124" t="s">
        <v>103</v>
      </c>
      <c r="L284" s="121" t="s">
        <v>104</v>
      </c>
    </row>
    <row r="285" spans="1:12" x14ac:dyDescent="0.2">
      <c r="A285" s="121" t="s">
        <v>101</v>
      </c>
      <c r="B285" s="121" t="s">
        <v>102</v>
      </c>
      <c r="C285" s="121" t="s">
        <v>11</v>
      </c>
      <c r="D285" s="121" t="s">
        <v>12</v>
      </c>
      <c r="E285" s="122">
        <v>42712</v>
      </c>
      <c r="F285" s="123">
        <v>125.359374</v>
      </c>
      <c r="G285" s="124" t="s">
        <v>16</v>
      </c>
      <c r="H285" s="121" t="s">
        <v>18</v>
      </c>
      <c r="I285" s="124">
        <v>1</v>
      </c>
      <c r="J285" s="124" t="s">
        <v>15</v>
      </c>
      <c r="K285" s="124" t="s">
        <v>103</v>
      </c>
      <c r="L285" s="121" t="s">
        <v>104</v>
      </c>
    </row>
    <row r="286" spans="1:12" x14ac:dyDescent="0.2">
      <c r="A286" s="121" t="s">
        <v>101</v>
      </c>
      <c r="B286" s="121" t="s">
        <v>102</v>
      </c>
      <c r="C286" s="121" t="s">
        <v>11</v>
      </c>
      <c r="D286" s="121" t="s">
        <v>12</v>
      </c>
      <c r="E286" s="122">
        <v>42696</v>
      </c>
      <c r="F286" s="123">
        <v>30.338000000000001</v>
      </c>
      <c r="G286" s="124" t="s">
        <v>13</v>
      </c>
      <c r="H286" s="121" t="s">
        <v>14</v>
      </c>
      <c r="I286" s="124">
        <v>1</v>
      </c>
      <c r="J286" s="124" t="s">
        <v>15</v>
      </c>
      <c r="K286" s="124" t="s">
        <v>103</v>
      </c>
      <c r="L286" s="121" t="s">
        <v>104</v>
      </c>
    </row>
    <row r="287" spans="1:12" x14ac:dyDescent="0.2">
      <c r="A287" s="121" t="s">
        <v>101</v>
      </c>
      <c r="B287" s="121" t="s">
        <v>102</v>
      </c>
      <c r="C287" s="121" t="s">
        <v>11</v>
      </c>
      <c r="D287" s="121" t="s">
        <v>12</v>
      </c>
      <c r="E287" s="122">
        <v>42696</v>
      </c>
      <c r="F287" s="123">
        <v>483.51915609999998</v>
      </c>
      <c r="G287" s="124" t="s">
        <v>16</v>
      </c>
      <c r="H287" s="121" t="s">
        <v>14</v>
      </c>
      <c r="I287" s="124">
        <v>1</v>
      </c>
      <c r="J287" s="124" t="s">
        <v>15</v>
      </c>
      <c r="K287" s="124" t="s">
        <v>103</v>
      </c>
      <c r="L287" s="121" t="s">
        <v>104</v>
      </c>
    </row>
    <row r="288" spans="1:12" x14ac:dyDescent="0.2">
      <c r="A288" s="121" t="s">
        <v>101</v>
      </c>
      <c r="B288" s="121" t="s">
        <v>102</v>
      </c>
      <c r="C288" s="121" t="s">
        <v>11</v>
      </c>
      <c r="D288" s="121" t="s">
        <v>12</v>
      </c>
      <c r="E288" s="122">
        <v>42696</v>
      </c>
      <c r="F288" s="123">
        <v>5.66</v>
      </c>
      <c r="G288" s="124" t="s">
        <v>13</v>
      </c>
      <c r="H288" s="121" t="s">
        <v>18</v>
      </c>
      <c r="I288" s="124">
        <v>1</v>
      </c>
      <c r="J288" s="124" t="s">
        <v>15</v>
      </c>
      <c r="K288" s="124" t="s">
        <v>103</v>
      </c>
      <c r="L288" s="121" t="s">
        <v>104</v>
      </c>
    </row>
    <row r="289" spans="1:12" x14ac:dyDescent="0.2">
      <c r="A289" s="121" t="s">
        <v>101</v>
      </c>
      <c r="B289" s="121" t="s">
        <v>102</v>
      </c>
      <c r="C289" s="121" t="s">
        <v>11</v>
      </c>
      <c r="D289" s="121" t="s">
        <v>12</v>
      </c>
      <c r="E289" s="122">
        <v>42696</v>
      </c>
      <c r="F289" s="123">
        <v>96.769019999999998</v>
      </c>
      <c r="G289" s="124" t="s">
        <v>16</v>
      </c>
      <c r="H289" s="121" t="s">
        <v>18</v>
      </c>
      <c r="I289" s="124">
        <v>1</v>
      </c>
      <c r="J289" s="124" t="s">
        <v>15</v>
      </c>
      <c r="K289" s="124" t="s">
        <v>103</v>
      </c>
      <c r="L289" s="121" t="s">
        <v>104</v>
      </c>
    </row>
    <row r="290" spans="1:12" x14ac:dyDescent="0.2">
      <c r="A290" s="121" t="s">
        <v>101</v>
      </c>
      <c r="B290" s="121" t="s">
        <v>102</v>
      </c>
      <c r="C290" s="121" t="s">
        <v>11</v>
      </c>
      <c r="D290" s="121" t="s">
        <v>12</v>
      </c>
      <c r="E290" s="122">
        <v>42689</v>
      </c>
      <c r="F290" s="123">
        <v>27.55</v>
      </c>
      <c r="G290" s="124" t="s">
        <v>13</v>
      </c>
      <c r="H290" s="121" t="s">
        <v>14</v>
      </c>
      <c r="I290" s="124">
        <v>1</v>
      </c>
      <c r="J290" s="124" t="s">
        <v>15</v>
      </c>
      <c r="K290" s="124" t="s">
        <v>103</v>
      </c>
      <c r="L290" s="121" t="s">
        <v>104</v>
      </c>
    </row>
    <row r="291" spans="1:12" x14ac:dyDescent="0.2">
      <c r="A291" s="121" t="s">
        <v>101</v>
      </c>
      <c r="B291" s="121" t="s">
        <v>102</v>
      </c>
      <c r="C291" s="121" t="s">
        <v>11</v>
      </c>
      <c r="D291" s="121" t="s">
        <v>12</v>
      </c>
      <c r="E291" s="122">
        <v>42689</v>
      </c>
      <c r="F291" s="123">
        <v>422.77127999999999</v>
      </c>
      <c r="G291" s="124" t="s">
        <v>16</v>
      </c>
      <c r="H291" s="121" t="s">
        <v>14</v>
      </c>
      <c r="I291" s="124">
        <v>1</v>
      </c>
      <c r="J291" s="124" t="s">
        <v>15</v>
      </c>
      <c r="K291" s="124" t="s">
        <v>103</v>
      </c>
      <c r="L291" s="121" t="s">
        <v>104</v>
      </c>
    </row>
    <row r="292" spans="1:12" x14ac:dyDescent="0.2">
      <c r="A292" s="121" t="s">
        <v>101</v>
      </c>
      <c r="B292" s="121" t="s">
        <v>102</v>
      </c>
      <c r="C292" s="121" t="s">
        <v>11</v>
      </c>
      <c r="D292" s="121" t="s">
        <v>12</v>
      </c>
      <c r="E292" s="122">
        <v>42689</v>
      </c>
      <c r="F292" s="123">
        <v>4.16</v>
      </c>
      <c r="G292" s="124" t="s">
        <v>13</v>
      </c>
      <c r="H292" s="121" t="s">
        <v>18</v>
      </c>
      <c r="I292" s="124">
        <v>1</v>
      </c>
      <c r="J292" s="124" t="s">
        <v>15</v>
      </c>
      <c r="K292" s="124" t="s">
        <v>103</v>
      </c>
      <c r="L292" s="121" t="s">
        <v>104</v>
      </c>
    </row>
    <row r="293" spans="1:12" x14ac:dyDescent="0.2">
      <c r="A293" s="121" t="s">
        <v>101</v>
      </c>
      <c r="B293" s="121" t="s">
        <v>102</v>
      </c>
      <c r="C293" s="121" t="s">
        <v>11</v>
      </c>
      <c r="D293" s="121" t="s">
        <v>12</v>
      </c>
      <c r="E293" s="122">
        <v>42689</v>
      </c>
      <c r="F293" s="123">
        <v>71.817408</v>
      </c>
      <c r="G293" s="124" t="s">
        <v>16</v>
      </c>
      <c r="H293" s="121" t="s">
        <v>18</v>
      </c>
      <c r="I293" s="124">
        <v>1</v>
      </c>
      <c r="J293" s="124" t="s">
        <v>15</v>
      </c>
      <c r="K293" s="124" t="s">
        <v>103</v>
      </c>
      <c r="L293" s="121" t="s">
        <v>104</v>
      </c>
    </row>
    <row r="294" spans="1:12" x14ac:dyDescent="0.2">
      <c r="A294" s="121" t="s">
        <v>101</v>
      </c>
      <c r="B294" s="121" t="s">
        <v>102</v>
      </c>
      <c r="C294" s="121" t="s">
        <v>11</v>
      </c>
      <c r="D294" s="121" t="s">
        <v>12</v>
      </c>
      <c r="E294" s="122">
        <v>42682</v>
      </c>
      <c r="F294" s="123">
        <v>26.56</v>
      </c>
      <c r="G294" s="124" t="s">
        <v>13</v>
      </c>
      <c r="H294" s="121" t="s">
        <v>14</v>
      </c>
      <c r="I294" s="124">
        <v>1</v>
      </c>
      <c r="J294" s="124" t="s">
        <v>15</v>
      </c>
      <c r="K294" s="124" t="s">
        <v>103</v>
      </c>
      <c r="L294" s="121" t="s">
        <v>104</v>
      </c>
    </row>
    <row r="295" spans="1:12" x14ac:dyDescent="0.2">
      <c r="A295" s="121" t="s">
        <v>101</v>
      </c>
      <c r="B295" s="121" t="s">
        <v>102</v>
      </c>
      <c r="C295" s="121" t="s">
        <v>11</v>
      </c>
      <c r="D295" s="121" t="s">
        <v>12</v>
      </c>
      <c r="E295" s="122">
        <v>42682</v>
      </c>
      <c r="F295" s="123">
        <v>447.2294976</v>
      </c>
      <c r="G295" s="124" t="s">
        <v>16</v>
      </c>
      <c r="H295" s="121" t="s">
        <v>14</v>
      </c>
      <c r="I295" s="124">
        <v>1</v>
      </c>
      <c r="J295" s="124" t="s">
        <v>15</v>
      </c>
      <c r="K295" s="124" t="s">
        <v>103</v>
      </c>
      <c r="L295" s="121" t="s">
        <v>104</v>
      </c>
    </row>
    <row r="296" spans="1:12" x14ac:dyDescent="0.2">
      <c r="A296" s="121" t="s">
        <v>101</v>
      </c>
      <c r="B296" s="121" t="s">
        <v>102</v>
      </c>
      <c r="C296" s="121" t="s">
        <v>11</v>
      </c>
      <c r="D296" s="121" t="s">
        <v>12</v>
      </c>
      <c r="E296" s="122">
        <v>42682</v>
      </c>
      <c r="F296" s="123">
        <v>5.48</v>
      </c>
      <c r="G296" s="124" t="s">
        <v>13</v>
      </c>
      <c r="H296" s="121" t="s">
        <v>18</v>
      </c>
      <c r="I296" s="124">
        <v>1</v>
      </c>
      <c r="J296" s="124" t="s">
        <v>15</v>
      </c>
      <c r="K296" s="124" t="s">
        <v>103</v>
      </c>
      <c r="L296" s="121" t="s">
        <v>104</v>
      </c>
    </row>
    <row r="297" spans="1:12" x14ac:dyDescent="0.2">
      <c r="A297" s="121" t="s">
        <v>101</v>
      </c>
      <c r="B297" s="121" t="s">
        <v>102</v>
      </c>
      <c r="C297" s="121" t="s">
        <v>11</v>
      </c>
      <c r="D297" s="121" t="s">
        <v>12</v>
      </c>
      <c r="E297" s="122">
        <v>42682</v>
      </c>
      <c r="F297" s="123">
        <v>95.062656000000004</v>
      </c>
      <c r="G297" s="124" t="s">
        <v>16</v>
      </c>
      <c r="H297" s="121" t="s">
        <v>18</v>
      </c>
      <c r="I297" s="124">
        <v>1</v>
      </c>
      <c r="J297" s="124" t="s">
        <v>15</v>
      </c>
      <c r="K297" s="124" t="s">
        <v>103</v>
      </c>
      <c r="L297" s="121" t="s">
        <v>104</v>
      </c>
    </row>
    <row r="298" spans="1:12" x14ac:dyDescent="0.2">
      <c r="A298" s="121" t="s">
        <v>101</v>
      </c>
      <c r="B298" s="121" t="s">
        <v>102</v>
      </c>
      <c r="C298" s="121" t="s">
        <v>11</v>
      </c>
      <c r="D298" s="121" t="s">
        <v>12</v>
      </c>
      <c r="E298" s="122">
        <v>42675</v>
      </c>
      <c r="F298" s="123">
        <v>20.23</v>
      </c>
      <c r="G298" s="124" t="s">
        <v>13</v>
      </c>
      <c r="H298" s="121" t="s">
        <v>14</v>
      </c>
      <c r="I298" s="124">
        <v>1</v>
      </c>
      <c r="J298" s="124" t="s">
        <v>15</v>
      </c>
      <c r="K298" s="124" t="s">
        <v>103</v>
      </c>
      <c r="L298" s="121" t="s">
        <v>104</v>
      </c>
    </row>
    <row r="299" spans="1:12" x14ac:dyDescent="0.2">
      <c r="A299" s="121" t="s">
        <v>101</v>
      </c>
      <c r="B299" s="121" t="s">
        <v>102</v>
      </c>
      <c r="C299" s="121" t="s">
        <v>11</v>
      </c>
      <c r="D299" s="121" t="s">
        <v>12</v>
      </c>
      <c r="E299" s="122">
        <v>42675</v>
      </c>
      <c r="F299" s="123">
        <v>360.38207519999997</v>
      </c>
      <c r="G299" s="124" t="s">
        <v>16</v>
      </c>
      <c r="H299" s="121" t="s">
        <v>14</v>
      </c>
      <c r="I299" s="124">
        <v>1</v>
      </c>
      <c r="J299" s="124" t="s">
        <v>15</v>
      </c>
      <c r="K299" s="124" t="s">
        <v>103</v>
      </c>
      <c r="L299" s="121" t="s">
        <v>104</v>
      </c>
    </row>
    <row r="300" spans="1:12" x14ac:dyDescent="0.2">
      <c r="A300" s="121" t="s">
        <v>101</v>
      </c>
      <c r="B300" s="121" t="s">
        <v>102</v>
      </c>
      <c r="C300" s="121" t="s">
        <v>11</v>
      </c>
      <c r="D300" s="121" t="s">
        <v>12</v>
      </c>
      <c r="E300" s="122">
        <v>42675</v>
      </c>
      <c r="F300" s="123">
        <v>4.5599999999999996</v>
      </c>
      <c r="G300" s="124" t="s">
        <v>13</v>
      </c>
      <c r="H300" s="121" t="s">
        <v>18</v>
      </c>
      <c r="I300" s="124">
        <v>1</v>
      </c>
      <c r="J300" s="124" t="s">
        <v>15</v>
      </c>
      <c r="K300" s="124" t="s">
        <v>103</v>
      </c>
      <c r="L300" s="121" t="s">
        <v>104</v>
      </c>
    </row>
    <row r="301" spans="1:12" x14ac:dyDescent="0.2">
      <c r="A301" s="121" t="s">
        <v>101</v>
      </c>
      <c r="B301" s="121" t="s">
        <v>102</v>
      </c>
      <c r="C301" s="121" t="s">
        <v>11</v>
      </c>
      <c r="D301" s="121" t="s">
        <v>12</v>
      </c>
      <c r="E301" s="122">
        <v>42675</v>
      </c>
      <c r="F301" s="123">
        <v>87.089616000000007</v>
      </c>
      <c r="G301" s="124" t="s">
        <v>16</v>
      </c>
      <c r="H301" s="121" t="s">
        <v>18</v>
      </c>
      <c r="I301" s="124">
        <v>1</v>
      </c>
      <c r="J301" s="124" t="s">
        <v>15</v>
      </c>
      <c r="K301" s="124" t="s">
        <v>103</v>
      </c>
      <c r="L301" s="121" t="s">
        <v>104</v>
      </c>
    </row>
    <row r="302" spans="1:12" x14ac:dyDescent="0.2">
      <c r="A302" s="121" t="s">
        <v>101</v>
      </c>
      <c r="B302" s="121" t="s">
        <v>102</v>
      </c>
      <c r="C302" s="121" t="s">
        <v>11</v>
      </c>
      <c r="D302" s="121" t="s">
        <v>12</v>
      </c>
      <c r="E302" s="122">
        <v>42670</v>
      </c>
      <c r="F302" s="123">
        <v>17.190000000000001</v>
      </c>
      <c r="G302" s="124" t="s">
        <v>13</v>
      </c>
      <c r="H302" s="121" t="s">
        <v>14</v>
      </c>
      <c r="I302" s="124">
        <v>1</v>
      </c>
      <c r="J302" s="124" t="s">
        <v>15</v>
      </c>
      <c r="K302" s="124" t="s">
        <v>103</v>
      </c>
      <c r="L302" s="121" t="s">
        <v>104</v>
      </c>
    </row>
    <row r="303" spans="1:12" x14ac:dyDescent="0.2">
      <c r="A303" s="121" t="s">
        <v>101</v>
      </c>
      <c r="B303" s="121" t="s">
        <v>102</v>
      </c>
      <c r="C303" s="121" t="s">
        <v>11</v>
      </c>
      <c r="D303" s="121" t="s">
        <v>12</v>
      </c>
      <c r="E303" s="122">
        <v>42670</v>
      </c>
      <c r="F303" s="123">
        <v>354.82738499999999</v>
      </c>
      <c r="G303" s="124" t="s">
        <v>16</v>
      </c>
      <c r="H303" s="121" t="s">
        <v>14</v>
      </c>
      <c r="I303" s="124">
        <v>1</v>
      </c>
      <c r="J303" s="124" t="s">
        <v>15</v>
      </c>
      <c r="K303" s="124" t="s">
        <v>103</v>
      </c>
      <c r="L303" s="121" t="s">
        <v>104</v>
      </c>
    </row>
    <row r="304" spans="1:12" x14ac:dyDescent="0.2">
      <c r="A304" s="121" t="s">
        <v>101</v>
      </c>
      <c r="B304" s="121" t="s">
        <v>102</v>
      </c>
      <c r="C304" s="121" t="s">
        <v>11</v>
      </c>
      <c r="D304" s="121" t="s">
        <v>12</v>
      </c>
      <c r="E304" s="122">
        <v>42670</v>
      </c>
      <c r="F304" s="123">
        <v>3.99</v>
      </c>
      <c r="G304" s="124" t="s">
        <v>13</v>
      </c>
      <c r="H304" s="121" t="s">
        <v>18</v>
      </c>
      <c r="I304" s="124">
        <v>1</v>
      </c>
      <c r="J304" s="124" t="s">
        <v>15</v>
      </c>
      <c r="K304" s="124" t="s">
        <v>103</v>
      </c>
      <c r="L304" s="121" t="s">
        <v>104</v>
      </c>
    </row>
    <row r="305" spans="1:12" x14ac:dyDescent="0.2">
      <c r="A305" s="121" t="s">
        <v>101</v>
      </c>
      <c r="B305" s="121" t="s">
        <v>102</v>
      </c>
      <c r="C305" s="121" t="s">
        <v>11</v>
      </c>
      <c r="D305" s="121" t="s">
        <v>12</v>
      </c>
      <c r="E305" s="122">
        <v>42670</v>
      </c>
      <c r="F305" s="123">
        <v>87.184691999999998</v>
      </c>
      <c r="G305" s="124" t="s">
        <v>16</v>
      </c>
      <c r="H305" s="121" t="s">
        <v>18</v>
      </c>
      <c r="I305" s="124">
        <v>1</v>
      </c>
      <c r="J305" s="124" t="s">
        <v>15</v>
      </c>
      <c r="K305" s="124" t="s">
        <v>103</v>
      </c>
      <c r="L305" s="121" t="s">
        <v>104</v>
      </c>
    </row>
    <row r="306" spans="1:12" x14ac:dyDescent="0.2">
      <c r="A306" s="121" t="s">
        <v>101</v>
      </c>
      <c r="B306" s="121" t="s">
        <v>102</v>
      </c>
      <c r="C306" s="121" t="s">
        <v>11</v>
      </c>
      <c r="D306" s="121" t="s">
        <v>12</v>
      </c>
      <c r="E306" s="122">
        <v>42660</v>
      </c>
      <c r="F306" s="123">
        <v>18.39</v>
      </c>
      <c r="G306" s="124" t="s">
        <v>13</v>
      </c>
      <c r="H306" s="121" t="s">
        <v>14</v>
      </c>
      <c r="I306" s="124">
        <v>1</v>
      </c>
      <c r="J306" s="124" t="s">
        <v>15</v>
      </c>
      <c r="K306" s="124" t="s">
        <v>103</v>
      </c>
      <c r="L306" s="121" t="s">
        <v>104</v>
      </c>
    </row>
    <row r="307" spans="1:12" x14ac:dyDescent="0.2">
      <c r="A307" s="121" t="s">
        <v>101</v>
      </c>
      <c r="B307" s="121" t="s">
        <v>102</v>
      </c>
      <c r="C307" s="121" t="s">
        <v>11</v>
      </c>
      <c r="D307" s="121" t="s">
        <v>12</v>
      </c>
      <c r="E307" s="122">
        <v>42660</v>
      </c>
      <c r="F307" s="123">
        <v>352.14348960000001</v>
      </c>
      <c r="G307" s="124" t="s">
        <v>16</v>
      </c>
      <c r="H307" s="121" t="s">
        <v>14</v>
      </c>
      <c r="I307" s="124">
        <v>1</v>
      </c>
      <c r="J307" s="124" t="s">
        <v>15</v>
      </c>
      <c r="K307" s="124" t="s">
        <v>103</v>
      </c>
      <c r="L307" s="121" t="s">
        <v>104</v>
      </c>
    </row>
    <row r="308" spans="1:12" x14ac:dyDescent="0.2">
      <c r="A308" s="121" t="s">
        <v>101</v>
      </c>
      <c r="B308" s="121" t="s">
        <v>102</v>
      </c>
      <c r="C308" s="121" t="s">
        <v>11</v>
      </c>
      <c r="D308" s="121" t="s">
        <v>12</v>
      </c>
      <c r="E308" s="122">
        <v>42660</v>
      </c>
      <c r="F308" s="123">
        <v>4.6900000000000004</v>
      </c>
      <c r="G308" s="124" t="s">
        <v>13</v>
      </c>
      <c r="H308" s="121" t="s">
        <v>18</v>
      </c>
      <c r="I308" s="124">
        <v>1</v>
      </c>
      <c r="J308" s="124" t="s">
        <v>15</v>
      </c>
      <c r="K308" s="124" t="s">
        <v>103</v>
      </c>
      <c r="L308" s="121" t="s">
        <v>104</v>
      </c>
    </row>
    <row r="309" spans="1:12" x14ac:dyDescent="0.2">
      <c r="A309" s="121" t="s">
        <v>101</v>
      </c>
      <c r="B309" s="121" t="s">
        <v>102</v>
      </c>
      <c r="C309" s="121" t="s">
        <v>11</v>
      </c>
      <c r="D309" s="121" t="s">
        <v>12</v>
      </c>
      <c r="E309" s="122">
        <v>42660</v>
      </c>
      <c r="F309" s="123">
        <v>94.266186000000005</v>
      </c>
      <c r="G309" s="124" t="s">
        <v>16</v>
      </c>
      <c r="H309" s="121" t="s">
        <v>18</v>
      </c>
      <c r="I309" s="124">
        <v>1</v>
      </c>
      <c r="J309" s="124" t="s">
        <v>15</v>
      </c>
      <c r="K309" s="124" t="s">
        <v>103</v>
      </c>
      <c r="L309" s="121" t="s">
        <v>104</v>
      </c>
    </row>
    <row r="310" spans="1:12" x14ac:dyDescent="0.2">
      <c r="A310" s="121" t="s">
        <v>101</v>
      </c>
      <c r="B310" s="121" t="s">
        <v>102</v>
      </c>
      <c r="C310" s="121" t="s">
        <v>11</v>
      </c>
      <c r="D310" s="121" t="s">
        <v>12</v>
      </c>
      <c r="E310" s="122">
        <v>42655</v>
      </c>
      <c r="F310" s="123">
        <v>15.24</v>
      </c>
      <c r="G310" s="124" t="s">
        <v>13</v>
      </c>
      <c r="H310" s="121" t="s">
        <v>14</v>
      </c>
      <c r="I310" s="124">
        <v>1</v>
      </c>
      <c r="J310" s="124" t="s">
        <v>15</v>
      </c>
      <c r="K310" s="124" t="s">
        <v>103</v>
      </c>
      <c r="L310" s="121" t="s">
        <v>104</v>
      </c>
    </row>
    <row r="311" spans="1:12" x14ac:dyDescent="0.2">
      <c r="A311" s="121" t="s">
        <v>101</v>
      </c>
      <c r="B311" s="121" t="s">
        <v>102</v>
      </c>
      <c r="C311" s="121" t="s">
        <v>11</v>
      </c>
      <c r="D311" s="121" t="s">
        <v>12</v>
      </c>
      <c r="E311" s="122">
        <v>42655</v>
      </c>
      <c r="F311" s="123">
        <v>310.63631040000001</v>
      </c>
      <c r="G311" s="124" t="s">
        <v>16</v>
      </c>
      <c r="H311" s="121" t="s">
        <v>14</v>
      </c>
      <c r="I311" s="124">
        <v>1</v>
      </c>
      <c r="J311" s="124" t="s">
        <v>15</v>
      </c>
      <c r="K311" s="124" t="s">
        <v>103</v>
      </c>
      <c r="L311" s="121" t="s">
        <v>104</v>
      </c>
    </row>
    <row r="312" spans="1:12" x14ac:dyDescent="0.2">
      <c r="A312" s="121" t="s">
        <v>101</v>
      </c>
      <c r="B312" s="121" t="s">
        <v>102</v>
      </c>
      <c r="C312" s="121" t="s">
        <v>11</v>
      </c>
      <c r="D312" s="121" t="s">
        <v>12</v>
      </c>
      <c r="E312" s="122">
        <v>42655</v>
      </c>
      <c r="F312" s="123">
        <v>5.24</v>
      </c>
      <c r="G312" s="124" t="s">
        <v>13</v>
      </c>
      <c r="H312" s="121" t="s">
        <v>18</v>
      </c>
      <c r="I312" s="124">
        <v>1</v>
      </c>
      <c r="J312" s="124" t="s">
        <v>15</v>
      </c>
      <c r="K312" s="124" t="s">
        <v>103</v>
      </c>
      <c r="L312" s="121" t="s">
        <v>104</v>
      </c>
    </row>
    <row r="313" spans="1:12" x14ac:dyDescent="0.2">
      <c r="A313" s="121" t="s">
        <v>101</v>
      </c>
      <c r="B313" s="121" t="s">
        <v>102</v>
      </c>
      <c r="C313" s="121" t="s">
        <v>11</v>
      </c>
      <c r="D313" s="121" t="s">
        <v>12</v>
      </c>
      <c r="E313" s="122">
        <v>42655</v>
      </c>
      <c r="F313" s="123">
        <v>122.36448</v>
      </c>
      <c r="G313" s="124" t="s">
        <v>16</v>
      </c>
      <c r="H313" s="121" t="s">
        <v>18</v>
      </c>
      <c r="I313" s="124">
        <v>1</v>
      </c>
      <c r="J313" s="124" t="s">
        <v>15</v>
      </c>
      <c r="K313" s="124" t="s">
        <v>103</v>
      </c>
      <c r="L313" s="121" t="s">
        <v>104</v>
      </c>
    </row>
    <row r="314" spans="1:12" x14ac:dyDescent="0.2">
      <c r="A314" s="121" t="s">
        <v>101</v>
      </c>
      <c r="B314" s="121" t="s">
        <v>102</v>
      </c>
      <c r="C314" s="121" t="s">
        <v>11</v>
      </c>
      <c r="D314" s="121" t="s">
        <v>12</v>
      </c>
      <c r="E314" s="122">
        <v>42647</v>
      </c>
      <c r="F314" s="123">
        <v>14.64</v>
      </c>
      <c r="G314" s="124" t="s">
        <v>13</v>
      </c>
      <c r="H314" s="121" t="s">
        <v>14</v>
      </c>
      <c r="I314" s="124">
        <v>1</v>
      </c>
      <c r="J314" s="124" t="s">
        <v>15</v>
      </c>
      <c r="K314" s="124" t="s">
        <v>103</v>
      </c>
      <c r="L314" s="121" t="s">
        <v>104</v>
      </c>
    </row>
    <row r="315" spans="1:12" x14ac:dyDescent="0.2">
      <c r="A315" s="121" t="s">
        <v>101</v>
      </c>
      <c r="B315" s="121" t="s">
        <v>102</v>
      </c>
      <c r="C315" s="121" t="s">
        <v>11</v>
      </c>
      <c r="D315" s="121" t="s">
        <v>12</v>
      </c>
      <c r="E315" s="122">
        <v>42647</v>
      </c>
      <c r="F315" s="123">
        <v>350.2980144</v>
      </c>
      <c r="G315" s="124" t="s">
        <v>16</v>
      </c>
      <c r="H315" s="121" t="s">
        <v>14</v>
      </c>
      <c r="I315" s="124">
        <v>1</v>
      </c>
      <c r="J315" s="124" t="s">
        <v>15</v>
      </c>
      <c r="K315" s="124" t="s">
        <v>103</v>
      </c>
      <c r="L315" s="121" t="s">
        <v>104</v>
      </c>
    </row>
    <row r="316" spans="1:12" x14ac:dyDescent="0.2">
      <c r="A316" s="121" t="s">
        <v>101</v>
      </c>
      <c r="B316" s="121" t="s">
        <v>102</v>
      </c>
      <c r="C316" s="121" t="s">
        <v>11</v>
      </c>
      <c r="D316" s="121" t="s">
        <v>12</v>
      </c>
      <c r="E316" s="122">
        <v>42647</v>
      </c>
      <c r="F316" s="123">
        <v>5.84</v>
      </c>
      <c r="G316" s="124" t="s">
        <v>13</v>
      </c>
      <c r="H316" s="121" t="s">
        <v>18</v>
      </c>
      <c r="I316" s="124">
        <v>1</v>
      </c>
      <c r="J316" s="124" t="s">
        <v>15</v>
      </c>
      <c r="K316" s="124" t="s">
        <v>103</v>
      </c>
      <c r="L316" s="121" t="s">
        <v>104</v>
      </c>
    </row>
    <row r="317" spans="1:12" x14ac:dyDescent="0.2">
      <c r="A317" s="121" t="s">
        <v>101</v>
      </c>
      <c r="B317" s="121" t="s">
        <v>102</v>
      </c>
      <c r="C317" s="121" t="s">
        <v>11</v>
      </c>
      <c r="D317" s="121" t="s">
        <v>12</v>
      </c>
      <c r="E317" s="122">
        <v>42647</v>
      </c>
      <c r="F317" s="123">
        <v>149.03913600000001</v>
      </c>
      <c r="G317" s="124" t="s">
        <v>16</v>
      </c>
      <c r="H317" s="121" t="s">
        <v>18</v>
      </c>
      <c r="I317" s="124">
        <v>1</v>
      </c>
      <c r="J317" s="124" t="s">
        <v>15</v>
      </c>
      <c r="K317" s="124" t="s">
        <v>103</v>
      </c>
      <c r="L317" s="121" t="s">
        <v>104</v>
      </c>
    </row>
    <row r="318" spans="1:12" x14ac:dyDescent="0.2">
      <c r="A318" s="121" t="s">
        <v>101</v>
      </c>
      <c r="B318" s="121" t="s">
        <v>102</v>
      </c>
      <c r="C318" s="121" t="s">
        <v>11</v>
      </c>
      <c r="D318" s="121" t="s">
        <v>12</v>
      </c>
      <c r="E318" s="122">
        <v>42642</v>
      </c>
      <c r="F318" s="123">
        <v>10.3</v>
      </c>
      <c r="G318" s="124" t="s">
        <v>13</v>
      </c>
      <c r="H318" s="121" t="s">
        <v>14</v>
      </c>
      <c r="I318" s="124">
        <v>1</v>
      </c>
      <c r="J318" s="124" t="s">
        <v>15</v>
      </c>
      <c r="K318" s="124" t="s">
        <v>103</v>
      </c>
      <c r="L318" s="121" t="s">
        <v>104</v>
      </c>
    </row>
    <row r="319" spans="1:12" x14ac:dyDescent="0.2">
      <c r="A319" s="121" t="s">
        <v>101</v>
      </c>
      <c r="B319" s="121" t="s">
        <v>102</v>
      </c>
      <c r="C319" s="121" t="s">
        <v>11</v>
      </c>
      <c r="D319" s="121" t="s">
        <v>12</v>
      </c>
      <c r="E319" s="122">
        <v>42642</v>
      </c>
      <c r="F319" s="123">
        <v>373.58779800000002</v>
      </c>
      <c r="G319" s="124" t="s">
        <v>16</v>
      </c>
      <c r="H319" s="121" t="s">
        <v>14</v>
      </c>
      <c r="I319" s="124">
        <v>1</v>
      </c>
      <c r="J319" s="124" t="s">
        <v>15</v>
      </c>
      <c r="K319" s="124" t="s">
        <v>103</v>
      </c>
      <c r="L319" s="121" t="s">
        <v>104</v>
      </c>
    </row>
    <row r="320" spans="1:12" x14ac:dyDescent="0.2">
      <c r="A320" s="121" t="s">
        <v>101</v>
      </c>
      <c r="B320" s="121" t="s">
        <v>102</v>
      </c>
      <c r="C320" s="121" t="s">
        <v>11</v>
      </c>
      <c r="D320" s="121" t="s">
        <v>12</v>
      </c>
      <c r="E320" s="122">
        <v>42642</v>
      </c>
      <c r="F320" s="123">
        <v>4.84</v>
      </c>
      <c r="G320" s="124" t="s">
        <v>13</v>
      </c>
      <c r="H320" s="121" t="s">
        <v>18</v>
      </c>
      <c r="I320" s="124">
        <v>1</v>
      </c>
      <c r="J320" s="124" t="s">
        <v>15</v>
      </c>
      <c r="K320" s="124" t="s">
        <v>103</v>
      </c>
      <c r="L320" s="121" t="s">
        <v>104</v>
      </c>
    </row>
    <row r="321" spans="1:12" x14ac:dyDescent="0.2">
      <c r="A321" s="121" t="s">
        <v>101</v>
      </c>
      <c r="B321" s="121" t="s">
        <v>102</v>
      </c>
      <c r="C321" s="121" t="s">
        <v>11</v>
      </c>
      <c r="D321" s="121" t="s">
        <v>12</v>
      </c>
      <c r="E321" s="122">
        <v>42642</v>
      </c>
      <c r="F321" s="123">
        <v>197.79143999999999</v>
      </c>
      <c r="G321" s="124" t="s">
        <v>16</v>
      </c>
      <c r="H321" s="121" t="s">
        <v>18</v>
      </c>
      <c r="I321" s="124">
        <v>1</v>
      </c>
      <c r="J321" s="124" t="s">
        <v>15</v>
      </c>
      <c r="K321" s="124" t="s">
        <v>103</v>
      </c>
      <c r="L321" s="121" t="s">
        <v>104</v>
      </c>
    </row>
    <row r="322" spans="1:12" x14ac:dyDescent="0.2">
      <c r="A322" s="121" t="s">
        <v>101</v>
      </c>
      <c r="B322" s="121" t="s">
        <v>102</v>
      </c>
      <c r="C322" s="121" t="s">
        <v>11</v>
      </c>
      <c r="D322" s="121" t="s">
        <v>12</v>
      </c>
      <c r="E322" s="122">
        <v>42633</v>
      </c>
      <c r="F322" s="123">
        <v>11.54</v>
      </c>
      <c r="G322" s="124" t="s">
        <v>13</v>
      </c>
      <c r="H322" s="121" t="s">
        <v>14</v>
      </c>
      <c r="I322" s="124">
        <v>1</v>
      </c>
      <c r="J322" s="124" t="s">
        <v>15</v>
      </c>
      <c r="K322" s="124" t="s">
        <v>103</v>
      </c>
      <c r="L322" s="121" t="s">
        <v>104</v>
      </c>
    </row>
    <row r="323" spans="1:12" x14ac:dyDescent="0.2">
      <c r="A323" s="121" t="s">
        <v>101</v>
      </c>
      <c r="B323" s="121" t="s">
        <v>102</v>
      </c>
      <c r="C323" s="121" t="s">
        <v>11</v>
      </c>
      <c r="D323" s="121" t="s">
        <v>12</v>
      </c>
      <c r="E323" s="122">
        <v>42633</v>
      </c>
      <c r="F323" s="123">
        <v>318.75880319999999</v>
      </c>
      <c r="G323" s="124" t="s">
        <v>16</v>
      </c>
      <c r="H323" s="121" t="s">
        <v>14</v>
      </c>
      <c r="I323" s="124">
        <v>1</v>
      </c>
      <c r="J323" s="124" t="s">
        <v>15</v>
      </c>
      <c r="K323" s="124" t="s">
        <v>103</v>
      </c>
      <c r="L323" s="121" t="s">
        <v>104</v>
      </c>
    </row>
    <row r="324" spans="1:12" x14ac:dyDescent="0.2">
      <c r="A324" s="121" t="s">
        <v>101</v>
      </c>
      <c r="B324" s="121" t="s">
        <v>102</v>
      </c>
      <c r="C324" s="121" t="s">
        <v>11</v>
      </c>
      <c r="D324" s="121" t="s">
        <v>12</v>
      </c>
      <c r="E324" s="122">
        <v>42633</v>
      </c>
      <c r="F324" s="123">
        <v>5.39</v>
      </c>
      <c r="G324" s="124" t="s">
        <v>13</v>
      </c>
      <c r="H324" s="121" t="s">
        <v>18</v>
      </c>
      <c r="I324" s="124">
        <v>1</v>
      </c>
      <c r="J324" s="124" t="s">
        <v>15</v>
      </c>
      <c r="K324" s="124" t="s">
        <v>103</v>
      </c>
      <c r="L324" s="121" t="s">
        <v>104</v>
      </c>
    </row>
    <row r="325" spans="1:12" x14ac:dyDescent="0.2">
      <c r="A325" s="121" t="s">
        <v>101</v>
      </c>
      <c r="B325" s="121" t="s">
        <v>102</v>
      </c>
      <c r="C325" s="121" t="s">
        <v>11</v>
      </c>
      <c r="D325" s="121" t="s">
        <v>12</v>
      </c>
      <c r="E325" s="122">
        <v>42633</v>
      </c>
      <c r="F325" s="123">
        <v>158.68267800000001</v>
      </c>
      <c r="G325" s="124" t="s">
        <v>16</v>
      </c>
      <c r="H325" s="121" t="s">
        <v>18</v>
      </c>
      <c r="I325" s="124">
        <v>1</v>
      </c>
      <c r="J325" s="124" t="s">
        <v>15</v>
      </c>
      <c r="K325" s="124" t="s">
        <v>103</v>
      </c>
      <c r="L325" s="121" t="s">
        <v>104</v>
      </c>
    </row>
    <row r="326" spans="1:12" x14ac:dyDescent="0.2">
      <c r="A326" s="121" t="s">
        <v>101</v>
      </c>
      <c r="B326" s="121" t="s">
        <v>102</v>
      </c>
      <c r="C326" s="121" t="s">
        <v>11</v>
      </c>
      <c r="D326" s="121" t="s">
        <v>12</v>
      </c>
      <c r="E326" s="122">
        <v>42626</v>
      </c>
      <c r="F326" s="123">
        <v>11.06</v>
      </c>
      <c r="G326" s="124" t="s">
        <v>13</v>
      </c>
      <c r="H326" s="121" t="s">
        <v>14</v>
      </c>
      <c r="I326" s="124">
        <v>1</v>
      </c>
      <c r="J326" s="124" t="s">
        <v>15</v>
      </c>
      <c r="K326" s="124" t="s">
        <v>103</v>
      </c>
      <c r="L326" s="121" t="s">
        <v>104</v>
      </c>
    </row>
    <row r="327" spans="1:12" x14ac:dyDescent="0.2">
      <c r="A327" s="121" t="s">
        <v>101</v>
      </c>
      <c r="B327" s="121" t="s">
        <v>102</v>
      </c>
      <c r="C327" s="121" t="s">
        <v>11</v>
      </c>
      <c r="D327" s="121" t="s">
        <v>12</v>
      </c>
      <c r="E327" s="122">
        <v>42626</v>
      </c>
      <c r="F327" s="123">
        <v>408.07152960000002</v>
      </c>
      <c r="G327" s="124" t="s">
        <v>16</v>
      </c>
      <c r="H327" s="121" t="s">
        <v>14</v>
      </c>
      <c r="I327" s="124">
        <v>1</v>
      </c>
      <c r="J327" s="124" t="s">
        <v>15</v>
      </c>
      <c r="K327" s="124" t="s">
        <v>103</v>
      </c>
      <c r="L327" s="121" t="s">
        <v>104</v>
      </c>
    </row>
    <row r="328" spans="1:12" x14ac:dyDescent="0.2">
      <c r="A328" s="121" t="s">
        <v>101</v>
      </c>
      <c r="B328" s="121" t="s">
        <v>102</v>
      </c>
      <c r="C328" s="121" t="s">
        <v>11</v>
      </c>
      <c r="D328" s="121" t="s">
        <v>12</v>
      </c>
      <c r="E328" s="122">
        <v>42626</v>
      </c>
      <c r="F328" s="123">
        <v>4.9000000000000004</v>
      </c>
      <c r="G328" s="124" t="s">
        <v>13</v>
      </c>
      <c r="H328" s="121" t="s">
        <v>18</v>
      </c>
      <c r="I328" s="124">
        <v>1</v>
      </c>
      <c r="J328" s="124" t="s">
        <v>15</v>
      </c>
      <c r="K328" s="124" t="s">
        <v>103</v>
      </c>
      <c r="L328" s="121" t="s">
        <v>104</v>
      </c>
    </row>
    <row r="329" spans="1:12" x14ac:dyDescent="0.2">
      <c r="A329" s="121" t="s">
        <v>101</v>
      </c>
      <c r="B329" s="121" t="s">
        <v>102</v>
      </c>
      <c r="C329" s="121" t="s">
        <v>11</v>
      </c>
      <c r="D329" s="121" t="s">
        <v>12</v>
      </c>
      <c r="E329" s="122">
        <v>42626</v>
      </c>
      <c r="F329" s="123">
        <v>184.30565999999999</v>
      </c>
      <c r="G329" s="124" t="s">
        <v>16</v>
      </c>
      <c r="H329" s="121" t="s">
        <v>18</v>
      </c>
      <c r="I329" s="124">
        <v>1</v>
      </c>
      <c r="J329" s="124" t="s">
        <v>15</v>
      </c>
      <c r="K329" s="124" t="s">
        <v>103</v>
      </c>
      <c r="L329" s="121" t="s">
        <v>104</v>
      </c>
    </row>
    <row r="330" spans="1:12" x14ac:dyDescent="0.2">
      <c r="A330" s="121" t="s">
        <v>101</v>
      </c>
      <c r="B330" s="121" t="s">
        <v>102</v>
      </c>
      <c r="C330" s="121" t="s">
        <v>11</v>
      </c>
      <c r="D330" s="121" t="s">
        <v>12</v>
      </c>
      <c r="E330" s="122">
        <v>42619</v>
      </c>
      <c r="F330" s="123">
        <v>26.771999999999998</v>
      </c>
      <c r="G330" s="124" t="s">
        <v>13</v>
      </c>
      <c r="H330" s="121" t="s">
        <v>14</v>
      </c>
      <c r="I330" s="124">
        <v>1</v>
      </c>
      <c r="J330" s="124" t="s">
        <v>15</v>
      </c>
      <c r="K330" s="124" t="s">
        <v>103</v>
      </c>
      <c r="L330" s="121" t="s">
        <v>104</v>
      </c>
    </row>
    <row r="331" spans="1:12" x14ac:dyDescent="0.2">
      <c r="A331" s="121" t="s">
        <v>101</v>
      </c>
      <c r="B331" s="121" t="s">
        <v>102</v>
      </c>
      <c r="C331" s="121" t="s">
        <v>11</v>
      </c>
      <c r="D331" s="121" t="s">
        <v>12</v>
      </c>
      <c r="E331" s="122">
        <v>42619</v>
      </c>
      <c r="F331" s="123">
        <v>457.49760550000002</v>
      </c>
      <c r="G331" s="124" t="s">
        <v>16</v>
      </c>
      <c r="H331" s="121" t="s">
        <v>14</v>
      </c>
      <c r="I331" s="124">
        <v>1</v>
      </c>
      <c r="J331" s="124" t="s">
        <v>15</v>
      </c>
      <c r="K331" s="124" t="s">
        <v>103</v>
      </c>
      <c r="L331" s="121" t="s">
        <v>104</v>
      </c>
    </row>
    <row r="332" spans="1:12" x14ac:dyDescent="0.2">
      <c r="A332" s="121" t="s">
        <v>101</v>
      </c>
      <c r="B332" s="121" t="s">
        <v>102</v>
      </c>
      <c r="C332" s="121" t="s">
        <v>11</v>
      </c>
      <c r="D332" s="121" t="s">
        <v>12</v>
      </c>
      <c r="E332" s="122">
        <v>42619</v>
      </c>
      <c r="F332" s="123">
        <v>6.98</v>
      </c>
      <c r="G332" s="124" t="s">
        <v>13</v>
      </c>
      <c r="H332" s="121" t="s">
        <v>18</v>
      </c>
      <c r="I332" s="124">
        <v>1</v>
      </c>
      <c r="J332" s="124" t="s">
        <v>15</v>
      </c>
      <c r="K332" s="124" t="s">
        <v>103</v>
      </c>
      <c r="L332" s="121" t="s">
        <v>104</v>
      </c>
    </row>
    <row r="333" spans="1:12" x14ac:dyDescent="0.2">
      <c r="A333" s="121" t="s">
        <v>101</v>
      </c>
      <c r="B333" s="121" t="s">
        <v>102</v>
      </c>
      <c r="C333" s="121" t="s">
        <v>11</v>
      </c>
      <c r="D333" s="121" t="s">
        <v>12</v>
      </c>
      <c r="E333" s="122">
        <v>42619</v>
      </c>
      <c r="F333" s="123">
        <v>126.904776</v>
      </c>
      <c r="G333" s="124" t="s">
        <v>16</v>
      </c>
      <c r="H333" s="121" t="s">
        <v>18</v>
      </c>
      <c r="I333" s="124">
        <v>1</v>
      </c>
      <c r="J333" s="124" t="s">
        <v>15</v>
      </c>
      <c r="K333" s="124" t="s">
        <v>103</v>
      </c>
      <c r="L333" s="121" t="s">
        <v>104</v>
      </c>
    </row>
    <row r="334" spans="1:12" x14ac:dyDescent="0.2">
      <c r="A334" s="121" t="s">
        <v>101</v>
      </c>
      <c r="B334" s="121" t="s">
        <v>102</v>
      </c>
      <c r="C334" s="121" t="s">
        <v>11</v>
      </c>
      <c r="D334" s="121" t="s">
        <v>12</v>
      </c>
      <c r="E334" s="122">
        <v>42605</v>
      </c>
      <c r="F334" s="123">
        <v>16.59</v>
      </c>
      <c r="G334" s="124" t="s">
        <v>13</v>
      </c>
      <c r="H334" s="121" t="s">
        <v>14</v>
      </c>
      <c r="I334" s="124">
        <v>1</v>
      </c>
      <c r="J334" s="124" t="s">
        <v>15</v>
      </c>
      <c r="K334" s="124" t="s">
        <v>103</v>
      </c>
      <c r="L334" s="121" t="s">
        <v>104</v>
      </c>
    </row>
    <row r="335" spans="1:12" x14ac:dyDescent="0.2">
      <c r="A335" s="121" t="s">
        <v>101</v>
      </c>
      <c r="B335" s="121" t="s">
        <v>102</v>
      </c>
      <c r="C335" s="121" t="s">
        <v>11</v>
      </c>
      <c r="D335" s="121" t="s">
        <v>12</v>
      </c>
      <c r="E335" s="122">
        <v>42605</v>
      </c>
      <c r="F335" s="123">
        <v>398.75524919999998</v>
      </c>
      <c r="G335" s="124" t="s">
        <v>16</v>
      </c>
      <c r="H335" s="121" t="s">
        <v>14</v>
      </c>
      <c r="I335" s="124">
        <v>1</v>
      </c>
      <c r="J335" s="124" t="s">
        <v>15</v>
      </c>
      <c r="K335" s="124" t="s">
        <v>103</v>
      </c>
      <c r="L335" s="121" t="s">
        <v>104</v>
      </c>
    </row>
    <row r="336" spans="1:12" x14ac:dyDescent="0.2">
      <c r="A336" s="121" t="s">
        <v>101</v>
      </c>
      <c r="B336" s="121" t="s">
        <v>102</v>
      </c>
      <c r="C336" s="121" t="s">
        <v>11</v>
      </c>
      <c r="D336" s="121" t="s">
        <v>12</v>
      </c>
      <c r="E336" s="122">
        <v>42605</v>
      </c>
      <c r="F336" s="123">
        <v>5.6</v>
      </c>
      <c r="G336" s="124" t="s">
        <v>13</v>
      </c>
      <c r="H336" s="121" t="s">
        <v>18</v>
      </c>
      <c r="I336" s="124">
        <v>1</v>
      </c>
      <c r="J336" s="124" t="s">
        <v>15</v>
      </c>
      <c r="K336" s="124" t="s">
        <v>103</v>
      </c>
      <c r="L336" s="121" t="s">
        <v>104</v>
      </c>
    </row>
    <row r="337" spans="1:12" x14ac:dyDescent="0.2">
      <c r="A337" s="121" t="s">
        <v>101</v>
      </c>
      <c r="B337" s="121" t="s">
        <v>102</v>
      </c>
      <c r="C337" s="121" t="s">
        <v>11</v>
      </c>
      <c r="D337" s="121" t="s">
        <v>12</v>
      </c>
      <c r="E337" s="122">
        <v>42605</v>
      </c>
      <c r="F337" s="123">
        <v>126.56784</v>
      </c>
      <c r="G337" s="124" t="s">
        <v>16</v>
      </c>
      <c r="H337" s="121" t="s">
        <v>18</v>
      </c>
      <c r="I337" s="124">
        <v>1</v>
      </c>
      <c r="J337" s="124" t="s">
        <v>15</v>
      </c>
      <c r="K337" s="124" t="s">
        <v>103</v>
      </c>
      <c r="L337" s="121" t="s">
        <v>104</v>
      </c>
    </row>
    <row r="338" spans="1:12" x14ac:dyDescent="0.2">
      <c r="A338" s="121" t="s">
        <v>101</v>
      </c>
      <c r="B338" s="121" t="s">
        <v>102</v>
      </c>
      <c r="C338" s="121" t="s">
        <v>11</v>
      </c>
      <c r="D338" s="121" t="s">
        <v>12</v>
      </c>
      <c r="E338" s="122">
        <v>42597</v>
      </c>
      <c r="F338" s="123">
        <v>21.18</v>
      </c>
      <c r="G338" s="124" t="s">
        <v>13</v>
      </c>
      <c r="H338" s="121" t="s">
        <v>14</v>
      </c>
      <c r="I338" s="124">
        <v>1</v>
      </c>
      <c r="J338" s="124" t="s">
        <v>15</v>
      </c>
      <c r="K338" s="124" t="s">
        <v>103</v>
      </c>
      <c r="L338" s="121" t="s">
        <v>104</v>
      </c>
    </row>
    <row r="339" spans="1:12" x14ac:dyDescent="0.2">
      <c r="A339" s="121" t="s">
        <v>101</v>
      </c>
      <c r="B339" s="121" t="s">
        <v>102</v>
      </c>
      <c r="C339" s="121" t="s">
        <v>11</v>
      </c>
      <c r="D339" s="121" t="s">
        <v>12</v>
      </c>
      <c r="E339" s="122">
        <v>42597</v>
      </c>
      <c r="F339" s="123">
        <v>372.18300840000001</v>
      </c>
      <c r="G339" s="124" t="s">
        <v>16</v>
      </c>
      <c r="H339" s="121" t="s">
        <v>14</v>
      </c>
      <c r="I339" s="124">
        <v>1</v>
      </c>
      <c r="J339" s="124" t="s">
        <v>15</v>
      </c>
      <c r="K339" s="124" t="s">
        <v>103</v>
      </c>
      <c r="L339" s="121" t="s">
        <v>104</v>
      </c>
    </row>
    <row r="340" spans="1:12" x14ac:dyDescent="0.2">
      <c r="A340" s="121" t="s">
        <v>101</v>
      </c>
      <c r="B340" s="121" t="s">
        <v>102</v>
      </c>
      <c r="C340" s="121" t="s">
        <v>11</v>
      </c>
      <c r="D340" s="121" t="s">
        <v>12</v>
      </c>
      <c r="E340" s="122">
        <v>42597</v>
      </c>
      <c r="F340" s="123">
        <v>6.13</v>
      </c>
      <c r="G340" s="124" t="s">
        <v>13</v>
      </c>
      <c r="H340" s="121" t="s">
        <v>18</v>
      </c>
      <c r="I340" s="124">
        <v>1</v>
      </c>
      <c r="J340" s="124" t="s">
        <v>15</v>
      </c>
      <c r="K340" s="124" t="s">
        <v>103</v>
      </c>
      <c r="L340" s="121" t="s">
        <v>104</v>
      </c>
    </row>
    <row r="341" spans="1:12" x14ac:dyDescent="0.2">
      <c r="A341" s="121" t="s">
        <v>101</v>
      </c>
      <c r="B341" s="121" t="s">
        <v>102</v>
      </c>
      <c r="C341" s="121" t="s">
        <v>11</v>
      </c>
      <c r="D341" s="121" t="s">
        <v>12</v>
      </c>
      <c r="E341" s="122">
        <v>42597</v>
      </c>
      <c r="F341" s="123">
        <v>118.608144</v>
      </c>
      <c r="G341" s="124" t="s">
        <v>16</v>
      </c>
      <c r="H341" s="121" t="s">
        <v>18</v>
      </c>
      <c r="I341" s="124">
        <v>1</v>
      </c>
      <c r="J341" s="124" t="s">
        <v>15</v>
      </c>
      <c r="K341" s="124" t="s">
        <v>103</v>
      </c>
      <c r="L341" s="121" t="s">
        <v>104</v>
      </c>
    </row>
    <row r="342" spans="1:12" x14ac:dyDescent="0.2">
      <c r="A342" s="121" t="s">
        <v>101</v>
      </c>
      <c r="B342" s="121" t="s">
        <v>102</v>
      </c>
      <c r="C342" s="121" t="s">
        <v>11</v>
      </c>
      <c r="D342" s="121" t="s">
        <v>12</v>
      </c>
      <c r="E342" s="122">
        <v>42591</v>
      </c>
      <c r="F342" s="123">
        <v>20.6</v>
      </c>
      <c r="G342" s="124" t="s">
        <v>13</v>
      </c>
      <c r="H342" s="121" t="s">
        <v>14</v>
      </c>
      <c r="I342" s="124">
        <v>1</v>
      </c>
      <c r="J342" s="124" t="s">
        <v>15</v>
      </c>
      <c r="K342" s="124" t="s">
        <v>103</v>
      </c>
      <c r="L342" s="121" t="s">
        <v>104</v>
      </c>
    </row>
    <row r="343" spans="1:12" x14ac:dyDescent="0.2">
      <c r="A343" s="121" t="s">
        <v>101</v>
      </c>
      <c r="B343" s="121" t="s">
        <v>102</v>
      </c>
      <c r="C343" s="121" t="s">
        <v>11</v>
      </c>
      <c r="D343" s="121" t="s">
        <v>12</v>
      </c>
      <c r="E343" s="122">
        <v>42591</v>
      </c>
      <c r="F343" s="123">
        <v>321.27348000000001</v>
      </c>
      <c r="G343" s="124" t="s">
        <v>16</v>
      </c>
      <c r="H343" s="121" t="s">
        <v>14</v>
      </c>
      <c r="I343" s="124">
        <v>1</v>
      </c>
      <c r="J343" s="124" t="s">
        <v>15</v>
      </c>
      <c r="K343" s="124" t="s">
        <v>103</v>
      </c>
      <c r="L343" s="121" t="s">
        <v>104</v>
      </c>
    </row>
    <row r="344" spans="1:12" x14ac:dyDescent="0.2">
      <c r="A344" s="121" t="s">
        <v>101</v>
      </c>
      <c r="B344" s="121" t="s">
        <v>102</v>
      </c>
      <c r="C344" s="121" t="s">
        <v>11</v>
      </c>
      <c r="D344" s="121" t="s">
        <v>12</v>
      </c>
      <c r="E344" s="122">
        <v>42591</v>
      </c>
      <c r="F344" s="123">
        <v>8.66</v>
      </c>
      <c r="G344" s="124" t="s">
        <v>13</v>
      </c>
      <c r="H344" s="121" t="s">
        <v>18</v>
      </c>
      <c r="I344" s="124">
        <v>1</v>
      </c>
      <c r="J344" s="124" t="s">
        <v>15</v>
      </c>
      <c r="K344" s="124" t="s">
        <v>103</v>
      </c>
      <c r="L344" s="121" t="s">
        <v>104</v>
      </c>
    </row>
    <row r="345" spans="1:12" x14ac:dyDescent="0.2">
      <c r="A345" s="121" t="s">
        <v>101</v>
      </c>
      <c r="B345" s="121" t="s">
        <v>102</v>
      </c>
      <c r="C345" s="121" t="s">
        <v>11</v>
      </c>
      <c r="D345" s="121" t="s">
        <v>12</v>
      </c>
      <c r="E345" s="122">
        <v>42591</v>
      </c>
      <c r="F345" s="123">
        <v>152.393484</v>
      </c>
      <c r="G345" s="124" t="s">
        <v>16</v>
      </c>
      <c r="H345" s="121" t="s">
        <v>18</v>
      </c>
      <c r="I345" s="124">
        <v>1</v>
      </c>
      <c r="J345" s="124" t="s">
        <v>15</v>
      </c>
      <c r="K345" s="124" t="s">
        <v>103</v>
      </c>
      <c r="L345" s="121" t="s">
        <v>104</v>
      </c>
    </row>
    <row r="346" spans="1:12" x14ac:dyDescent="0.2">
      <c r="A346" s="121" t="s">
        <v>101</v>
      </c>
      <c r="B346" s="121" t="s">
        <v>102</v>
      </c>
      <c r="C346" s="121" t="s">
        <v>11</v>
      </c>
      <c r="D346" s="121" t="s">
        <v>12</v>
      </c>
      <c r="E346" s="122">
        <v>42585</v>
      </c>
      <c r="F346" s="123">
        <v>22.28</v>
      </c>
      <c r="G346" s="124" t="s">
        <v>13</v>
      </c>
      <c r="H346" s="121" t="s">
        <v>14</v>
      </c>
      <c r="I346" s="124">
        <v>1</v>
      </c>
      <c r="J346" s="124" t="s">
        <v>15</v>
      </c>
      <c r="K346" s="124" t="s">
        <v>103</v>
      </c>
      <c r="L346" s="121" t="s">
        <v>104</v>
      </c>
    </row>
    <row r="347" spans="1:12" x14ac:dyDescent="0.2">
      <c r="A347" s="121" t="s">
        <v>101</v>
      </c>
      <c r="B347" s="121" t="s">
        <v>102</v>
      </c>
      <c r="C347" s="121" t="s">
        <v>11</v>
      </c>
      <c r="D347" s="121" t="s">
        <v>12</v>
      </c>
      <c r="E347" s="122">
        <v>42585</v>
      </c>
      <c r="F347" s="123">
        <v>372.93110639999998</v>
      </c>
      <c r="G347" s="124" t="s">
        <v>16</v>
      </c>
      <c r="H347" s="121" t="s">
        <v>14</v>
      </c>
      <c r="I347" s="124">
        <v>1</v>
      </c>
      <c r="J347" s="124" t="s">
        <v>15</v>
      </c>
      <c r="K347" s="124" t="s">
        <v>103</v>
      </c>
      <c r="L347" s="121" t="s">
        <v>104</v>
      </c>
    </row>
    <row r="348" spans="1:12" x14ac:dyDescent="0.2">
      <c r="A348" s="121" t="s">
        <v>101</v>
      </c>
      <c r="B348" s="121" t="s">
        <v>102</v>
      </c>
      <c r="C348" s="121" t="s">
        <v>11</v>
      </c>
      <c r="D348" s="121" t="s">
        <v>12</v>
      </c>
      <c r="E348" s="122">
        <v>42585</v>
      </c>
      <c r="F348" s="123">
        <v>6.69</v>
      </c>
      <c r="G348" s="124" t="s">
        <v>13</v>
      </c>
      <c r="H348" s="121" t="s">
        <v>18</v>
      </c>
      <c r="I348" s="124">
        <v>1</v>
      </c>
      <c r="J348" s="124" t="s">
        <v>15</v>
      </c>
      <c r="K348" s="124" t="s">
        <v>103</v>
      </c>
      <c r="L348" s="121" t="s">
        <v>104</v>
      </c>
    </row>
    <row r="349" spans="1:12" x14ac:dyDescent="0.2">
      <c r="A349" s="121" t="s">
        <v>101</v>
      </c>
      <c r="B349" s="121" t="s">
        <v>102</v>
      </c>
      <c r="C349" s="121" t="s">
        <v>11</v>
      </c>
      <c r="D349" s="121" t="s">
        <v>12</v>
      </c>
      <c r="E349" s="122">
        <v>42585</v>
      </c>
      <c r="F349" s="123">
        <v>113.26303799999999</v>
      </c>
      <c r="G349" s="124" t="s">
        <v>16</v>
      </c>
      <c r="H349" s="121" t="s">
        <v>18</v>
      </c>
      <c r="I349" s="124">
        <v>1</v>
      </c>
      <c r="J349" s="124" t="s">
        <v>15</v>
      </c>
      <c r="K349" s="124" t="s">
        <v>103</v>
      </c>
      <c r="L349" s="121" t="s">
        <v>104</v>
      </c>
    </row>
    <row r="350" spans="1:12" x14ac:dyDescent="0.2">
      <c r="A350" s="121" t="s">
        <v>101</v>
      </c>
      <c r="B350" s="121" t="s">
        <v>102</v>
      </c>
      <c r="C350" s="121" t="s">
        <v>11</v>
      </c>
      <c r="D350" s="121" t="s">
        <v>12</v>
      </c>
      <c r="E350" s="122">
        <v>42577</v>
      </c>
      <c r="F350" s="123">
        <v>22.5</v>
      </c>
      <c r="G350" s="124" t="s">
        <v>13</v>
      </c>
      <c r="H350" s="121" t="s">
        <v>14</v>
      </c>
      <c r="I350" s="124">
        <v>1</v>
      </c>
      <c r="J350" s="124" t="s">
        <v>15</v>
      </c>
      <c r="K350" s="124" t="s">
        <v>103</v>
      </c>
      <c r="L350" s="121" t="s">
        <v>104</v>
      </c>
    </row>
    <row r="351" spans="1:12" x14ac:dyDescent="0.2">
      <c r="A351" s="121" t="s">
        <v>101</v>
      </c>
      <c r="B351" s="121" t="s">
        <v>102</v>
      </c>
      <c r="C351" s="121" t="s">
        <v>11</v>
      </c>
      <c r="D351" s="121" t="s">
        <v>12</v>
      </c>
      <c r="E351" s="122">
        <v>42577</v>
      </c>
      <c r="F351" s="123">
        <v>409.63995</v>
      </c>
      <c r="G351" s="124" t="s">
        <v>16</v>
      </c>
      <c r="H351" s="121" t="s">
        <v>14</v>
      </c>
      <c r="I351" s="124">
        <v>1</v>
      </c>
      <c r="J351" s="124" t="s">
        <v>15</v>
      </c>
      <c r="K351" s="124" t="s">
        <v>103</v>
      </c>
      <c r="L351" s="121" t="s">
        <v>104</v>
      </c>
    </row>
    <row r="352" spans="1:12" x14ac:dyDescent="0.2">
      <c r="A352" s="121" t="s">
        <v>101</v>
      </c>
      <c r="B352" s="121" t="s">
        <v>102</v>
      </c>
      <c r="C352" s="121" t="s">
        <v>11</v>
      </c>
      <c r="D352" s="121" t="s">
        <v>12</v>
      </c>
      <c r="E352" s="122">
        <v>42577</v>
      </c>
      <c r="F352" s="123">
        <v>4.2300000000000004</v>
      </c>
      <c r="G352" s="124" t="s">
        <v>13</v>
      </c>
      <c r="H352" s="121" t="s">
        <v>18</v>
      </c>
      <c r="I352" s="124">
        <v>1</v>
      </c>
      <c r="J352" s="124" t="s">
        <v>15</v>
      </c>
      <c r="K352" s="124" t="s">
        <v>103</v>
      </c>
      <c r="L352" s="121" t="s">
        <v>104</v>
      </c>
    </row>
    <row r="353" spans="1:12" x14ac:dyDescent="0.2">
      <c r="A353" s="121" t="s">
        <v>101</v>
      </c>
      <c r="B353" s="121" t="s">
        <v>102</v>
      </c>
      <c r="C353" s="121" t="s">
        <v>11</v>
      </c>
      <c r="D353" s="121" t="s">
        <v>12</v>
      </c>
      <c r="E353" s="122">
        <v>42577</v>
      </c>
      <c r="F353" s="123">
        <v>77.612039999999993</v>
      </c>
      <c r="G353" s="124" t="s">
        <v>16</v>
      </c>
      <c r="H353" s="121" t="s">
        <v>18</v>
      </c>
      <c r="I353" s="124">
        <v>1</v>
      </c>
      <c r="J353" s="124" t="s">
        <v>15</v>
      </c>
      <c r="K353" s="124" t="s">
        <v>103</v>
      </c>
      <c r="L353" s="121" t="s">
        <v>104</v>
      </c>
    </row>
    <row r="354" spans="1:12" x14ac:dyDescent="0.2">
      <c r="A354" s="121" t="s">
        <v>101</v>
      </c>
      <c r="B354" s="121" t="s">
        <v>102</v>
      </c>
      <c r="C354" s="121" t="s">
        <v>11</v>
      </c>
      <c r="D354" s="121" t="s">
        <v>12</v>
      </c>
      <c r="E354" s="122">
        <v>42569</v>
      </c>
      <c r="F354" s="123">
        <v>19.190000000000001</v>
      </c>
      <c r="G354" s="124" t="s">
        <v>13</v>
      </c>
      <c r="H354" s="121" t="s">
        <v>14</v>
      </c>
      <c r="I354" s="124">
        <v>1</v>
      </c>
      <c r="J354" s="124" t="s">
        <v>15</v>
      </c>
      <c r="K354" s="124" t="s">
        <v>103</v>
      </c>
      <c r="L354" s="121" t="s">
        <v>104</v>
      </c>
    </row>
    <row r="355" spans="1:12" x14ac:dyDescent="0.2">
      <c r="A355" s="121" t="s">
        <v>101</v>
      </c>
      <c r="B355" s="121" t="s">
        <v>102</v>
      </c>
      <c r="C355" s="121" t="s">
        <v>11</v>
      </c>
      <c r="D355" s="121" t="s">
        <v>12</v>
      </c>
      <c r="E355" s="122">
        <v>42569</v>
      </c>
      <c r="F355" s="123">
        <v>501.09964259999998</v>
      </c>
      <c r="G355" s="124" t="s">
        <v>16</v>
      </c>
      <c r="H355" s="121" t="s">
        <v>14</v>
      </c>
      <c r="I355" s="124">
        <v>1</v>
      </c>
      <c r="J355" s="124" t="s">
        <v>15</v>
      </c>
      <c r="K355" s="124" t="s">
        <v>103</v>
      </c>
      <c r="L355" s="121" t="s">
        <v>104</v>
      </c>
    </row>
    <row r="356" spans="1:12" x14ac:dyDescent="0.2">
      <c r="A356" s="121" t="s">
        <v>101</v>
      </c>
      <c r="B356" s="121" t="s">
        <v>102</v>
      </c>
      <c r="C356" s="121" t="s">
        <v>11</v>
      </c>
      <c r="D356" s="121" t="s">
        <v>12</v>
      </c>
      <c r="E356" s="122">
        <v>42569</v>
      </c>
      <c r="F356" s="123">
        <v>7.76</v>
      </c>
      <c r="G356" s="124" t="s">
        <v>13</v>
      </c>
      <c r="H356" s="121" t="s">
        <v>18</v>
      </c>
      <c r="I356" s="124">
        <v>1</v>
      </c>
      <c r="J356" s="124" t="s">
        <v>15</v>
      </c>
      <c r="K356" s="124" t="s">
        <v>103</v>
      </c>
      <c r="L356" s="121" t="s">
        <v>104</v>
      </c>
    </row>
    <row r="357" spans="1:12" x14ac:dyDescent="0.2">
      <c r="A357" s="121" t="s">
        <v>101</v>
      </c>
      <c r="B357" s="121" t="s">
        <v>102</v>
      </c>
      <c r="C357" s="121" t="s">
        <v>11</v>
      </c>
      <c r="D357" s="121" t="s">
        <v>12</v>
      </c>
      <c r="E357" s="122">
        <v>42569</v>
      </c>
      <c r="F357" s="123">
        <v>214.86508799999999</v>
      </c>
      <c r="G357" s="124" t="s">
        <v>16</v>
      </c>
      <c r="H357" s="121" t="s">
        <v>18</v>
      </c>
      <c r="I357" s="124">
        <v>1</v>
      </c>
      <c r="J357" s="124" t="s">
        <v>15</v>
      </c>
      <c r="K357" s="124" t="s">
        <v>103</v>
      </c>
      <c r="L357" s="121" t="s">
        <v>104</v>
      </c>
    </row>
    <row r="358" spans="1:12" x14ac:dyDescent="0.2">
      <c r="A358" s="121" t="s">
        <v>101</v>
      </c>
      <c r="B358" s="121" t="s">
        <v>102</v>
      </c>
      <c r="C358" s="121" t="s">
        <v>11</v>
      </c>
      <c r="D358" s="121" t="s">
        <v>12</v>
      </c>
      <c r="E358" s="122">
        <v>42563</v>
      </c>
      <c r="F358" s="123">
        <v>19</v>
      </c>
      <c r="G358" s="124" t="s">
        <v>13</v>
      </c>
      <c r="H358" s="121" t="s">
        <v>14</v>
      </c>
      <c r="I358" s="124">
        <v>1</v>
      </c>
      <c r="J358" s="124" t="s">
        <v>15</v>
      </c>
      <c r="K358" s="124" t="s">
        <v>103</v>
      </c>
      <c r="L358" s="121" t="s">
        <v>104</v>
      </c>
    </row>
    <row r="359" spans="1:12" x14ac:dyDescent="0.2">
      <c r="A359" s="121" t="s">
        <v>101</v>
      </c>
      <c r="B359" s="121" t="s">
        <v>102</v>
      </c>
      <c r="C359" s="121" t="s">
        <v>11</v>
      </c>
      <c r="D359" s="121" t="s">
        <v>12</v>
      </c>
      <c r="E359" s="122">
        <v>42563</v>
      </c>
      <c r="F359" s="123">
        <v>426.09894000000003</v>
      </c>
      <c r="G359" s="124" t="s">
        <v>16</v>
      </c>
      <c r="H359" s="121" t="s">
        <v>14</v>
      </c>
      <c r="I359" s="124">
        <v>1</v>
      </c>
      <c r="J359" s="124" t="s">
        <v>15</v>
      </c>
      <c r="K359" s="124" t="s">
        <v>103</v>
      </c>
      <c r="L359" s="121" t="s">
        <v>104</v>
      </c>
    </row>
    <row r="360" spans="1:12" x14ac:dyDescent="0.2">
      <c r="A360" s="121" t="s">
        <v>101</v>
      </c>
      <c r="B360" s="121" t="s">
        <v>102</v>
      </c>
      <c r="C360" s="121" t="s">
        <v>11</v>
      </c>
      <c r="D360" s="121" t="s">
        <v>12</v>
      </c>
      <c r="E360" s="122">
        <v>42563</v>
      </c>
      <c r="F360" s="123">
        <v>4.7699999999999996</v>
      </c>
      <c r="G360" s="124" t="s">
        <v>13</v>
      </c>
      <c r="H360" s="121" t="s">
        <v>18</v>
      </c>
      <c r="I360" s="124">
        <v>1</v>
      </c>
      <c r="J360" s="124" t="s">
        <v>15</v>
      </c>
      <c r="K360" s="124" t="s">
        <v>103</v>
      </c>
      <c r="L360" s="121" t="s">
        <v>104</v>
      </c>
    </row>
    <row r="361" spans="1:12" x14ac:dyDescent="0.2">
      <c r="A361" s="121" t="s">
        <v>101</v>
      </c>
      <c r="B361" s="121" t="s">
        <v>102</v>
      </c>
      <c r="C361" s="121" t="s">
        <v>11</v>
      </c>
      <c r="D361" s="121" t="s">
        <v>12</v>
      </c>
      <c r="E361" s="122">
        <v>42563</v>
      </c>
      <c r="F361" s="123">
        <v>106.615224</v>
      </c>
      <c r="G361" s="124" t="s">
        <v>16</v>
      </c>
      <c r="H361" s="121" t="s">
        <v>18</v>
      </c>
      <c r="I361" s="124">
        <v>1</v>
      </c>
      <c r="J361" s="124" t="s">
        <v>15</v>
      </c>
      <c r="K361" s="124" t="s">
        <v>103</v>
      </c>
      <c r="L361" s="121" t="s">
        <v>104</v>
      </c>
    </row>
    <row r="362" spans="1:12" x14ac:dyDescent="0.2">
      <c r="A362" s="121" t="s">
        <v>101</v>
      </c>
      <c r="B362" s="121" t="s">
        <v>102</v>
      </c>
      <c r="C362" s="121" t="s">
        <v>11</v>
      </c>
      <c r="D362" s="121" t="s">
        <v>12</v>
      </c>
      <c r="E362" s="122">
        <v>42556</v>
      </c>
      <c r="F362" s="133">
        <v>38.32</v>
      </c>
      <c r="G362" s="124" t="s">
        <v>13</v>
      </c>
      <c r="H362" s="121" t="s">
        <v>14</v>
      </c>
      <c r="I362" s="124">
        <v>1</v>
      </c>
      <c r="J362" s="124" t="s">
        <v>15</v>
      </c>
      <c r="K362" s="124" t="s">
        <v>103</v>
      </c>
      <c r="L362" s="121" t="s">
        <v>104</v>
      </c>
    </row>
    <row r="363" spans="1:12" x14ac:dyDescent="0.2">
      <c r="A363" s="121" t="s">
        <v>101</v>
      </c>
      <c r="B363" s="121" t="s">
        <v>102</v>
      </c>
      <c r="C363" s="121" t="s">
        <v>11</v>
      </c>
      <c r="D363" s="121" t="s">
        <v>12</v>
      </c>
      <c r="E363" s="122">
        <v>42556</v>
      </c>
      <c r="F363" s="133">
        <v>690.63139679999995</v>
      </c>
      <c r="G363" s="125" t="s">
        <v>16</v>
      </c>
      <c r="H363" s="126" t="s">
        <v>14</v>
      </c>
      <c r="I363" s="124">
        <v>1</v>
      </c>
      <c r="J363" s="124" t="s">
        <v>15</v>
      </c>
      <c r="K363" s="124" t="s">
        <v>103</v>
      </c>
      <c r="L363" s="121" t="s">
        <v>104</v>
      </c>
    </row>
    <row r="364" spans="1:12" x14ac:dyDescent="0.2">
      <c r="A364" s="121" t="s">
        <v>101</v>
      </c>
      <c r="B364" s="121" t="s">
        <v>102</v>
      </c>
      <c r="C364" s="121" t="s">
        <v>11</v>
      </c>
      <c r="D364" s="121" t="s">
        <v>12</v>
      </c>
      <c r="E364" s="122">
        <v>42556</v>
      </c>
      <c r="F364" s="133">
        <v>8.42</v>
      </c>
      <c r="G364" s="124" t="s">
        <v>13</v>
      </c>
      <c r="H364" s="121" t="s">
        <v>18</v>
      </c>
      <c r="I364" s="124">
        <v>1</v>
      </c>
      <c r="J364" s="124" t="s">
        <v>15</v>
      </c>
      <c r="K364" s="124" t="s">
        <v>103</v>
      </c>
      <c r="L364" s="121" t="s">
        <v>104</v>
      </c>
    </row>
    <row r="365" spans="1:12" x14ac:dyDescent="0.2">
      <c r="A365" s="121" t="s">
        <v>101</v>
      </c>
      <c r="B365" s="121" t="s">
        <v>102</v>
      </c>
      <c r="C365" s="121" t="s">
        <v>11</v>
      </c>
      <c r="D365" s="121" t="s">
        <v>12</v>
      </c>
      <c r="E365" s="122">
        <v>42556</v>
      </c>
      <c r="F365" s="133">
        <v>154.49016</v>
      </c>
      <c r="G365" s="124" t="s">
        <v>16</v>
      </c>
      <c r="H365" s="121" t="s">
        <v>18</v>
      </c>
      <c r="I365" s="124">
        <v>1</v>
      </c>
      <c r="J365" s="124" t="s">
        <v>15</v>
      </c>
      <c r="K365" s="124" t="s">
        <v>103</v>
      </c>
      <c r="L365" s="121" t="s">
        <v>104</v>
      </c>
    </row>
    <row r="366" spans="1:12" x14ac:dyDescent="0.2">
      <c r="A366" s="121" t="s">
        <v>101</v>
      </c>
      <c r="B366" s="121" t="s">
        <v>102</v>
      </c>
      <c r="C366" s="121" t="s">
        <v>11</v>
      </c>
      <c r="D366" s="121" t="s">
        <v>12</v>
      </c>
      <c r="E366" s="122">
        <v>42548</v>
      </c>
      <c r="F366" s="123">
        <v>29.77</v>
      </c>
      <c r="G366" s="124" t="s">
        <v>13</v>
      </c>
      <c r="H366" s="121" t="s">
        <v>14</v>
      </c>
      <c r="I366" s="124">
        <v>1</v>
      </c>
      <c r="J366" s="124" t="s">
        <v>15</v>
      </c>
      <c r="K366" s="124" t="s">
        <v>103</v>
      </c>
      <c r="L366" s="121" t="s">
        <v>104</v>
      </c>
    </row>
    <row r="367" spans="1:12" x14ac:dyDescent="0.2">
      <c r="A367" s="121" t="s">
        <v>101</v>
      </c>
      <c r="B367" s="121" t="s">
        <v>102</v>
      </c>
      <c r="C367" s="121" t="s">
        <v>11</v>
      </c>
      <c r="D367" s="121" t="s">
        <v>12</v>
      </c>
      <c r="E367" s="122">
        <v>42548</v>
      </c>
      <c r="F367" s="123">
        <v>509.9708172</v>
      </c>
      <c r="G367" s="124" t="s">
        <v>16</v>
      </c>
      <c r="H367" s="121" t="s">
        <v>14</v>
      </c>
      <c r="I367" s="124">
        <v>1</v>
      </c>
      <c r="J367" s="124" t="s">
        <v>15</v>
      </c>
      <c r="K367" s="124" t="s">
        <v>103</v>
      </c>
      <c r="L367" s="121" t="s">
        <v>104</v>
      </c>
    </row>
    <row r="368" spans="1:12" x14ac:dyDescent="0.2">
      <c r="A368" s="121" t="s">
        <v>101</v>
      </c>
      <c r="B368" s="121" t="s">
        <v>102</v>
      </c>
      <c r="C368" s="121" t="s">
        <v>11</v>
      </c>
      <c r="D368" s="121" t="s">
        <v>12</v>
      </c>
      <c r="E368" s="122">
        <v>42548</v>
      </c>
      <c r="F368" s="123">
        <v>4.76</v>
      </c>
      <c r="G368" s="124" t="s">
        <v>13</v>
      </c>
      <c r="H368" s="121" t="s">
        <v>18</v>
      </c>
      <c r="I368" s="124">
        <v>1</v>
      </c>
      <c r="J368" s="124" t="s">
        <v>15</v>
      </c>
      <c r="K368" s="124" t="s">
        <v>103</v>
      </c>
      <c r="L368" s="121" t="s">
        <v>104</v>
      </c>
    </row>
    <row r="369" spans="1:12" x14ac:dyDescent="0.2">
      <c r="A369" s="121" t="s">
        <v>101</v>
      </c>
      <c r="B369" s="121" t="s">
        <v>102</v>
      </c>
      <c r="C369" s="121" t="s">
        <v>11</v>
      </c>
      <c r="D369" s="121" t="s">
        <v>12</v>
      </c>
      <c r="E369" s="122">
        <v>42548</v>
      </c>
      <c r="F369" s="123">
        <v>77.411879999999996</v>
      </c>
      <c r="G369" s="124" t="s">
        <v>16</v>
      </c>
      <c r="H369" s="121" t="s">
        <v>18</v>
      </c>
      <c r="I369" s="124">
        <v>1</v>
      </c>
      <c r="J369" s="124" t="s">
        <v>15</v>
      </c>
      <c r="K369" s="124" t="s">
        <v>103</v>
      </c>
      <c r="L369" s="121" t="s">
        <v>104</v>
      </c>
    </row>
    <row r="370" spans="1:12" x14ac:dyDescent="0.2">
      <c r="A370" s="121" t="s">
        <v>101</v>
      </c>
      <c r="B370" s="121" t="s">
        <v>102</v>
      </c>
      <c r="C370" s="121" t="s">
        <v>11</v>
      </c>
      <c r="D370" s="121" t="s">
        <v>12</v>
      </c>
      <c r="E370" s="122">
        <v>42542</v>
      </c>
      <c r="F370" s="123">
        <v>19.03</v>
      </c>
      <c r="G370" s="124" t="s">
        <v>13</v>
      </c>
      <c r="H370" s="121" t="s">
        <v>14</v>
      </c>
      <c r="I370" s="124">
        <v>1</v>
      </c>
      <c r="J370" s="124" t="s">
        <v>15</v>
      </c>
      <c r="K370" s="124" t="s">
        <v>103</v>
      </c>
      <c r="L370" s="121" t="s">
        <v>104</v>
      </c>
    </row>
    <row r="371" spans="1:12" x14ac:dyDescent="0.2">
      <c r="A371" s="121" t="s">
        <v>101</v>
      </c>
      <c r="B371" s="121" t="s">
        <v>102</v>
      </c>
      <c r="C371" s="121" t="s">
        <v>11</v>
      </c>
      <c r="D371" s="121" t="s">
        <v>12</v>
      </c>
      <c r="E371" s="122">
        <v>42542</v>
      </c>
      <c r="F371" s="123">
        <v>314.72232659999997</v>
      </c>
      <c r="G371" s="124" t="s">
        <v>16</v>
      </c>
      <c r="H371" s="121" t="s">
        <v>14</v>
      </c>
      <c r="I371" s="124">
        <v>1</v>
      </c>
      <c r="J371" s="124" t="s">
        <v>15</v>
      </c>
      <c r="K371" s="124" t="s">
        <v>103</v>
      </c>
      <c r="L371" s="121" t="s">
        <v>104</v>
      </c>
    </row>
    <row r="372" spans="1:12" x14ac:dyDescent="0.2">
      <c r="A372" s="121" t="s">
        <v>101</v>
      </c>
      <c r="B372" s="121" t="s">
        <v>102</v>
      </c>
      <c r="C372" s="121" t="s">
        <v>11</v>
      </c>
      <c r="D372" s="121" t="s">
        <v>12</v>
      </c>
      <c r="E372" s="122">
        <v>42542</v>
      </c>
      <c r="F372" s="123">
        <v>4.42</v>
      </c>
      <c r="G372" s="124" t="s">
        <v>13</v>
      </c>
      <c r="H372" s="121" t="s">
        <v>18</v>
      </c>
      <c r="I372" s="124">
        <v>1</v>
      </c>
      <c r="J372" s="124" t="s">
        <v>15</v>
      </c>
      <c r="K372" s="124" t="s">
        <v>103</v>
      </c>
      <c r="L372" s="121" t="s">
        <v>104</v>
      </c>
    </row>
    <row r="373" spans="1:12" x14ac:dyDescent="0.2">
      <c r="A373" s="121" t="s">
        <v>101</v>
      </c>
      <c r="B373" s="121" t="s">
        <v>102</v>
      </c>
      <c r="C373" s="121" t="s">
        <v>11</v>
      </c>
      <c r="D373" s="121" t="s">
        <v>12</v>
      </c>
      <c r="E373" s="122">
        <v>42542</v>
      </c>
      <c r="F373" s="123">
        <v>86.996207999999996</v>
      </c>
      <c r="G373" s="124" t="s">
        <v>16</v>
      </c>
      <c r="H373" s="121" t="s">
        <v>18</v>
      </c>
      <c r="I373" s="124">
        <v>1</v>
      </c>
      <c r="J373" s="124" t="s">
        <v>15</v>
      </c>
      <c r="K373" s="124" t="s">
        <v>103</v>
      </c>
      <c r="L373" s="121" t="s">
        <v>104</v>
      </c>
    </row>
    <row r="374" spans="1:12" x14ac:dyDescent="0.2">
      <c r="A374" s="121" t="s">
        <v>101</v>
      </c>
      <c r="B374" s="121" t="s">
        <v>102</v>
      </c>
      <c r="C374" s="121" t="s">
        <v>11</v>
      </c>
      <c r="D374" s="121" t="s">
        <v>12</v>
      </c>
      <c r="E374" s="122">
        <v>42534</v>
      </c>
      <c r="F374" s="123">
        <v>23.52</v>
      </c>
      <c r="G374" s="124" t="s">
        <v>13</v>
      </c>
      <c r="H374" s="121" t="s">
        <v>14</v>
      </c>
      <c r="I374" s="124">
        <v>1</v>
      </c>
      <c r="J374" s="124" t="s">
        <v>15</v>
      </c>
      <c r="K374" s="124" t="s">
        <v>103</v>
      </c>
      <c r="L374" s="121" t="s">
        <v>104</v>
      </c>
    </row>
    <row r="375" spans="1:12" x14ac:dyDescent="0.2">
      <c r="A375" s="121" t="s">
        <v>101</v>
      </c>
      <c r="B375" s="121" t="s">
        <v>102</v>
      </c>
      <c r="C375" s="121" t="s">
        <v>11</v>
      </c>
      <c r="D375" s="121" t="s">
        <v>12</v>
      </c>
      <c r="E375" s="122">
        <v>42534</v>
      </c>
      <c r="F375" s="123">
        <v>408.79077119999999</v>
      </c>
      <c r="G375" s="124" t="s">
        <v>16</v>
      </c>
      <c r="H375" s="121" t="s">
        <v>14</v>
      </c>
      <c r="I375" s="124">
        <v>1</v>
      </c>
      <c r="J375" s="124" t="s">
        <v>15</v>
      </c>
      <c r="K375" s="124" t="s">
        <v>103</v>
      </c>
      <c r="L375" s="121" t="s">
        <v>104</v>
      </c>
    </row>
    <row r="376" spans="1:12" x14ac:dyDescent="0.2">
      <c r="A376" s="121" t="s">
        <v>101</v>
      </c>
      <c r="B376" s="121" t="s">
        <v>102</v>
      </c>
      <c r="C376" s="121" t="s">
        <v>11</v>
      </c>
      <c r="D376" s="121" t="s">
        <v>12</v>
      </c>
      <c r="E376" s="122">
        <v>42534</v>
      </c>
      <c r="F376" s="123">
        <v>3.99</v>
      </c>
      <c r="G376" s="124" t="s">
        <v>13</v>
      </c>
      <c r="H376" s="121" t="s">
        <v>18</v>
      </c>
      <c r="I376" s="124">
        <v>1</v>
      </c>
      <c r="J376" s="124" t="s">
        <v>15</v>
      </c>
      <c r="K376" s="124" t="s">
        <v>103</v>
      </c>
      <c r="L376" s="121" t="s">
        <v>104</v>
      </c>
    </row>
    <row r="377" spans="1:12" x14ac:dyDescent="0.2">
      <c r="A377" s="121" t="s">
        <v>101</v>
      </c>
      <c r="B377" s="121" t="s">
        <v>102</v>
      </c>
      <c r="C377" s="121" t="s">
        <v>11</v>
      </c>
      <c r="D377" s="121" t="s">
        <v>12</v>
      </c>
      <c r="E377" s="122">
        <v>42534</v>
      </c>
      <c r="F377" s="123">
        <v>93.507245999999995</v>
      </c>
      <c r="G377" s="124" t="s">
        <v>16</v>
      </c>
      <c r="H377" s="121" t="s">
        <v>18</v>
      </c>
      <c r="I377" s="124">
        <v>1</v>
      </c>
      <c r="J377" s="124" t="s">
        <v>15</v>
      </c>
      <c r="K377" s="124" t="s">
        <v>103</v>
      </c>
      <c r="L377" s="121" t="s">
        <v>104</v>
      </c>
    </row>
    <row r="378" spans="1:12" x14ac:dyDescent="0.2">
      <c r="A378" s="121" t="s">
        <v>101</v>
      </c>
      <c r="B378" s="121" t="s">
        <v>102</v>
      </c>
      <c r="C378" s="121" t="s">
        <v>11</v>
      </c>
      <c r="D378" s="121" t="s">
        <v>12</v>
      </c>
      <c r="E378" s="122">
        <v>42529</v>
      </c>
      <c r="F378" s="123">
        <v>19.239999999999998</v>
      </c>
      <c r="G378" s="124" t="s">
        <v>13</v>
      </c>
      <c r="H378" s="121" t="s">
        <v>14</v>
      </c>
      <c r="I378" s="124">
        <v>1</v>
      </c>
      <c r="J378" s="124" t="s">
        <v>15</v>
      </c>
      <c r="K378" s="124" t="s">
        <v>103</v>
      </c>
      <c r="L378" s="121" t="s">
        <v>104</v>
      </c>
    </row>
    <row r="379" spans="1:12" x14ac:dyDescent="0.2">
      <c r="A379" s="121" t="s">
        <v>101</v>
      </c>
      <c r="B379" s="121" t="s">
        <v>102</v>
      </c>
      <c r="C379" s="121" t="s">
        <v>11</v>
      </c>
      <c r="D379" s="121" t="s">
        <v>12</v>
      </c>
      <c r="E379" s="122">
        <v>42529</v>
      </c>
      <c r="F379" s="123">
        <v>349.00398000000001</v>
      </c>
      <c r="G379" s="124" t="s">
        <v>16</v>
      </c>
      <c r="H379" s="121" t="s">
        <v>14</v>
      </c>
      <c r="I379" s="124">
        <v>1</v>
      </c>
      <c r="J379" s="124" t="s">
        <v>15</v>
      </c>
      <c r="K379" s="124" t="s">
        <v>103</v>
      </c>
      <c r="L379" s="121" t="s">
        <v>104</v>
      </c>
    </row>
    <row r="380" spans="1:12" x14ac:dyDescent="0.2">
      <c r="A380" s="121" t="s">
        <v>101</v>
      </c>
      <c r="B380" s="121" t="s">
        <v>102</v>
      </c>
      <c r="C380" s="121" t="s">
        <v>11</v>
      </c>
      <c r="D380" s="121" t="s">
        <v>12</v>
      </c>
      <c r="E380" s="122">
        <v>42529</v>
      </c>
      <c r="F380" s="123">
        <v>2.97</v>
      </c>
      <c r="G380" s="124" t="s">
        <v>13</v>
      </c>
      <c r="H380" s="121" t="s">
        <v>18</v>
      </c>
      <c r="I380" s="124">
        <v>1</v>
      </c>
      <c r="J380" s="124" t="s">
        <v>15</v>
      </c>
      <c r="K380" s="124" t="s">
        <v>103</v>
      </c>
      <c r="L380" s="121" t="s">
        <v>104</v>
      </c>
    </row>
    <row r="381" spans="1:12" x14ac:dyDescent="0.2">
      <c r="A381" s="121" t="s">
        <v>101</v>
      </c>
      <c r="B381" s="121" t="s">
        <v>102</v>
      </c>
      <c r="C381" s="121" t="s">
        <v>11</v>
      </c>
      <c r="D381" s="121" t="s">
        <v>12</v>
      </c>
      <c r="E381" s="122">
        <v>42529</v>
      </c>
      <c r="F381" s="123">
        <v>66.135366000000005</v>
      </c>
      <c r="G381" s="124" t="s">
        <v>16</v>
      </c>
      <c r="H381" s="121" t="s">
        <v>18</v>
      </c>
      <c r="I381" s="124">
        <v>1</v>
      </c>
      <c r="J381" s="124" t="s">
        <v>15</v>
      </c>
      <c r="K381" s="124" t="s">
        <v>103</v>
      </c>
      <c r="L381" s="121" t="s">
        <v>104</v>
      </c>
    </row>
    <row r="382" spans="1:12" x14ac:dyDescent="0.2">
      <c r="A382" s="121" t="s">
        <v>101</v>
      </c>
      <c r="B382" s="121" t="s">
        <v>102</v>
      </c>
      <c r="C382" s="121" t="s">
        <v>11</v>
      </c>
      <c r="D382" s="121" t="s">
        <v>12</v>
      </c>
      <c r="E382" s="122">
        <v>42522</v>
      </c>
      <c r="F382" s="123">
        <v>20.45</v>
      </c>
      <c r="G382" s="124" t="s">
        <v>13</v>
      </c>
      <c r="H382" s="121" t="s">
        <v>14</v>
      </c>
      <c r="I382" s="124">
        <v>1</v>
      </c>
      <c r="J382" s="124" t="s">
        <v>15</v>
      </c>
      <c r="K382" s="124" t="s">
        <v>103</v>
      </c>
      <c r="L382" s="121" t="s">
        <v>104</v>
      </c>
    </row>
    <row r="383" spans="1:12" x14ac:dyDescent="0.2">
      <c r="A383" s="121" t="s">
        <v>101</v>
      </c>
      <c r="B383" s="121" t="s">
        <v>102</v>
      </c>
      <c r="C383" s="121" t="s">
        <v>11</v>
      </c>
      <c r="D383" s="121" t="s">
        <v>12</v>
      </c>
      <c r="E383" s="122">
        <v>42522</v>
      </c>
      <c r="F383" s="123">
        <v>454.694298</v>
      </c>
      <c r="G383" s="124" t="s">
        <v>16</v>
      </c>
      <c r="H383" s="121" t="s">
        <v>14</v>
      </c>
      <c r="I383" s="124">
        <v>1</v>
      </c>
      <c r="J383" s="124" t="s">
        <v>15</v>
      </c>
      <c r="K383" s="124" t="s">
        <v>103</v>
      </c>
      <c r="L383" s="121" t="s">
        <v>104</v>
      </c>
    </row>
    <row r="384" spans="1:12" x14ac:dyDescent="0.2">
      <c r="A384" s="121" t="s">
        <v>101</v>
      </c>
      <c r="B384" s="121" t="s">
        <v>102</v>
      </c>
      <c r="C384" s="121" t="s">
        <v>11</v>
      </c>
      <c r="D384" s="121" t="s">
        <v>12</v>
      </c>
      <c r="E384" s="122">
        <v>42522</v>
      </c>
      <c r="F384" s="123">
        <v>4.05</v>
      </c>
      <c r="G384" s="124" t="s">
        <v>13</v>
      </c>
      <c r="H384" s="121" t="s">
        <v>18</v>
      </c>
      <c r="I384" s="124">
        <v>1</v>
      </c>
      <c r="J384" s="124" t="s">
        <v>15</v>
      </c>
      <c r="K384" s="124" t="s">
        <v>103</v>
      </c>
      <c r="L384" s="121" t="s">
        <v>104</v>
      </c>
    </row>
    <row r="385" spans="1:13" x14ac:dyDescent="0.2">
      <c r="A385" s="121" t="s">
        <v>101</v>
      </c>
      <c r="B385" s="121" t="s">
        <v>102</v>
      </c>
      <c r="C385" s="121" t="s">
        <v>11</v>
      </c>
      <c r="D385" s="121" t="s">
        <v>12</v>
      </c>
      <c r="E385" s="122">
        <v>42522</v>
      </c>
      <c r="F385" s="123">
        <v>110.78856</v>
      </c>
      <c r="G385" s="124" t="s">
        <v>16</v>
      </c>
      <c r="H385" s="121" t="s">
        <v>18</v>
      </c>
      <c r="I385" s="124">
        <v>1</v>
      </c>
      <c r="J385" s="124" t="s">
        <v>15</v>
      </c>
      <c r="K385" s="124" t="s">
        <v>103</v>
      </c>
      <c r="L385" s="121" t="s">
        <v>104</v>
      </c>
    </row>
    <row r="386" spans="1:13" x14ac:dyDescent="0.2">
      <c r="A386" s="121" t="s">
        <v>101</v>
      </c>
      <c r="B386" s="121" t="s">
        <v>102</v>
      </c>
      <c r="C386" s="121" t="s">
        <v>19</v>
      </c>
      <c r="D386" s="121" t="s">
        <v>12</v>
      </c>
      <c r="E386" s="122">
        <v>43214</v>
      </c>
      <c r="F386" s="123">
        <v>1.2</v>
      </c>
      <c r="G386" s="124" t="s">
        <v>13</v>
      </c>
      <c r="H386" s="121" t="s">
        <v>14</v>
      </c>
      <c r="I386" s="124">
        <v>1</v>
      </c>
      <c r="J386" s="124" t="s">
        <v>15</v>
      </c>
      <c r="K386" s="124" t="s">
        <v>103</v>
      </c>
      <c r="L386" s="121" t="s">
        <v>104</v>
      </c>
      <c r="M386" s="121" t="s">
        <v>14</v>
      </c>
    </row>
    <row r="387" spans="1:13" x14ac:dyDescent="0.2">
      <c r="A387" s="121" t="s">
        <v>101</v>
      </c>
      <c r="B387" s="121" t="s">
        <v>102</v>
      </c>
      <c r="C387" s="121" t="s">
        <v>19</v>
      </c>
      <c r="D387" s="121" t="s">
        <v>12</v>
      </c>
      <c r="E387" s="122">
        <v>43214</v>
      </c>
      <c r="F387" s="123">
        <v>41.353056000000002</v>
      </c>
      <c r="G387" s="124" t="s">
        <v>16</v>
      </c>
      <c r="H387" s="121" t="s">
        <v>14</v>
      </c>
      <c r="I387" s="124">
        <v>1</v>
      </c>
      <c r="J387" s="124" t="s">
        <v>15</v>
      </c>
      <c r="K387" s="124" t="s">
        <v>103</v>
      </c>
      <c r="L387" s="121" t="s">
        <v>104</v>
      </c>
      <c r="M387" s="121" t="s">
        <v>14</v>
      </c>
    </row>
    <row r="388" spans="1:13" x14ac:dyDescent="0.2">
      <c r="A388" s="121" t="s">
        <v>101</v>
      </c>
      <c r="B388" s="121" t="s">
        <v>102</v>
      </c>
      <c r="C388" s="121" t="s">
        <v>19</v>
      </c>
      <c r="D388" s="121" t="s">
        <v>12</v>
      </c>
      <c r="E388" s="122">
        <v>43214</v>
      </c>
      <c r="F388" s="123">
        <v>0.46700000000000003</v>
      </c>
      <c r="G388" s="124" t="s">
        <v>13</v>
      </c>
      <c r="H388" s="121" t="s">
        <v>18</v>
      </c>
      <c r="I388" s="124">
        <v>1</v>
      </c>
      <c r="J388" s="124" t="s">
        <v>15</v>
      </c>
      <c r="K388" s="124" t="s">
        <v>103</v>
      </c>
      <c r="L388" s="121" t="s">
        <v>104</v>
      </c>
      <c r="M388" s="121" t="s">
        <v>17</v>
      </c>
    </row>
    <row r="389" spans="1:13" x14ac:dyDescent="0.2">
      <c r="A389" s="121" t="s">
        <v>101</v>
      </c>
      <c r="B389" s="121" t="s">
        <v>102</v>
      </c>
      <c r="C389" s="121" t="s">
        <v>19</v>
      </c>
      <c r="D389" s="121" t="s">
        <v>12</v>
      </c>
      <c r="E389" s="122">
        <v>43214</v>
      </c>
      <c r="F389" s="123">
        <v>17.253875399999998</v>
      </c>
      <c r="G389" s="124" t="s">
        <v>16</v>
      </c>
      <c r="H389" s="121" t="s">
        <v>18</v>
      </c>
      <c r="I389" s="124">
        <v>1</v>
      </c>
      <c r="J389" s="124" t="s">
        <v>15</v>
      </c>
      <c r="K389" s="124" t="s">
        <v>103</v>
      </c>
      <c r="L389" s="121" t="s">
        <v>104</v>
      </c>
      <c r="M389" s="121" t="s">
        <v>17</v>
      </c>
    </row>
    <row r="390" spans="1:13" x14ac:dyDescent="0.2">
      <c r="A390" s="121" t="s">
        <v>101</v>
      </c>
      <c r="B390" s="121" t="s">
        <v>102</v>
      </c>
      <c r="C390" s="121" t="s">
        <v>19</v>
      </c>
      <c r="D390" s="121" t="s">
        <v>12</v>
      </c>
      <c r="E390" s="122">
        <v>43207</v>
      </c>
      <c r="F390" s="123">
        <v>1.3</v>
      </c>
      <c r="G390" s="124" t="s">
        <v>13</v>
      </c>
      <c r="H390" s="121" t="s">
        <v>14</v>
      </c>
      <c r="I390" s="124">
        <v>1</v>
      </c>
      <c r="J390" s="124" t="s">
        <v>15</v>
      </c>
      <c r="K390" s="124" t="s">
        <v>103</v>
      </c>
      <c r="L390" s="121" t="s">
        <v>104</v>
      </c>
      <c r="M390" s="121" t="s">
        <v>14</v>
      </c>
    </row>
    <row r="391" spans="1:13" x14ac:dyDescent="0.2">
      <c r="A391" s="121" t="s">
        <v>101</v>
      </c>
      <c r="B391" s="121" t="s">
        <v>102</v>
      </c>
      <c r="C391" s="121" t="s">
        <v>19</v>
      </c>
      <c r="D391" s="121" t="s">
        <v>12</v>
      </c>
      <c r="E391" s="122">
        <v>43207</v>
      </c>
      <c r="F391" s="123">
        <v>35.052185999999999</v>
      </c>
      <c r="G391" s="124" t="s">
        <v>16</v>
      </c>
      <c r="H391" s="121" t="s">
        <v>14</v>
      </c>
      <c r="I391" s="124">
        <v>1</v>
      </c>
      <c r="J391" s="124" t="s">
        <v>15</v>
      </c>
      <c r="K391" s="124" t="s">
        <v>103</v>
      </c>
      <c r="L391" s="121" t="s">
        <v>104</v>
      </c>
      <c r="M391" s="121" t="s">
        <v>14</v>
      </c>
    </row>
    <row r="392" spans="1:13" x14ac:dyDescent="0.2">
      <c r="A392" s="121" t="s">
        <v>101</v>
      </c>
      <c r="B392" s="121" t="s">
        <v>102</v>
      </c>
      <c r="C392" s="121" t="s">
        <v>19</v>
      </c>
      <c r="D392" s="121" t="s">
        <v>12</v>
      </c>
      <c r="E392" s="122">
        <v>43207</v>
      </c>
      <c r="F392" s="123">
        <v>0.76200000000000001</v>
      </c>
      <c r="G392" s="124" t="s">
        <v>13</v>
      </c>
      <c r="H392" s="121" t="s">
        <v>18</v>
      </c>
      <c r="I392" s="124">
        <v>1</v>
      </c>
      <c r="J392" s="124" t="s">
        <v>15</v>
      </c>
      <c r="K392" s="124" t="s">
        <v>103</v>
      </c>
      <c r="L392" s="121" t="s">
        <v>104</v>
      </c>
      <c r="M392" s="121" t="s">
        <v>17</v>
      </c>
    </row>
    <row r="393" spans="1:13" x14ac:dyDescent="0.2">
      <c r="A393" s="121" t="s">
        <v>101</v>
      </c>
      <c r="B393" s="121" t="s">
        <v>102</v>
      </c>
      <c r="C393" s="121" t="s">
        <v>19</v>
      </c>
      <c r="D393" s="121" t="s">
        <v>12</v>
      </c>
      <c r="E393" s="122">
        <v>43207</v>
      </c>
      <c r="F393" s="123">
        <v>22.941838799999999</v>
      </c>
      <c r="G393" s="124" t="s">
        <v>16</v>
      </c>
      <c r="H393" s="121" t="s">
        <v>18</v>
      </c>
      <c r="I393" s="124">
        <v>1</v>
      </c>
      <c r="J393" s="124" t="s">
        <v>15</v>
      </c>
      <c r="K393" s="124" t="s">
        <v>103</v>
      </c>
      <c r="L393" s="121" t="s">
        <v>104</v>
      </c>
      <c r="M393" s="121" t="s">
        <v>17</v>
      </c>
    </row>
    <row r="394" spans="1:13" x14ac:dyDescent="0.2">
      <c r="A394" s="121" t="s">
        <v>101</v>
      </c>
      <c r="B394" s="121" t="s">
        <v>102</v>
      </c>
      <c r="C394" s="121" t="s">
        <v>19</v>
      </c>
      <c r="D394" s="121" t="s">
        <v>12</v>
      </c>
      <c r="E394" s="122">
        <v>43200</v>
      </c>
      <c r="F394" s="123">
        <v>3.66</v>
      </c>
      <c r="G394" s="124" t="s">
        <v>13</v>
      </c>
      <c r="H394" s="121" t="s">
        <v>14</v>
      </c>
      <c r="I394" s="124">
        <v>1</v>
      </c>
      <c r="J394" s="124" t="s">
        <v>15</v>
      </c>
      <c r="K394" s="124" t="s">
        <v>103</v>
      </c>
      <c r="L394" s="121" t="s">
        <v>104</v>
      </c>
      <c r="M394" s="121" t="s">
        <v>14</v>
      </c>
    </row>
    <row r="395" spans="1:13" x14ac:dyDescent="0.2">
      <c r="A395" s="121" t="s">
        <v>101</v>
      </c>
      <c r="B395" s="121" t="s">
        <v>102</v>
      </c>
      <c r="C395" s="121" t="s">
        <v>19</v>
      </c>
      <c r="D395" s="121" t="s">
        <v>12</v>
      </c>
      <c r="E395" s="122">
        <v>43200</v>
      </c>
      <c r="F395" s="123">
        <v>49.0527108</v>
      </c>
      <c r="G395" s="124" t="s">
        <v>16</v>
      </c>
      <c r="H395" s="121" t="s">
        <v>14</v>
      </c>
      <c r="I395" s="124">
        <v>1</v>
      </c>
      <c r="J395" s="124" t="s">
        <v>15</v>
      </c>
      <c r="K395" s="124" t="s">
        <v>103</v>
      </c>
      <c r="L395" s="121" t="s">
        <v>104</v>
      </c>
      <c r="M395" s="121" t="s">
        <v>14</v>
      </c>
    </row>
    <row r="396" spans="1:13" x14ac:dyDescent="0.2">
      <c r="A396" s="121" t="s">
        <v>101</v>
      </c>
      <c r="B396" s="121" t="s">
        <v>102</v>
      </c>
      <c r="C396" s="121" t="s">
        <v>19</v>
      </c>
      <c r="D396" s="121" t="s">
        <v>12</v>
      </c>
      <c r="E396" s="122">
        <v>43200</v>
      </c>
      <c r="F396" s="123">
        <v>1.1599999999999999</v>
      </c>
      <c r="G396" s="124" t="s">
        <v>13</v>
      </c>
      <c r="H396" s="121" t="s">
        <v>18</v>
      </c>
      <c r="I396" s="124">
        <v>1</v>
      </c>
      <c r="J396" s="124" t="s">
        <v>15</v>
      </c>
      <c r="K396" s="124" t="s">
        <v>103</v>
      </c>
      <c r="L396" s="121" t="s">
        <v>104</v>
      </c>
      <c r="M396" s="121" t="s">
        <v>17</v>
      </c>
    </row>
    <row r="397" spans="1:13" x14ac:dyDescent="0.2">
      <c r="A397" s="121" t="s">
        <v>101</v>
      </c>
      <c r="B397" s="121" t="s">
        <v>102</v>
      </c>
      <c r="C397" s="121" t="s">
        <v>19</v>
      </c>
      <c r="D397" s="121" t="s">
        <v>12</v>
      </c>
      <c r="E397" s="122">
        <v>43200</v>
      </c>
      <c r="F397" s="123">
        <v>16.252991999999999</v>
      </c>
      <c r="G397" s="124" t="s">
        <v>16</v>
      </c>
      <c r="H397" s="121" t="s">
        <v>18</v>
      </c>
      <c r="I397" s="124">
        <v>1</v>
      </c>
      <c r="J397" s="124" t="s">
        <v>15</v>
      </c>
      <c r="K397" s="124" t="s">
        <v>103</v>
      </c>
      <c r="L397" s="121" t="s">
        <v>104</v>
      </c>
      <c r="M397" s="121" t="s">
        <v>17</v>
      </c>
    </row>
    <row r="398" spans="1:13" x14ac:dyDescent="0.2">
      <c r="A398" s="121" t="s">
        <v>101</v>
      </c>
      <c r="B398" s="121" t="s">
        <v>102</v>
      </c>
      <c r="C398" s="121" t="s">
        <v>19</v>
      </c>
      <c r="D398" s="121" t="s">
        <v>12</v>
      </c>
      <c r="E398" s="122">
        <v>43193</v>
      </c>
      <c r="F398" s="123">
        <v>3.77</v>
      </c>
      <c r="G398" s="124" t="s">
        <v>13</v>
      </c>
      <c r="H398" s="121" t="s">
        <v>14</v>
      </c>
      <c r="I398" s="124">
        <v>1</v>
      </c>
      <c r="J398" s="124" t="s">
        <v>15</v>
      </c>
      <c r="K398" s="124" t="s">
        <v>103</v>
      </c>
      <c r="L398" s="121" t="s">
        <v>104</v>
      </c>
      <c r="M398" s="121" t="s">
        <v>14</v>
      </c>
    </row>
    <row r="399" spans="1:13" x14ac:dyDescent="0.2">
      <c r="A399" s="121" t="s">
        <v>101</v>
      </c>
      <c r="B399" s="121" t="s">
        <v>102</v>
      </c>
      <c r="C399" s="121" t="s">
        <v>19</v>
      </c>
      <c r="D399" s="121" t="s">
        <v>12</v>
      </c>
      <c r="E399" s="122">
        <v>43193</v>
      </c>
      <c r="F399" s="123">
        <v>51.7846446</v>
      </c>
      <c r="G399" s="124" t="s">
        <v>16</v>
      </c>
      <c r="H399" s="121" t="s">
        <v>14</v>
      </c>
      <c r="I399" s="124">
        <v>1</v>
      </c>
      <c r="J399" s="124" t="s">
        <v>15</v>
      </c>
      <c r="K399" s="124" t="s">
        <v>103</v>
      </c>
      <c r="L399" s="121" t="s">
        <v>104</v>
      </c>
      <c r="M399" s="121" t="s">
        <v>14</v>
      </c>
    </row>
    <row r="400" spans="1:13" x14ac:dyDescent="0.2">
      <c r="A400" s="121" t="s">
        <v>101</v>
      </c>
      <c r="B400" s="121" t="s">
        <v>102</v>
      </c>
      <c r="C400" s="121" t="s">
        <v>19</v>
      </c>
      <c r="D400" s="121" t="s">
        <v>12</v>
      </c>
      <c r="E400" s="122">
        <v>43193</v>
      </c>
      <c r="F400" s="123">
        <v>1.07</v>
      </c>
      <c r="G400" s="124" t="s">
        <v>13</v>
      </c>
      <c r="H400" s="121" t="s">
        <v>18</v>
      </c>
      <c r="I400" s="124">
        <v>1</v>
      </c>
      <c r="J400" s="124" t="s">
        <v>15</v>
      </c>
      <c r="K400" s="124" t="s">
        <v>103</v>
      </c>
      <c r="L400" s="121" t="s">
        <v>104</v>
      </c>
      <c r="M400" s="121" t="s">
        <v>17</v>
      </c>
    </row>
    <row r="401" spans="1:13" x14ac:dyDescent="0.2">
      <c r="A401" s="121" t="s">
        <v>101</v>
      </c>
      <c r="B401" s="121" t="s">
        <v>102</v>
      </c>
      <c r="C401" s="121" t="s">
        <v>19</v>
      </c>
      <c r="D401" s="121" t="s">
        <v>12</v>
      </c>
      <c r="E401" s="122">
        <v>43193</v>
      </c>
      <c r="F401" s="123">
        <v>16.330553999999999</v>
      </c>
      <c r="G401" s="124" t="s">
        <v>16</v>
      </c>
      <c r="H401" s="121" t="s">
        <v>18</v>
      </c>
      <c r="I401" s="124">
        <v>1</v>
      </c>
      <c r="J401" s="124" t="s">
        <v>15</v>
      </c>
      <c r="K401" s="124" t="s">
        <v>103</v>
      </c>
      <c r="L401" s="121" t="s">
        <v>104</v>
      </c>
      <c r="M401" s="121" t="s">
        <v>17</v>
      </c>
    </row>
    <row r="402" spans="1:13" x14ac:dyDescent="0.2">
      <c r="A402" s="121" t="s">
        <v>101</v>
      </c>
      <c r="B402" s="121" t="s">
        <v>102</v>
      </c>
      <c r="C402" s="121" t="s">
        <v>19</v>
      </c>
      <c r="D402" s="121" t="s">
        <v>12</v>
      </c>
      <c r="E402" s="122">
        <v>43186</v>
      </c>
      <c r="F402" s="123">
        <v>3.56</v>
      </c>
      <c r="G402" s="124" t="s">
        <v>13</v>
      </c>
      <c r="H402" s="121" t="s">
        <v>14</v>
      </c>
      <c r="I402" s="124">
        <v>1</v>
      </c>
      <c r="J402" s="124" t="s">
        <v>15</v>
      </c>
      <c r="K402" s="124" t="s">
        <v>103</v>
      </c>
      <c r="L402" s="121" t="s">
        <v>104</v>
      </c>
      <c r="M402" s="121" t="s">
        <v>14</v>
      </c>
    </row>
    <row r="403" spans="1:13" x14ac:dyDescent="0.2">
      <c r="A403" s="121" t="s">
        <v>101</v>
      </c>
      <c r="B403" s="121" t="s">
        <v>102</v>
      </c>
      <c r="C403" s="121" t="s">
        <v>19</v>
      </c>
      <c r="D403" s="121" t="s">
        <v>12</v>
      </c>
      <c r="E403" s="122">
        <v>43186</v>
      </c>
      <c r="F403" s="123">
        <v>41.536869600000003</v>
      </c>
      <c r="G403" s="124" t="s">
        <v>16</v>
      </c>
      <c r="H403" s="121" t="s">
        <v>14</v>
      </c>
      <c r="I403" s="124">
        <v>1</v>
      </c>
      <c r="J403" s="124" t="s">
        <v>15</v>
      </c>
      <c r="K403" s="124" t="s">
        <v>103</v>
      </c>
      <c r="L403" s="121" t="s">
        <v>104</v>
      </c>
      <c r="M403" s="121" t="s">
        <v>14</v>
      </c>
    </row>
    <row r="404" spans="1:13" x14ac:dyDescent="0.2">
      <c r="A404" s="121" t="s">
        <v>101</v>
      </c>
      <c r="B404" s="121" t="s">
        <v>102</v>
      </c>
      <c r="C404" s="121" t="s">
        <v>19</v>
      </c>
      <c r="D404" s="121" t="s">
        <v>12</v>
      </c>
      <c r="E404" s="122">
        <v>43186</v>
      </c>
      <c r="F404" s="123">
        <v>1.1299999999999999</v>
      </c>
      <c r="G404" s="124" t="s">
        <v>13</v>
      </c>
      <c r="H404" s="121" t="s">
        <v>18</v>
      </c>
      <c r="I404" s="124">
        <v>1</v>
      </c>
      <c r="J404" s="124" t="s">
        <v>15</v>
      </c>
      <c r="K404" s="124" t="s">
        <v>103</v>
      </c>
      <c r="L404" s="121" t="s">
        <v>104</v>
      </c>
      <c r="M404" s="121" t="s">
        <v>17</v>
      </c>
    </row>
    <row r="405" spans="1:13" x14ac:dyDescent="0.2">
      <c r="A405" s="121" t="s">
        <v>101</v>
      </c>
      <c r="B405" s="121" t="s">
        <v>102</v>
      </c>
      <c r="C405" s="121" t="s">
        <v>19</v>
      </c>
      <c r="D405" s="121" t="s">
        <v>12</v>
      </c>
      <c r="E405" s="122">
        <v>43186</v>
      </c>
      <c r="F405" s="123">
        <v>15.54993</v>
      </c>
      <c r="G405" s="124" t="s">
        <v>16</v>
      </c>
      <c r="H405" s="121" t="s">
        <v>18</v>
      </c>
      <c r="I405" s="124">
        <v>1</v>
      </c>
      <c r="J405" s="124" t="s">
        <v>15</v>
      </c>
      <c r="K405" s="124" t="s">
        <v>103</v>
      </c>
      <c r="L405" s="121" t="s">
        <v>104</v>
      </c>
      <c r="M405" s="121" t="s">
        <v>17</v>
      </c>
    </row>
    <row r="406" spans="1:13" x14ac:dyDescent="0.2">
      <c r="A406" s="121" t="s">
        <v>101</v>
      </c>
      <c r="B406" s="121" t="s">
        <v>102</v>
      </c>
      <c r="C406" s="121" t="s">
        <v>19</v>
      </c>
      <c r="D406" s="121" t="s">
        <v>12</v>
      </c>
      <c r="E406" s="122">
        <v>43179</v>
      </c>
      <c r="F406" s="123">
        <v>2.88</v>
      </c>
      <c r="G406" s="124" t="s">
        <v>13</v>
      </c>
      <c r="H406" s="121" t="s">
        <v>14</v>
      </c>
      <c r="I406" s="124">
        <v>1</v>
      </c>
      <c r="J406" s="124" t="s">
        <v>15</v>
      </c>
      <c r="K406" s="124" t="s">
        <v>103</v>
      </c>
      <c r="L406" s="121" t="s">
        <v>104</v>
      </c>
      <c r="M406" s="121" t="s">
        <v>14</v>
      </c>
    </row>
    <row r="407" spans="1:13" x14ac:dyDescent="0.2">
      <c r="A407" s="121" t="s">
        <v>101</v>
      </c>
      <c r="B407" s="121" t="s">
        <v>102</v>
      </c>
      <c r="C407" s="121" t="s">
        <v>19</v>
      </c>
      <c r="D407" s="121" t="s">
        <v>12</v>
      </c>
      <c r="E407" s="122">
        <v>43179</v>
      </c>
      <c r="F407" s="123">
        <v>31.9935744</v>
      </c>
      <c r="G407" s="124" t="s">
        <v>16</v>
      </c>
      <c r="H407" s="121" t="s">
        <v>14</v>
      </c>
      <c r="I407" s="124">
        <v>1</v>
      </c>
      <c r="J407" s="124" t="s">
        <v>15</v>
      </c>
      <c r="K407" s="124" t="s">
        <v>103</v>
      </c>
      <c r="L407" s="121" t="s">
        <v>104</v>
      </c>
      <c r="M407" s="121" t="s">
        <v>14</v>
      </c>
    </row>
    <row r="408" spans="1:13" x14ac:dyDescent="0.2">
      <c r="A408" s="121" t="s">
        <v>101</v>
      </c>
      <c r="B408" s="121" t="s">
        <v>102</v>
      </c>
      <c r="C408" s="121" t="s">
        <v>19</v>
      </c>
      <c r="D408" s="121" t="s">
        <v>12</v>
      </c>
      <c r="E408" s="122">
        <v>43179</v>
      </c>
      <c r="F408" s="123">
        <v>1.1399999999999999</v>
      </c>
      <c r="G408" s="124" t="s">
        <v>13</v>
      </c>
      <c r="H408" s="121" t="s">
        <v>18</v>
      </c>
      <c r="I408" s="124">
        <v>1</v>
      </c>
      <c r="J408" s="124" t="s">
        <v>15</v>
      </c>
      <c r="K408" s="124" t="s">
        <v>103</v>
      </c>
      <c r="L408" s="121" t="s">
        <v>104</v>
      </c>
      <c r="M408" s="121" t="s">
        <v>17</v>
      </c>
    </row>
    <row r="409" spans="1:13" x14ac:dyDescent="0.2">
      <c r="A409" s="121" t="s">
        <v>101</v>
      </c>
      <c r="B409" s="121" t="s">
        <v>102</v>
      </c>
      <c r="C409" s="121" t="s">
        <v>19</v>
      </c>
      <c r="D409" s="121" t="s">
        <v>12</v>
      </c>
      <c r="E409" s="122">
        <v>43179</v>
      </c>
      <c r="F409" s="123">
        <v>15.972768</v>
      </c>
      <c r="G409" s="124" t="s">
        <v>16</v>
      </c>
      <c r="H409" s="121" t="s">
        <v>18</v>
      </c>
      <c r="I409" s="124">
        <v>1</v>
      </c>
      <c r="J409" s="124" t="s">
        <v>15</v>
      </c>
      <c r="K409" s="124" t="s">
        <v>103</v>
      </c>
      <c r="L409" s="121" t="s">
        <v>104</v>
      </c>
      <c r="M409" s="121" t="s">
        <v>17</v>
      </c>
    </row>
    <row r="410" spans="1:13" x14ac:dyDescent="0.2">
      <c r="A410" s="121" t="s">
        <v>101</v>
      </c>
      <c r="B410" s="121" t="s">
        <v>102</v>
      </c>
      <c r="C410" s="121" t="s">
        <v>19</v>
      </c>
      <c r="D410" s="121" t="s">
        <v>12</v>
      </c>
      <c r="E410" s="122">
        <v>43172</v>
      </c>
      <c r="F410" s="123">
        <v>3.45</v>
      </c>
      <c r="G410" s="124" t="s">
        <v>13</v>
      </c>
      <c r="H410" s="121" t="s">
        <v>14</v>
      </c>
      <c r="I410" s="124">
        <v>1</v>
      </c>
      <c r="J410" s="124" t="s">
        <v>15</v>
      </c>
      <c r="K410" s="124" t="s">
        <v>103</v>
      </c>
      <c r="L410" s="121" t="s">
        <v>104</v>
      </c>
      <c r="M410" s="121" t="s">
        <v>14</v>
      </c>
    </row>
    <row r="411" spans="1:13" x14ac:dyDescent="0.2">
      <c r="A411" s="121" t="s">
        <v>101</v>
      </c>
      <c r="B411" s="121" t="s">
        <v>102</v>
      </c>
      <c r="C411" s="121" t="s">
        <v>19</v>
      </c>
      <c r="D411" s="121" t="s">
        <v>12</v>
      </c>
      <c r="E411" s="122">
        <v>43172</v>
      </c>
      <c r="F411" s="123">
        <v>35.649746999999998</v>
      </c>
      <c r="G411" s="124" t="s">
        <v>16</v>
      </c>
      <c r="H411" s="121" t="s">
        <v>14</v>
      </c>
      <c r="I411" s="124">
        <v>1</v>
      </c>
      <c r="J411" s="124" t="s">
        <v>15</v>
      </c>
      <c r="K411" s="124" t="s">
        <v>103</v>
      </c>
      <c r="L411" s="121" t="s">
        <v>104</v>
      </c>
      <c r="M411" s="121" t="s">
        <v>14</v>
      </c>
    </row>
    <row r="412" spans="1:13" x14ac:dyDescent="0.2">
      <c r="A412" s="121" t="s">
        <v>101</v>
      </c>
      <c r="B412" s="121" t="s">
        <v>102</v>
      </c>
      <c r="C412" s="121" t="s">
        <v>19</v>
      </c>
      <c r="D412" s="121" t="s">
        <v>12</v>
      </c>
      <c r="E412" s="122">
        <v>43172</v>
      </c>
      <c r="F412" s="123">
        <v>1.04</v>
      </c>
      <c r="G412" s="124" t="s">
        <v>13</v>
      </c>
      <c r="H412" s="121" t="s">
        <v>18</v>
      </c>
      <c r="I412" s="124">
        <v>1</v>
      </c>
      <c r="J412" s="124" t="s">
        <v>15</v>
      </c>
      <c r="K412" s="124" t="s">
        <v>103</v>
      </c>
      <c r="L412" s="121" t="s">
        <v>104</v>
      </c>
      <c r="M412" s="121" t="s">
        <v>17</v>
      </c>
    </row>
    <row r="413" spans="1:13" x14ac:dyDescent="0.2">
      <c r="A413" s="121" t="s">
        <v>101</v>
      </c>
      <c r="B413" s="121" t="s">
        <v>102</v>
      </c>
      <c r="C413" s="121" t="s">
        <v>19</v>
      </c>
      <c r="D413" s="121" t="s">
        <v>12</v>
      </c>
      <c r="E413" s="122">
        <v>43172</v>
      </c>
      <c r="F413" s="123">
        <v>11.102207999999999</v>
      </c>
      <c r="G413" s="124" t="s">
        <v>16</v>
      </c>
      <c r="H413" s="121" t="s">
        <v>18</v>
      </c>
      <c r="I413" s="124">
        <v>1</v>
      </c>
      <c r="J413" s="124" t="s">
        <v>15</v>
      </c>
      <c r="K413" s="124" t="s">
        <v>103</v>
      </c>
      <c r="L413" s="121" t="s">
        <v>104</v>
      </c>
      <c r="M413" s="121" t="s">
        <v>17</v>
      </c>
    </row>
    <row r="414" spans="1:13" x14ac:dyDescent="0.2">
      <c r="A414" s="121" t="s">
        <v>101</v>
      </c>
      <c r="B414" s="121" t="s">
        <v>102</v>
      </c>
      <c r="C414" s="121" t="s">
        <v>19</v>
      </c>
      <c r="D414" s="121" t="s">
        <v>12</v>
      </c>
      <c r="E414" s="122">
        <v>43165</v>
      </c>
      <c r="F414" s="123">
        <v>3.43</v>
      </c>
      <c r="G414" s="124" t="s">
        <v>13</v>
      </c>
      <c r="H414" s="121" t="s">
        <v>14</v>
      </c>
      <c r="I414" s="124">
        <v>1</v>
      </c>
      <c r="J414" s="124" t="s">
        <v>15</v>
      </c>
      <c r="K414" s="124" t="s">
        <v>103</v>
      </c>
      <c r="L414" s="121" t="s">
        <v>104</v>
      </c>
      <c r="M414" s="121" t="s">
        <v>14</v>
      </c>
    </row>
    <row r="415" spans="1:13" x14ac:dyDescent="0.2">
      <c r="A415" s="121" t="s">
        <v>101</v>
      </c>
      <c r="B415" s="121" t="s">
        <v>102</v>
      </c>
      <c r="C415" s="121" t="s">
        <v>19</v>
      </c>
      <c r="D415" s="121" t="s">
        <v>12</v>
      </c>
      <c r="E415" s="122">
        <v>43165</v>
      </c>
      <c r="F415" s="123">
        <v>42.422994600000003</v>
      </c>
      <c r="G415" s="124" t="s">
        <v>16</v>
      </c>
      <c r="H415" s="121" t="s">
        <v>14</v>
      </c>
      <c r="I415" s="124">
        <v>1</v>
      </c>
      <c r="J415" s="124" t="s">
        <v>15</v>
      </c>
      <c r="K415" s="124" t="s">
        <v>103</v>
      </c>
      <c r="L415" s="121" t="s">
        <v>104</v>
      </c>
      <c r="M415" s="121" t="s">
        <v>14</v>
      </c>
    </row>
    <row r="416" spans="1:13" x14ac:dyDescent="0.2">
      <c r="A416" s="121" t="s">
        <v>101</v>
      </c>
      <c r="B416" s="121" t="s">
        <v>102</v>
      </c>
      <c r="C416" s="121" t="s">
        <v>19</v>
      </c>
      <c r="D416" s="121" t="s">
        <v>12</v>
      </c>
      <c r="E416" s="122">
        <v>43165</v>
      </c>
      <c r="F416" s="123">
        <v>0.93600000000000005</v>
      </c>
      <c r="G416" s="124" t="s">
        <v>13</v>
      </c>
      <c r="H416" s="121" t="s">
        <v>18</v>
      </c>
      <c r="I416" s="124">
        <v>1</v>
      </c>
      <c r="J416" s="124" t="s">
        <v>15</v>
      </c>
      <c r="K416" s="124" t="s">
        <v>103</v>
      </c>
      <c r="L416" s="121" t="s">
        <v>104</v>
      </c>
      <c r="M416" s="121" t="s">
        <v>17</v>
      </c>
    </row>
    <row r="417" spans="1:13" x14ac:dyDescent="0.2">
      <c r="A417" s="121" t="s">
        <v>101</v>
      </c>
      <c r="B417" s="121" t="s">
        <v>102</v>
      </c>
      <c r="C417" s="121" t="s">
        <v>19</v>
      </c>
      <c r="D417" s="121" t="s">
        <v>12</v>
      </c>
      <c r="E417" s="122">
        <v>43165</v>
      </c>
      <c r="F417" s="123">
        <v>12.724171200000001</v>
      </c>
      <c r="G417" s="124" t="s">
        <v>16</v>
      </c>
      <c r="H417" s="121" t="s">
        <v>18</v>
      </c>
      <c r="I417" s="124">
        <v>1</v>
      </c>
      <c r="J417" s="124" t="s">
        <v>15</v>
      </c>
      <c r="K417" s="124" t="s">
        <v>103</v>
      </c>
      <c r="L417" s="121" t="s">
        <v>104</v>
      </c>
      <c r="M417" s="121" t="s">
        <v>17</v>
      </c>
    </row>
    <row r="418" spans="1:13" x14ac:dyDescent="0.2">
      <c r="A418" s="121" t="s">
        <v>101</v>
      </c>
      <c r="B418" s="121" t="s">
        <v>102</v>
      </c>
      <c r="C418" s="121" t="s">
        <v>19</v>
      </c>
      <c r="D418" s="121" t="s">
        <v>12</v>
      </c>
      <c r="E418" s="122">
        <v>43158</v>
      </c>
      <c r="F418" s="123">
        <v>4.0599999999999996</v>
      </c>
      <c r="G418" s="124" t="s">
        <v>13</v>
      </c>
      <c r="H418" s="121" t="s">
        <v>14</v>
      </c>
      <c r="I418" s="124">
        <v>1</v>
      </c>
      <c r="J418" s="124" t="s">
        <v>15</v>
      </c>
      <c r="K418" s="124" t="s">
        <v>103</v>
      </c>
      <c r="L418" s="121" t="s">
        <v>104</v>
      </c>
      <c r="M418" s="121" t="s">
        <v>14</v>
      </c>
    </row>
    <row r="419" spans="1:13" x14ac:dyDescent="0.2">
      <c r="A419" s="121" t="s">
        <v>101</v>
      </c>
      <c r="B419" s="121" t="s">
        <v>102</v>
      </c>
      <c r="C419" s="121" t="s">
        <v>19</v>
      </c>
      <c r="D419" s="121" t="s">
        <v>12</v>
      </c>
      <c r="E419" s="122">
        <v>43158</v>
      </c>
      <c r="F419" s="123">
        <v>48.860557200000002</v>
      </c>
      <c r="G419" s="124" t="s">
        <v>16</v>
      </c>
      <c r="H419" s="121" t="s">
        <v>14</v>
      </c>
      <c r="I419" s="124">
        <v>1</v>
      </c>
      <c r="J419" s="124" t="s">
        <v>15</v>
      </c>
      <c r="K419" s="124" t="s">
        <v>103</v>
      </c>
      <c r="L419" s="121" t="s">
        <v>104</v>
      </c>
      <c r="M419" s="121" t="s">
        <v>14</v>
      </c>
    </row>
    <row r="420" spans="1:13" x14ac:dyDescent="0.2">
      <c r="A420" s="121" t="s">
        <v>101</v>
      </c>
      <c r="B420" s="121" t="s">
        <v>102</v>
      </c>
      <c r="C420" s="121" t="s">
        <v>19</v>
      </c>
      <c r="D420" s="121" t="s">
        <v>12</v>
      </c>
      <c r="E420" s="122">
        <v>43158</v>
      </c>
      <c r="F420" s="123">
        <v>0.71399999999999997</v>
      </c>
      <c r="G420" s="124" t="s">
        <v>13</v>
      </c>
      <c r="H420" s="121" t="s">
        <v>18</v>
      </c>
      <c r="I420" s="124">
        <v>1</v>
      </c>
      <c r="J420" s="124" t="s">
        <v>15</v>
      </c>
      <c r="K420" s="124" t="s">
        <v>103</v>
      </c>
      <c r="L420" s="121" t="s">
        <v>104</v>
      </c>
      <c r="M420" s="121" t="s">
        <v>17</v>
      </c>
    </row>
    <row r="421" spans="1:13" x14ac:dyDescent="0.2">
      <c r="A421" s="121" t="s">
        <v>101</v>
      </c>
      <c r="B421" s="121" t="s">
        <v>102</v>
      </c>
      <c r="C421" s="121" t="s">
        <v>19</v>
      </c>
      <c r="D421" s="121" t="s">
        <v>12</v>
      </c>
      <c r="E421" s="122">
        <v>43158</v>
      </c>
      <c r="F421" s="123">
        <v>8.0984736000000002</v>
      </c>
      <c r="G421" s="124" t="s">
        <v>16</v>
      </c>
      <c r="H421" s="121" t="s">
        <v>18</v>
      </c>
      <c r="I421" s="124">
        <v>1</v>
      </c>
      <c r="J421" s="124" t="s">
        <v>15</v>
      </c>
      <c r="K421" s="124" t="s">
        <v>103</v>
      </c>
      <c r="L421" s="121" t="s">
        <v>104</v>
      </c>
      <c r="M421" s="121" t="s">
        <v>17</v>
      </c>
    </row>
    <row r="422" spans="1:13" x14ac:dyDescent="0.2">
      <c r="A422" s="121" t="s">
        <v>101</v>
      </c>
      <c r="B422" s="121" t="s">
        <v>102</v>
      </c>
      <c r="C422" s="121" t="s">
        <v>19</v>
      </c>
      <c r="D422" s="121" t="s">
        <v>12</v>
      </c>
      <c r="E422" s="122">
        <v>43151</v>
      </c>
      <c r="F422" s="123">
        <v>3.84</v>
      </c>
      <c r="G422" s="124" t="s">
        <v>13</v>
      </c>
      <c r="H422" s="121" t="s">
        <v>14</v>
      </c>
      <c r="I422" s="124">
        <v>1</v>
      </c>
      <c r="J422" s="124" t="s">
        <v>15</v>
      </c>
      <c r="K422" s="124" t="s">
        <v>103</v>
      </c>
      <c r="L422" s="121" t="s">
        <v>104</v>
      </c>
      <c r="M422" s="121" t="s">
        <v>14</v>
      </c>
    </row>
    <row r="423" spans="1:13" x14ac:dyDescent="0.2">
      <c r="A423" s="121" t="s">
        <v>101</v>
      </c>
      <c r="B423" s="121" t="s">
        <v>102</v>
      </c>
      <c r="C423" s="121" t="s">
        <v>19</v>
      </c>
      <c r="D423" s="121" t="s">
        <v>12</v>
      </c>
      <c r="E423" s="122">
        <v>43151</v>
      </c>
      <c r="F423" s="123">
        <v>34.043212799999999</v>
      </c>
      <c r="G423" s="124" t="s">
        <v>16</v>
      </c>
      <c r="H423" s="121" t="s">
        <v>14</v>
      </c>
      <c r="I423" s="124">
        <v>1</v>
      </c>
      <c r="J423" s="124" t="s">
        <v>15</v>
      </c>
      <c r="K423" s="124" t="s">
        <v>103</v>
      </c>
      <c r="L423" s="121" t="s">
        <v>104</v>
      </c>
      <c r="M423" s="121" t="s">
        <v>14</v>
      </c>
    </row>
    <row r="424" spans="1:13" x14ac:dyDescent="0.2">
      <c r="A424" s="121" t="s">
        <v>101</v>
      </c>
      <c r="B424" s="121" t="s">
        <v>102</v>
      </c>
      <c r="C424" s="121" t="s">
        <v>19</v>
      </c>
      <c r="D424" s="121" t="s">
        <v>12</v>
      </c>
      <c r="E424" s="122">
        <v>43151</v>
      </c>
      <c r="F424" s="123">
        <v>0.48</v>
      </c>
      <c r="G424" s="124" t="s">
        <v>13</v>
      </c>
      <c r="H424" s="121" t="s">
        <v>18</v>
      </c>
      <c r="I424" s="124">
        <v>1</v>
      </c>
      <c r="J424" s="124" t="s">
        <v>15</v>
      </c>
      <c r="K424" s="124" t="s">
        <v>103</v>
      </c>
      <c r="L424" s="121" t="s">
        <v>104</v>
      </c>
      <c r="M424" s="121" t="s">
        <v>17</v>
      </c>
    </row>
    <row r="425" spans="1:13" x14ac:dyDescent="0.2">
      <c r="A425" s="121" t="s">
        <v>101</v>
      </c>
      <c r="B425" s="121" t="s">
        <v>102</v>
      </c>
      <c r="C425" s="121" t="s">
        <v>19</v>
      </c>
      <c r="D425" s="121" t="s">
        <v>12</v>
      </c>
      <c r="E425" s="122">
        <v>43151</v>
      </c>
      <c r="F425" s="123">
        <v>4.20336</v>
      </c>
      <c r="G425" s="124" t="s">
        <v>16</v>
      </c>
      <c r="H425" s="121" t="s">
        <v>18</v>
      </c>
      <c r="I425" s="124">
        <v>1</v>
      </c>
      <c r="J425" s="124" t="s">
        <v>15</v>
      </c>
      <c r="K425" s="124" t="s">
        <v>103</v>
      </c>
      <c r="L425" s="121" t="s">
        <v>104</v>
      </c>
      <c r="M425" s="121" t="s">
        <v>17</v>
      </c>
    </row>
    <row r="426" spans="1:13" x14ac:dyDescent="0.2">
      <c r="A426" s="121" t="s">
        <v>101</v>
      </c>
      <c r="B426" s="121" t="s">
        <v>102</v>
      </c>
      <c r="C426" s="121" t="s">
        <v>19</v>
      </c>
      <c r="D426" s="121" t="s">
        <v>12</v>
      </c>
      <c r="E426" s="122">
        <v>43144</v>
      </c>
      <c r="F426" s="123">
        <v>4.09</v>
      </c>
      <c r="G426" s="124" t="s">
        <v>13</v>
      </c>
      <c r="H426" s="121" t="s">
        <v>14</v>
      </c>
      <c r="I426" s="124">
        <v>1</v>
      </c>
      <c r="J426" s="124" t="s">
        <v>15</v>
      </c>
      <c r="K426" s="124" t="s">
        <v>103</v>
      </c>
      <c r="L426" s="121" t="s">
        <v>104</v>
      </c>
      <c r="M426" s="121" t="s">
        <v>14</v>
      </c>
    </row>
    <row r="427" spans="1:13" x14ac:dyDescent="0.2">
      <c r="A427" s="121" t="s">
        <v>101</v>
      </c>
      <c r="B427" s="121" t="s">
        <v>102</v>
      </c>
      <c r="C427" s="121" t="s">
        <v>19</v>
      </c>
      <c r="D427" s="121" t="s">
        <v>12</v>
      </c>
      <c r="E427" s="122">
        <v>43144</v>
      </c>
      <c r="F427" s="123">
        <v>37.760434199999999</v>
      </c>
      <c r="G427" s="124" t="s">
        <v>16</v>
      </c>
      <c r="H427" s="121" t="s">
        <v>14</v>
      </c>
      <c r="I427" s="124">
        <v>1</v>
      </c>
      <c r="J427" s="124" t="s">
        <v>15</v>
      </c>
      <c r="K427" s="124" t="s">
        <v>103</v>
      </c>
      <c r="L427" s="121" t="s">
        <v>104</v>
      </c>
      <c r="M427" s="121" t="s">
        <v>14</v>
      </c>
    </row>
    <row r="428" spans="1:13" x14ac:dyDescent="0.2">
      <c r="A428" s="121" t="s">
        <v>101</v>
      </c>
      <c r="B428" s="121" t="s">
        <v>102</v>
      </c>
      <c r="C428" s="121" t="s">
        <v>19</v>
      </c>
      <c r="D428" s="121" t="s">
        <v>12</v>
      </c>
      <c r="E428" s="122">
        <v>43144</v>
      </c>
      <c r="F428" s="123">
        <v>0.61699999999999999</v>
      </c>
      <c r="G428" s="124" t="s">
        <v>13</v>
      </c>
      <c r="H428" s="121" t="s">
        <v>18</v>
      </c>
      <c r="I428" s="124">
        <v>1</v>
      </c>
      <c r="J428" s="124" t="s">
        <v>15</v>
      </c>
      <c r="K428" s="124" t="s">
        <v>103</v>
      </c>
      <c r="L428" s="121" t="s">
        <v>104</v>
      </c>
      <c r="M428" s="121" t="s">
        <v>17</v>
      </c>
    </row>
    <row r="429" spans="1:13" x14ac:dyDescent="0.2">
      <c r="A429" s="121" t="s">
        <v>101</v>
      </c>
      <c r="B429" s="121" t="s">
        <v>102</v>
      </c>
      <c r="C429" s="121" t="s">
        <v>19</v>
      </c>
      <c r="D429" s="121" t="s">
        <v>12</v>
      </c>
      <c r="E429" s="122">
        <v>43144</v>
      </c>
      <c r="F429" s="123">
        <v>6.2778516</v>
      </c>
      <c r="G429" s="124" t="s">
        <v>16</v>
      </c>
      <c r="H429" s="121" t="s">
        <v>18</v>
      </c>
      <c r="I429" s="124">
        <v>1</v>
      </c>
      <c r="J429" s="124" t="s">
        <v>15</v>
      </c>
      <c r="K429" s="124" t="s">
        <v>103</v>
      </c>
      <c r="L429" s="121" t="s">
        <v>104</v>
      </c>
      <c r="M429" s="121" t="s">
        <v>17</v>
      </c>
    </row>
    <row r="430" spans="1:13" x14ac:dyDescent="0.2">
      <c r="A430" s="121" t="s">
        <v>101</v>
      </c>
      <c r="B430" s="121" t="s">
        <v>102</v>
      </c>
      <c r="C430" s="121" t="s">
        <v>19</v>
      </c>
      <c r="D430" s="121" t="s">
        <v>12</v>
      </c>
      <c r="E430" s="122">
        <v>43137</v>
      </c>
      <c r="F430" s="123">
        <v>3.93</v>
      </c>
      <c r="G430" s="124" t="s">
        <v>13</v>
      </c>
      <c r="H430" s="121" t="s">
        <v>14</v>
      </c>
      <c r="I430" s="124">
        <v>1</v>
      </c>
      <c r="J430" s="124" t="s">
        <v>15</v>
      </c>
      <c r="K430" s="124" t="s">
        <v>103</v>
      </c>
      <c r="L430" s="121" t="s">
        <v>104</v>
      </c>
      <c r="M430" s="121" t="s">
        <v>14</v>
      </c>
    </row>
    <row r="431" spans="1:13" x14ac:dyDescent="0.2">
      <c r="A431" s="121" t="s">
        <v>101</v>
      </c>
      <c r="B431" s="121" t="s">
        <v>102</v>
      </c>
      <c r="C431" s="121" t="s">
        <v>19</v>
      </c>
      <c r="D431" s="121" t="s">
        <v>12</v>
      </c>
      <c r="E431" s="122">
        <v>43137</v>
      </c>
      <c r="F431" s="123">
        <v>35.168862599999997</v>
      </c>
      <c r="G431" s="124" t="s">
        <v>16</v>
      </c>
      <c r="H431" s="121" t="s">
        <v>14</v>
      </c>
      <c r="I431" s="124">
        <v>1</v>
      </c>
      <c r="J431" s="124" t="s">
        <v>15</v>
      </c>
      <c r="K431" s="124" t="s">
        <v>103</v>
      </c>
      <c r="L431" s="121" t="s">
        <v>104</v>
      </c>
      <c r="M431" s="121" t="s">
        <v>14</v>
      </c>
    </row>
    <row r="432" spans="1:13" x14ac:dyDescent="0.2">
      <c r="A432" s="121" t="s">
        <v>101</v>
      </c>
      <c r="B432" s="121" t="s">
        <v>102</v>
      </c>
      <c r="C432" s="121" t="s">
        <v>19</v>
      </c>
      <c r="D432" s="121" t="s">
        <v>12</v>
      </c>
      <c r="E432" s="122">
        <v>43137</v>
      </c>
      <c r="F432" s="123">
        <v>0.14699999999999999</v>
      </c>
      <c r="G432" s="124" t="s">
        <v>13</v>
      </c>
      <c r="H432" s="121" t="s">
        <v>18</v>
      </c>
      <c r="I432" s="124">
        <v>1</v>
      </c>
      <c r="J432" s="124" t="s">
        <v>15</v>
      </c>
      <c r="K432" s="124" t="s">
        <v>103</v>
      </c>
      <c r="L432" s="121" t="s">
        <v>104</v>
      </c>
      <c r="M432" s="121" t="s">
        <v>17</v>
      </c>
    </row>
    <row r="433" spans="1:13" x14ac:dyDescent="0.2">
      <c r="A433" s="121" t="s">
        <v>101</v>
      </c>
      <c r="B433" s="121" t="s">
        <v>102</v>
      </c>
      <c r="C433" s="121" t="s">
        <v>19</v>
      </c>
      <c r="D433" s="121" t="s">
        <v>12</v>
      </c>
      <c r="E433" s="122">
        <v>43137</v>
      </c>
      <c r="F433" s="123">
        <v>1.5079553999999999</v>
      </c>
      <c r="G433" s="124" t="s">
        <v>16</v>
      </c>
      <c r="H433" s="121" t="s">
        <v>18</v>
      </c>
      <c r="I433" s="124">
        <v>1</v>
      </c>
      <c r="J433" s="124" t="s">
        <v>15</v>
      </c>
      <c r="K433" s="124" t="s">
        <v>103</v>
      </c>
      <c r="L433" s="121" t="s">
        <v>104</v>
      </c>
      <c r="M433" s="121" t="s">
        <v>17</v>
      </c>
    </row>
    <row r="434" spans="1:13" x14ac:dyDescent="0.2">
      <c r="A434" s="121" t="s">
        <v>101</v>
      </c>
      <c r="B434" s="121" t="s">
        <v>102</v>
      </c>
      <c r="C434" s="121" t="s">
        <v>19</v>
      </c>
      <c r="D434" s="121" t="s">
        <v>12</v>
      </c>
      <c r="E434" s="122">
        <v>43123</v>
      </c>
      <c r="F434" s="123">
        <v>4.9400000000000004</v>
      </c>
      <c r="G434" s="124" t="s">
        <v>13</v>
      </c>
      <c r="H434" s="121" t="s">
        <v>14</v>
      </c>
      <c r="I434" s="124">
        <v>1</v>
      </c>
      <c r="J434" s="124" t="s">
        <v>15</v>
      </c>
      <c r="K434" s="124" t="s">
        <v>103</v>
      </c>
      <c r="L434" s="121" t="s">
        <v>104</v>
      </c>
      <c r="M434" s="121" t="s">
        <v>14</v>
      </c>
    </row>
    <row r="435" spans="1:13" x14ac:dyDescent="0.2">
      <c r="A435" s="121" t="s">
        <v>101</v>
      </c>
      <c r="B435" s="121" t="s">
        <v>102</v>
      </c>
      <c r="C435" s="121" t="s">
        <v>19</v>
      </c>
      <c r="D435" s="121" t="s">
        <v>12</v>
      </c>
      <c r="E435" s="122">
        <v>43123</v>
      </c>
      <c r="F435" s="123">
        <v>64.559773199999995</v>
      </c>
      <c r="G435" s="124" t="s">
        <v>16</v>
      </c>
      <c r="H435" s="121" t="s">
        <v>14</v>
      </c>
      <c r="I435" s="124">
        <v>1</v>
      </c>
      <c r="J435" s="124" t="s">
        <v>15</v>
      </c>
      <c r="K435" s="124" t="s">
        <v>103</v>
      </c>
      <c r="L435" s="121" t="s">
        <v>104</v>
      </c>
      <c r="M435" s="121" t="s">
        <v>14</v>
      </c>
    </row>
    <row r="436" spans="1:13" x14ac:dyDescent="0.2">
      <c r="A436" s="121" t="s">
        <v>101</v>
      </c>
      <c r="B436" s="121" t="s">
        <v>102</v>
      </c>
      <c r="C436" s="121" t="s">
        <v>19</v>
      </c>
      <c r="D436" s="121" t="s">
        <v>12</v>
      </c>
      <c r="E436" s="122">
        <v>43123</v>
      </c>
      <c r="F436" s="123">
        <v>0.54800000000000004</v>
      </c>
      <c r="G436" s="124" t="s">
        <v>13</v>
      </c>
      <c r="H436" s="121" t="s">
        <v>18</v>
      </c>
      <c r="I436" s="124">
        <v>1</v>
      </c>
      <c r="J436" s="124" t="s">
        <v>15</v>
      </c>
      <c r="K436" s="124" t="s">
        <v>103</v>
      </c>
      <c r="L436" s="121" t="s">
        <v>104</v>
      </c>
      <c r="M436" s="121" t="s">
        <v>17</v>
      </c>
    </row>
    <row r="437" spans="1:13" x14ac:dyDescent="0.2">
      <c r="A437" s="121" t="s">
        <v>101</v>
      </c>
      <c r="B437" s="121" t="s">
        <v>102</v>
      </c>
      <c r="C437" s="121" t="s">
        <v>19</v>
      </c>
      <c r="D437" s="121" t="s">
        <v>12</v>
      </c>
      <c r="E437" s="122">
        <v>43123</v>
      </c>
      <c r="F437" s="123">
        <v>8.2265759999999997</v>
      </c>
      <c r="G437" s="124" t="s">
        <v>16</v>
      </c>
      <c r="H437" s="121" t="s">
        <v>18</v>
      </c>
      <c r="I437" s="124">
        <v>1</v>
      </c>
      <c r="J437" s="124" t="s">
        <v>15</v>
      </c>
      <c r="K437" s="124" t="s">
        <v>103</v>
      </c>
      <c r="L437" s="121" t="s">
        <v>104</v>
      </c>
      <c r="M437" s="121" t="s">
        <v>17</v>
      </c>
    </row>
    <row r="438" spans="1:13" x14ac:dyDescent="0.2">
      <c r="A438" s="121" t="s">
        <v>101</v>
      </c>
      <c r="B438" s="121" t="s">
        <v>102</v>
      </c>
      <c r="C438" s="121" t="s">
        <v>19</v>
      </c>
      <c r="D438" s="121" t="s">
        <v>12</v>
      </c>
      <c r="E438" s="122">
        <v>43117</v>
      </c>
      <c r="F438" s="123">
        <v>3.91</v>
      </c>
      <c r="G438" s="124" t="s">
        <v>13</v>
      </c>
      <c r="H438" s="121" t="s">
        <v>14</v>
      </c>
      <c r="I438" s="124">
        <v>1</v>
      </c>
      <c r="J438" s="124" t="s">
        <v>15</v>
      </c>
      <c r="K438" s="124" t="s">
        <v>103</v>
      </c>
      <c r="L438" s="121" t="s">
        <v>104</v>
      </c>
      <c r="M438" s="121" t="s">
        <v>14</v>
      </c>
    </row>
    <row r="439" spans="1:13" x14ac:dyDescent="0.2">
      <c r="A439" s="121" t="s">
        <v>101</v>
      </c>
      <c r="B439" s="121" t="s">
        <v>102</v>
      </c>
      <c r="C439" s="121" t="s">
        <v>19</v>
      </c>
      <c r="D439" s="121" t="s">
        <v>12</v>
      </c>
      <c r="E439" s="122">
        <v>43117</v>
      </c>
      <c r="F439" s="123">
        <v>37.1094972</v>
      </c>
      <c r="G439" s="124" t="s">
        <v>16</v>
      </c>
      <c r="H439" s="121" t="s">
        <v>14</v>
      </c>
      <c r="I439" s="124">
        <v>1</v>
      </c>
      <c r="J439" s="124" t="s">
        <v>15</v>
      </c>
      <c r="K439" s="124" t="s">
        <v>103</v>
      </c>
      <c r="L439" s="121" t="s">
        <v>104</v>
      </c>
      <c r="M439" s="121" t="s">
        <v>14</v>
      </c>
    </row>
    <row r="440" spans="1:13" x14ac:dyDescent="0.2">
      <c r="A440" s="121" t="s">
        <v>101</v>
      </c>
      <c r="B440" s="121" t="s">
        <v>102</v>
      </c>
      <c r="C440" s="121" t="s">
        <v>19</v>
      </c>
      <c r="D440" s="121" t="s">
        <v>12</v>
      </c>
      <c r="E440" s="122">
        <v>43117</v>
      </c>
      <c r="F440" s="123">
        <v>0.85699999999999998</v>
      </c>
      <c r="G440" s="124" t="s">
        <v>13</v>
      </c>
      <c r="H440" s="121" t="s">
        <v>18</v>
      </c>
      <c r="I440" s="124">
        <v>1</v>
      </c>
      <c r="J440" s="124" t="s">
        <v>15</v>
      </c>
      <c r="K440" s="124" t="s">
        <v>103</v>
      </c>
      <c r="L440" s="121" t="s">
        <v>104</v>
      </c>
      <c r="M440" s="121" t="s">
        <v>17</v>
      </c>
    </row>
    <row r="441" spans="1:13" x14ac:dyDescent="0.2">
      <c r="A441" s="121" t="s">
        <v>101</v>
      </c>
      <c r="B441" s="121" t="s">
        <v>102</v>
      </c>
      <c r="C441" s="121" t="s">
        <v>19</v>
      </c>
      <c r="D441" s="121" t="s">
        <v>12</v>
      </c>
      <c r="E441" s="122">
        <v>43117</v>
      </c>
      <c r="F441" s="123">
        <v>12.7223364</v>
      </c>
      <c r="G441" s="124" t="s">
        <v>16</v>
      </c>
      <c r="H441" s="121" t="s">
        <v>18</v>
      </c>
      <c r="I441" s="124">
        <v>1</v>
      </c>
      <c r="J441" s="124" t="s">
        <v>15</v>
      </c>
      <c r="K441" s="124" t="s">
        <v>103</v>
      </c>
      <c r="L441" s="121" t="s">
        <v>104</v>
      </c>
      <c r="M441" s="121" t="s">
        <v>17</v>
      </c>
    </row>
    <row r="442" spans="1:13" x14ac:dyDescent="0.2">
      <c r="A442" s="121" t="s">
        <v>101</v>
      </c>
      <c r="B442" s="121" t="s">
        <v>102</v>
      </c>
      <c r="C442" s="121" t="s">
        <v>19</v>
      </c>
      <c r="D442" s="121" t="s">
        <v>12</v>
      </c>
      <c r="E442" s="122">
        <v>43109</v>
      </c>
      <c r="F442" s="123">
        <v>5.3</v>
      </c>
      <c r="G442" s="124" t="s">
        <v>13</v>
      </c>
      <c r="H442" s="121" t="s">
        <v>14</v>
      </c>
      <c r="I442" s="124">
        <v>1</v>
      </c>
      <c r="J442" s="124" t="s">
        <v>15</v>
      </c>
      <c r="K442" s="124" t="s">
        <v>103</v>
      </c>
      <c r="L442" s="121" t="s">
        <v>104</v>
      </c>
      <c r="M442" s="121" t="s">
        <v>14</v>
      </c>
    </row>
    <row r="443" spans="1:13" x14ac:dyDescent="0.2">
      <c r="A443" s="121" t="s">
        <v>101</v>
      </c>
      <c r="B443" s="121" t="s">
        <v>102</v>
      </c>
      <c r="C443" s="121" t="s">
        <v>19</v>
      </c>
      <c r="D443" s="121" t="s">
        <v>12</v>
      </c>
      <c r="E443" s="122">
        <v>43109</v>
      </c>
      <c r="F443" s="123">
        <v>47.163533999999999</v>
      </c>
      <c r="G443" s="124" t="s">
        <v>16</v>
      </c>
      <c r="H443" s="121" t="s">
        <v>14</v>
      </c>
      <c r="I443" s="124">
        <v>1</v>
      </c>
      <c r="J443" s="124" t="s">
        <v>15</v>
      </c>
      <c r="K443" s="124" t="s">
        <v>103</v>
      </c>
      <c r="L443" s="121" t="s">
        <v>104</v>
      </c>
      <c r="M443" s="121" t="s">
        <v>14</v>
      </c>
    </row>
    <row r="444" spans="1:13" x14ac:dyDescent="0.2">
      <c r="A444" s="121" t="s">
        <v>101</v>
      </c>
      <c r="B444" s="121" t="s">
        <v>102</v>
      </c>
      <c r="C444" s="121" t="s">
        <v>19</v>
      </c>
      <c r="D444" s="121" t="s">
        <v>12</v>
      </c>
      <c r="E444" s="122">
        <v>43109</v>
      </c>
      <c r="F444" s="123">
        <v>0.94299999999999995</v>
      </c>
      <c r="G444" s="124" t="s">
        <v>13</v>
      </c>
      <c r="H444" s="121" t="s">
        <v>18</v>
      </c>
      <c r="I444" s="124">
        <v>1</v>
      </c>
      <c r="J444" s="124" t="s">
        <v>15</v>
      </c>
      <c r="K444" s="124" t="s">
        <v>103</v>
      </c>
      <c r="L444" s="121" t="s">
        <v>104</v>
      </c>
      <c r="M444" s="121" t="s">
        <v>17</v>
      </c>
    </row>
    <row r="445" spans="1:13" x14ac:dyDescent="0.2">
      <c r="A445" s="121" t="s">
        <v>101</v>
      </c>
      <c r="B445" s="121" t="s">
        <v>102</v>
      </c>
      <c r="C445" s="121" t="s">
        <v>19</v>
      </c>
      <c r="D445" s="121" t="s">
        <v>12</v>
      </c>
      <c r="E445" s="122">
        <v>43109</v>
      </c>
      <c r="F445" s="123">
        <v>8.9656667999999993</v>
      </c>
      <c r="G445" s="124" t="s">
        <v>16</v>
      </c>
      <c r="H445" s="121" t="s">
        <v>18</v>
      </c>
      <c r="I445" s="124">
        <v>1</v>
      </c>
      <c r="J445" s="124" t="s">
        <v>15</v>
      </c>
      <c r="K445" s="124" t="s">
        <v>103</v>
      </c>
      <c r="L445" s="121" t="s">
        <v>104</v>
      </c>
      <c r="M445" s="121" t="s">
        <v>17</v>
      </c>
    </row>
    <row r="446" spans="1:13" x14ac:dyDescent="0.2">
      <c r="A446" s="121" t="s">
        <v>101</v>
      </c>
      <c r="B446" s="121" t="s">
        <v>102</v>
      </c>
      <c r="C446" s="121" t="s">
        <v>19</v>
      </c>
      <c r="D446" s="121" t="s">
        <v>12</v>
      </c>
      <c r="E446" s="122">
        <v>43103</v>
      </c>
      <c r="F446" s="123">
        <v>4.1100000000000003</v>
      </c>
      <c r="G446" s="124" t="s">
        <v>13</v>
      </c>
      <c r="H446" s="121" t="s">
        <v>14</v>
      </c>
      <c r="I446" s="124">
        <v>1</v>
      </c>
      <c r="J446" s="124" t="s">
        <v>15</v>
      </c>
      <c r="K446" s="124" t="s">
        <v>103</v>
      </c>
      <c r="L446" s="121" t="s">
        <v>104</v>
      </c>
      <c r="M446" s="121" t="s">
        <v>14</v>
      </c>
    </row>
    <row r="447" spans="1:13" x14ac:dyDescent="0.2">
      <c r="A447" s="121" t="s">
        <v>101</v>
      </c>
      <c r="B447" s="121" t="s">
        <v>102</v>
      </c>
      <c r="C447" s="121" t="s">
        <v>19</v>
      </c>
      <c r="D447" s="121" t="s">
        <v>12</v>
      </c>
      <c r="E447" s="122">
        <v>43103</v>
      </c>
      <c r="F447" s="123">
        <v>38.013636599999998</v>
      </c>
      <c r="G447" s="124" t="s">
        <v>16</v>
      </c>
      <c r="H447" s="121" t="s">
        <v>14</v>
      </c>
      <c r="I447" s="124">
        <v>1</v>
      </c>
      <c r="J447" s="124" t="s">
        <v>15</v>
      </c>
      <c r="K447" s="124" t="s">
        <v>103</v>
      </c>
      <c r="L447" s="121" t="s">
        <v>104</v>
      </c>
      <c r="M447" s="121" t="s">
        <v>14</v>
      </c>
    </row>
    <row r="448" spans="1:13" x14ac:dyDescent="0.2">
      <c r="A448" s="121" t="s">
        <v>101</v>
      </c>
      <c r="B448" s="121" t="s">
        <v>102</v>
      </c>
      <c r="C448" s="121" t="s">
        <v>19</v>
      </c>
      <c r="D448" s="121" t="s">
        <v>12</v>
      </c>
      <c r="E448" s="122">
        <v>43103</v>
      </c>
      <c r="F448" s="123">
        <v>1.25</v>
      </c>
      <c r="G448" s="124" t="s">
        <v>13</v>
      </c>
      <c r="H448" s="121" t="s">
        <v>18</v>
      </c>
      <c r="I448" s="124">
        <v>1</v>
      </c>
      <c r="J448" s="124" t="s">
        <v>15</v>
      </c>
      <c r="K448" s="124" t="s">
        <v>103</v>
      </c>
      <c r="L448" s="121" t="s">
        <v>104</v>
      </c>
      <c r="M448" s="121" t="s">
        <v>17</v>
      </c>
    </row>
    <row r="449" spans="1:13" x14ac:dyDescent="0.2">
      <c r="A449" s="121" t="s">
        <v>101</v>
      </c>
      <c r="B449" s="121" t="s">
        <v>102</v>
      </c>
      <c r="C449" s="121" t="s">
        <v>19</v>
      </c>
      <c r="D449" s="121" t="s">
        <v>12</v>
      </c>
      <c r="E449" s="122">
        <v>43103</v>
      </c>
      <c r="F449" s="123">
        <v>13.239750000000001</v>
      </c>
      <c r="G449" s="124" t="s">
        <v>16</v>
      </c>
      <c r="H449" s="121" t="s">
        <v>18</v>
      </c>
      <c r="I449" s="124">
        <v>1</v>
      </c>
      <c r="J449" s="124" t="s">
        <v>15</v>
      </c>
      <c r="K449" s="124" t="s">
        <v>103</v>
      </c>
      <c r="L449" s="121" t="s">
        <v>104</v>
      </c>
      <c r="M449" s="121" t="s">
        <v>17</v>
      </c>
    </row>
    <row r="450" spans="1:13" x14ac:dyDescent="0.2">
      <c r="A450" s="121" t="s">
        <v>101</v>
      </c>
      <c r="B450" s="121" t="s">
        <v>102</v>
      </c>
      <c r="C450" s="121" t="s">
        <v>19</v>
      </c>
      <c r="D450" s="121" t="s">
        <v>12</v>
      </c>
      <c r="E450" s="122">
        <v>43096</v>
      </c>
      <c r="F450" s="123">
        <v>5.7</v>
      </c>
      <c r="G450" s="124" t="s">
        <v>13</v>
      </c>
      <c r="H450" s="121" t="s">
        <v>14</v>
      </c>
      <c r="I450" s="124">
        <v>1</v>
      </c>
      <c r="J450" s="124" t="s">
        <v>15</v>
      </c>
      <c r="K450" s="124" t="s">
        <v>103</v>
      </c>
      <c r="L450" s="121" t="s">
        <v>105</v>
      </c>
      <c r="M450" s="121" t="s">
        <v>14</v>
      </c>
    </row>
    <row r="451" spans="1:13" x14ac:dyDescent="0.2">
      <c r="A451" s="121" t="s">
        <v>101</v>
      </c>
      <c r="B451" s="121" t="s">
        <v>102</v>
      </c>
      <c r="C451" s="121" t="s">
        <v>19</v>
      </c>
      <c r="D451" s="121" t="s">
        <v>12</v>
      </c>
      <c r="E451" s="122">
        <v>43096</v>
      </c>
      <c r="F451" s="123">
        <v>52.244261999999999</v>
      </c>
      <c r="G451" s="124" t="s">
        <v>16</v>
      </c>
      <c r="H451" s="121" t="s">
        <v>14</v>
      </c>
      <c r="I451" s="124">
        <v>1</v>
      </c>
      <c r="J451" s="124" t="s">
        <v>15</v>
      </c>
      <c r="K451" s="124" t="s">
        <v>103</v>
      </c>
      <c r="L451" s="121" t="s">
        <v>105</v>
      </c>
      <c r="M451" s="121" t="s">
        <v>14</v>
      </c>
    </row>
    <row r="452" spans="1:13" x14ac:dyDescent="0.2">
      <c r="A452" s="121" t="s">
        <v>101</v>
      </c>
      <c r="B452" s="121" t="s">
        <v>102</v>
      </c>
      <c r="C452" s="121" t="s">
        <v>19</v>
      </c>
      <c r="D452" s="121" t="s">
        <v>12</v>
      </c>
      <c r="E452" s="122">
        <v>43096</v>
      </c>
      <c r="F452" s="123">
        <v>0.78700000000000003</v>
      </c>
      <c r="G452" s="124" t="s">
        <v>13</v>
      </c>
      <c r="H452" s="121" t="s">
        <v>18</v>
      </c>
      <c r="I452" s="124">
        <v>1</v>
      </c>
      <c r="J452" s="124" t="s">
        <v>15</v>
      </c>
      <c r="K452" s="124" t="s">
        <v>103</v>
      </c>
      <c r="L452" s="121" t="s">
        <v>105</v>
      </c>
      <c r="M452" s="121" t="s">
        <v>17</v>
      </c>
    </row>
    <row r="453" spans="1:13" x14ac:dyDescent="0.2">
      <c r="A453" s="121" t="s">
        <v>101</v>
      </c>
      <c r="B453" s="121" t="s">
        <v>102</v>
      </c>
      <c r="C453" s="121" t="s">
        <v>19</v>
      </c>
      <c r="D453" s="121" t="s">
        <v>12</v>
      </c>
      <c r="E453" s="122">
        <v>43096</v>
      </c>
      <c r="F453" s="123">
        <v>10.1079132</v>
      </c>
      <c r="G453" s="124" t="s">
        <v>16</v>
      </c>
      <c r="H453" s="121" t="s">
        <v>18</v>
      </c>
      <c r="I453" s="124">
        <v>1</v>
      </c>
      <c r="J453" s="124" t="s">
        <v>15</v>
      </c>
      <c r="K453" s="124" t="s">
        <v>103</v>
      </c>
      <c r="L453" s="121" t="s">
        <v>105</v>
      </c>
      <c r="M453" s="121" t="s">
        <v>17</v>
      </c>
    </row>
    <row r="454" spans="1:13" x14ac:dyDescent="0.2">
      <c r="A454" s="121" t="s">
        <v>101</v>
      </c>
      <c r="B454" s="121" t="s">
        <v>102</v>
      </c>
      <c r="C454" s="121" t="s">
        <v>19</v>
      </c>
      <c r="D454" s="121" t="s">
        <v>12</v>
      </c>
      <c r="E454" s="122">
        <v>43087</v>
      </c>
      <c r="F454" s="123">
        <v>4.51</v>
      </c>
      <c r="G454" s="124" t="s">
        <v>13</v>
      </c>
      <c r="H454" s="121" t="s">
        <v>14</v>
      </c>
      <c r="I454" s="124">
        <v>1</v>
      </c>
      <c r="J454" s="124" t="s">
        <v>15</v>
      </c>
      <c r="K454" s="124" t="s">
        <v>103</v>
      </c>
      <c r="L454" s="121" t="s">
        <v>105</v>
      </c>
      <c r="M454" s="121" t="s">
        <v>14</v>
      </c>
    </row>
    <row r="455" spans="1:13" x14ac:dyDescent="0.2">
      <c r="A455" s="121" t="s">
        <v>101</v>
      </c>
      <c r="B455" s="121" t="s">
        <v>102</v>
      </c>
      <c r="C455" s="121" t="s">
        <v>19</v>
      </c>
      <c r="D455" s="121" t="s">
        <v>12</v>
      </c>
      <c r="E455" s="122">
        <v>43087</v>
      </c>
      <c r="F455" s="123">
        <v>42.879275999999997</v>
      </c>
      <c r="G455" s="124" t="s">
        <v>16</v>
      </c>
      <c r="H455" s="121" t="s">
        <v>14</v>
      </c>
      <c r="I455" s="124">
        <v>1</v>
      </c>
      <c r="J455" s="124" t="s">
        <v>15</v>
      </c>
      <c r="K455" s="124" t="s">
        <v>103</v>
      </c>
      <c r="L455" s="121" t="s">
        <v>105</v>
      </c>
      <c r="M455" s="121" t="s">
        <v>14</v>
      </c>
    </row>
    <row r="456" spans="1:13" x14ac:dyDescent="0.2">
      <c r="A456" s="121" t="s">
        <v>101</v>
      </c>
      <c r="B456" s="121" t="s">
        <v>102</v>
      </c>
      <c r="C456" s="121" t="s">
        <v>19</v>
      </c>
      <c r="D456" s="121" t="s">
        <v>12</v>
      </c>
      <c r="E456" s="122">
        <v>43087</v>
      </c>
      <c r="F456" s="123">
        <v>1.28</v>
      </c>
      <c r="G456" s="124" t="s">
        <v>13</v>
      </c>
      <c r="H456" s="121" t="s">
        <v>18</v>
      </c>
      <c r="I456" s="124">
        <v>1</v>
      </c>
      <c r="J456" s="124" t="s">
        <v>15</v>
      </c>
      <c r="K456" s="124" t="s">
        <v>103</v>
      </c>
      <c r="L456" s="121" t="s">
        <v>105</v>
      </c>
      <c r="M456" s="121" t="s">
        <v>17</v>
      </c>
    </row>
    <row r="457" spans="1:13" x14ac:dyDescent="0.2">
      <c r="A457" s="121" t="s">
        <v>101</v>
      </c>
      <c r="B457" s="121" t="s">
        <v>102</v>
      </c>
      <c r="C457" s="121" t="s">
        <v>19</v>
      </c>
      <c r="D457" s="121" t="s">
        <v>12</v>
      </c>
      <c r="E457" s="122">
        <v>43087</v>
      </c>
      <c r="F457" s="123">
        <v>13.450752</v>
      </c>
      <c r="G457" s="124" t="s">
        <v>16</v>
      </c>
      <c r="H457" s="121" t="s">
        <v>18</v>
      </c>
      <c r="I457" s="124">
        <v>1</v>
      </c>
      <c r="J457" s="124" t="s">
        <v>15</v>
      </c>
      <c r="K457" s="124" t="s">
        <v>103</v>
      </c>
      <c r="L457" s="121" t="s">
        <v>105</v>
      </c>
      <c r="M457" s="121" t="s">
        <v>17</v>
      </c>
    </row>
    <row r="458" spans="1:13" x14ac:dyDescent="0.2">
      <c r="A458" s="121" t="s">
        <v>101</v>
      </c>
      <c r="B458" s="121" t="s">
        <v>102</v>
      </c>
      <c r="C458" s="121" t="s">
        <v>19</v>
      </c>
      <c r="D458" s="121" t="s">
        <v>12</v>
      </c>
      <c r="E458" s="122">
        <v>43081</v>
      </c>
      <c r="F458" s="123">
        <v>3.23</v>
      </c>
      <c r="G458" s="124" t="s">
        <v>13</v>
      </c>
      <c r="H458" s="121" t="s">
        <v>14</v>
      </c>
      <c r="I458" s="124">
        <v>1</v>
      </c>
      <c r="J458" s="124" t="s">
        <v>15</v>
      </c>
      <c r="K458" s="124" t="s">
        <v>103</v>
      </c>
      <c r="L458" s="121" t="s">
        <v>105</v>
      </c>
      <c r="M458" s="121" t="s">
        <v>14</v>
      </c>
    </row>
    <row r="459" spans="1:13" x14ac:dyDescent="0.2">
      <c r="A459" s="121" t="s">
        <v>101</v>
      </c>
      <c r="B459" s="121" t="s">
        <v>102</v>
      </c>
      <c r="C459" s="121" t="s">
        <v>19</v>
      </c>
      <c r="D459" s="121" t="s">
        <v>12</v>
      </c>
      <c r="E459" s="122">
        <v>43081</v>
      </c>
      <c r="F459" s="123">
        <v>30.386289600000001</v>
      </c>
      <c r="G459" s="124" t="s">
        <v>16</v>
      </c>
      <c r="H459" s="121" t="s">
        <v>14</v>
      </c>
      <c r="I459" s="124">
        <v>1</v>
      </c>
      <c r="J459" s="124" t="s">
        <v>15</v>
      </c>
      <c r="K459" s="124" t="s">
        <v>103</v>
      </c>
      <c r="L459" s="121" t="s">
        <v>105</v>
      </c>
      <c r="M459" s="121" t="s">
        <v>14</v>
      </c>
    </row>
    <row r="460" spans="1:13" x14ac:dyDescent="0.2">
      <c r="A460" s="121" t="s">
        <v>101</v>
      </c>
      <c r="B460" s="121" t="s">
        <v>102</v>
      </c>
      <c r="C460" s="121" t="s">
        <v>19</v>
      </c>
      <c r="D460" s="121" t="s">
        <v>12</v>
      </c>
      <c r="E460" s="122">
        <v>43081</v>
      </c>
      <c r="F460" s="123">
        <v>0.92200000000000004</v>
      </c>
      <c r="G460" s="124" t="s">
        <v>13</v>
      </c>
      <c r="H460" s="121" t="s">
        <v>18</v>
      </c>
      <c r="I460" s="124">
        <v>1</v>
      </c>
      <c r="J460" s="124" t="s">
        <v>15</v>
      </c>
      <c r="K460" s="124" t="s">
        <v>103</v>
      </c>
      <c r="L460" s="121" t="s">
        <v>105</v>
      </c>
      <c r="M460" s="121" t="s">
        <v>17</v>
      </c>
    </row>
    <row r="461" spans="1:13" x14ac:dyDescent="0.2">
      <c r="A461" s="121" t="s">
        <v>101</v>
      </c>
      <c r="B461" s="121" t="s">
        <v>102</v>
      </c>
      <c r="C461" s="121" t="s">
        <v>19</v>
      </c>
      <c r="D461" s="121" t="s">
        <v>12</v>
      </c>
      <c r="E461" s="122">
        <v>43081</v>
      </c>
      <c r="F461" s="123">
        <v>11.534219999999999</v>
      </c>
      <c r="G461" s="124" t="s">
        <v>16</v>
      </c>
      <c r="H461" s="121" t="s">
        <v>18</v>
      </c>
      <c r="I461" s="124">
        <v>1</v>
      </c>
      <c r="J461" s="124" t="s">
        <v>15</v>
      </c>
      <c r="K461" s="124" t="s">
        <v>103</v>
      </c>
      <c r="L461" s="121" t="s">
        <v>105</v>
      </c>
      <c r="M461" s="121" t="s">
        <v>17</v>
      </c>
    </row>
    <row r="462" spans="1:13" x14ac:dyDescent="0.2">
      <c r="A462" s="121" t="s">
        <v>101</v>
      </c>
      <c r="B462" s="121" t="s">
        <v>102</v>
      </c>
      <c r="C462" s="121" t="s">
        <v>19</v>
      </c>
      <c r="D462" s="121" t="s">
        <v>12</v>
      </c>
      <c r="E462" s="122">
        <v>43074</v>
      </c>
      <c r="F462" s="123">
        <v>3.7</v>
      </c>
      <c r="G462" s="124" t="s">
        <v>13</v>
      </c>
      <c r="H462" s="121" t="s">
        <v>14</v>
      </c>
      <c r="I462" s="124">
        <v>1</v>
      </c>
      <c r="J462" s="124" t="s">
        <v>15</v>
      </c>
      <c r="K462" s="124" t="s">
        <v>103</v>
      </c>
      <c r="L462" s="121" t="s">
        <v>105</v>
      </c>
      <c r="M462" s="121" t="s">
        <v>14</v>
      </c>
    </row>
    <row r="463" spans="1:13" x14ac:dyDescent="0.2">
      <c r="A463" s="121" t="s">
        <v>101</v>
      </c>
      <c r="B463" s="121" t="s">
        <v>102</v>
      </c>
      <c r="C463" s="121" t="s">
        <v>19</v>
      </c>
      <c r="D463" s="121" t="s">
        <v>12</v>
      </c>
      <c r="E463" s="122">
        <v>43074</v>
      </c>
      <c r="F463" s="123">
        <v>35.147261999999998</v>
      </c>
      <c r="G463" s="124" t="s">
        <v>16</v>
      </c>
      <c r="H463" s="121" t="s">
        <v>14</v>
      </c>
      <c r="I463" s="124">
        <v>1</v>
      </c>
      <c r="J463" s="124" t="s">
        <v>15</v>
      </c>
      <c r="K463" s="124" t="s">
        <v>103</v>
      </c>
      <c r="L463" s="121" t="s">
        <v>105</v>
      </c>
      <c r="M463" s="121" t="s">
        <v>14</v>
      </c>
    </row>
    <row r="464" spans="1:13" x14ac:dyDescent="0.2">
      <c r="A464" s="121" t="s">
        <v>101</v>
      </c>
      <c r="B464" s="121" t="s">
        <v>102</v>
      </c>
      <c r="C464" s="121" t="s">
        <v>19</v>
      </c>
      <c r="D464" s="121" t="s">
        <v>12</v>
      </c>
      <c r="E464" s="122">
        <v>43074</v>
      </c>
      <c r="F464" s="123">
        <v>0.95399999999999996</v>
      </c>
      <c r="G464" s="124" t="s">
        <v>13</v>
      </c>
      <c r="H464" s="121" t="s">
        <v>18</v>
      </c>
      <c r="I464" s="124">
        <v>1</v>
      </c>
      <c r="J464" s="124" t="s">
        <v>15</v>
      </c>
      <c r="K464" s="124" t="s">
        <v>103</v>
      </c>
      <c r="L464" s="121" t="s">
        <v>105</v>
      </c>
      <c r="M464" s="121" t="s">
        <v>17</v>
      </c>
    </row>
    <row r="465" spans="1:13" x14ac:dyDescent="0.2">
      <c r="A465" s="121" t="s">
        <v>101</v>
      </c>
      <c r="B465" s="121" t="s">
        <v>102</v>
      </c>
      <c r="C465" s="121" t="s">
        <v>19</v>
      </c>
      <c r="D465" s="121" t="s">
        <v>12</v>
      </c>
      <c r="E465" s="122">
        <v>43074</v>
      </c>
      <c r="F465" s="123">
        <v>10.025013599999999</v>
      </c>
      <c r="G465" s="124" t="s">
        <v>16</v>
      </c>
      <c r="H465" s="121" t="s">
        <v>18</v>
      </c>
      <c r="I465" s="124">
        <v>1</v>
      </c>
      <c r="J465" s="124" t="s">
        <v>15</v>
      </c>
      <c r="K465" s="124" t="s">
        <v>103</v>
      </c>
      <c r="L465" s="121" t="s">
        <v>105</v>
      </c>
      <c r="M465" s="121" t="s">
        <v>17</v>
      </c>
    </row>
    <row r="466" spans="1:13" x14ac:dyDescent="0.2">
      <c r="A466" s="121" t="s">
        <v>101</v>
      </c>
      <c r="B466" s="121" t="s">
        <v>102</v>
      </c>
      <c r="C466" s="121" t="s">
        <v>19</v>
      </c>
      <c r="D466" s="121" t="s">
        <v>12</v>
      </c>
      <c r="E466" s="122">
        <v>43067</v>
      </c>
      <c r="F466" s="123">
        <v>4.2699999999999996</v>
      </c>
      <c r="G466" s="124" t="s">
        <v>13</v>
      </c>
      <c r="H466" s="121" t="s">
        <v>14</v>
      </c>
      <c r="I466" s="124">
        <v>1</v>
      </c>
      <c r="J466" s="124" t="s">
        <v>15</v>
      </c>
      <c r="K466" s="124" t="s">
        <v>103</v>
      </c>
      <c r="L466" s="121" t="s">
        <v>105</v>
      </c>
      <c r="M466" s="121" t="s">
        <v>14</v>
      </c>
    </row>
    <row r="467" spans="1:13" x14ac:dyDescent="0.2">
      <c r="A467" s="121" t="s">
        <v>101</v>
      </c>
      <c r="B467" s="121" t="s">
        <v>102</v>
      </c>
      <c r="C467" s="121" t="s">
        <v>19</v>
      </c>
      <c r="D467" s="121" t="s">
        <v>12</v>
      </c>
      <c r="E467" s="122">
        <v>43067</v>
      </c>
      <c r="F467" s="123">
        <v>40.882346400000003</v>
      </c>
      <c r="G467" s="124" t="s">
        <v>16</v>
      </c>
      <c r="H467" s="121" t="s">
        <v>14</v>
      </c>
      <c r="I467" s="124">
        <v>1</v>
      </c>
      <c r="J467" s="124" t="s">
        <v>15</v>
      </c>
      <c r="K467" s="124" t="s">
        <v>103</v>
      </c>
      <c r="L467" s="121" t="s">
        <v>105</v>
      </c>
      <c r="M467" s="121" t="s">
        <v>14</v>
      </c>
    </row>
    <row r="468" spans="1:13" x14ac:dyDescent="0.2">
      <c r="A468" s="121" t="s">
        <v>101</v>
      </c>
      <c r="B468" s="121" t="s">
        <v>102</v>
      </c>
      <c r="C468" s="121" t="s">
        <v>19</v>
      </c>
      <c r="D468" s="121" t="s">
        <v>12</v>
      </c>
      <c r="E468" s="122">
        <v>43067</v>
      </c>
      <c r="F468" s="123">
        <v>0.84199999999999997</v>
      </c>
      <c r="G468" s="124" t="s">
        <v>13</v>
      </c>
      <c r="H468" s="121" t="s">
        <v>18</v>
      </c>
      <c r="I468" s="124">
        <v>1</v>
      </c>
      <c r="J468" s="124" t="s">
        <v>15</v>
      </c>
      <c r="K468" s="124" t="s">
        <v>103</v>
      </c>
      <c r="L468" s="121" t="s">
        <v>105</v>
      </c>
      <c r="M468" s="121" t="s">
        <v>17</v>
      </c>
    </row>
    <row r="469" spans="1:13" x14ac:dyDescent="0.2">
      <c r="A469" s="121" t="s">
        <v>101</v>
      </c>
      <c r="B469" s="121" t="s">
        <v>102</v>
      </c>
      <c r="C469" s="121" t="s">
        <v>19</v>
      </c>
      <c r="D469" s="121" t="s">
        <v>12</v>
      </c>
      <c r="E469" s="122">
        <v>43067</v>
      </c>
      <c r="F469" s="123">
        <v>11.305870799999999</v>
      </c>
      <c r="G469" s="124" t="s">
        <v>16</v>
      </c>
      <c r="H469" s="121" t="s">
        <v>18</v>
      </c>
      <c r="I469" s="124">
        <v>1</v>
      </c>
      <c r="J469" s="124" t="s">
        <v>15</v>
      </c>
      <c r="K469" s="124" t="s">
        <v>103</v>
      </c>
      <c r="L469" s="121" t="s">
        <v>105</v>
      </c>
      <c r="M469" s="121" t="s">
        <v>17</v>
      </c>
    </row>
    <row r="470" spans="1:13" x14ac:dyDescent="0.2">
      <c r="A470" s="121" t="s">
        <v>101</v>
      </c>
      <c r="B470" s="121" t="s">
        <v>102</v>
      </c>
      <c r="C470" s="121" t="s">
        <v>19</v>
      </c>
      <c r="D470" s="121" t="s">
        <v>12</v>
      </c>
      <c r="E470" s="122">
        <v>43060</v>
      </c>
      <c r="F470" s="123">
        <v>3.71</v>
      </c>
      <c r="G470" s="124" t="s">
        <v>13</v>
      </c>
      <c r="H470" s="121" t="s">
        <v>14</v>
      </c>
      <c r="I470" s="124">
        <v>1</v>
      </c>
      <c r="J470" s="124" t="s">
        <v>15</v>
      </c>
      <c r="K470" s="124" t="s">
        <v>103</v>
      </c>
      <c r="L470" s="121" t="s">
        <v>105</v>
      </c>
      <c r="M470" s="121" t="s">
        <v>14</v>
      </c>
    </row>
    <row r="471" spans="1:13" x14ac:dyDescent="0.2">
      <c r="A471" s="121" t="s">
        <v>101</v>
      </c>
      <c r="B471" s="121" t="s">
        <v>102</v>
      </c>
      <c r="C471" s="121" t="s">
        <v>19</v>
      </c>
      <c r="D471" s="121" t="s">
        <v>12</v>
      </c>
      <c r="E471" s="122">
        <v>43060</v>
      </c>
      <c r="F471" s="123">
        <v>34.406836800000001</v>
      </c>
      <c r="G471" s="124" t="s">
        <v>16</v>
      </c>
      <c r="H471" s="121" t="s">
        <v>14</v>
      </c>
      <c r="I471" s="124">
        <v>1</v>
      </c>
      <c r="J471" s="124" t="s">
        <v>15</v>
      </c>
      <c r="K471" s="124" t="s">
        <v>103</v>
      </c>
      <c r="L471" s="121" t="s">
        <v>105</v>
      </c>
      <c r="M471" s="121" t="s">
        <v>14</v>
      </c>
    </row>
    <row r="472" spans="1:13" x14ac:dyDescent="0.2">
      <c r="A472" s="121" t="s">
        <v>101</v>
      </c>
      <c r="B472" s="121" t="s">
        <v>102</v>
      </c>
      <c r="C472" s="121" t="s">
        <v>19</v>
      </c>
      <c r="D472" s="121" t="s">
        <v>12</v>
      </c>
      <c r="E472" s="122">
        <v>43060</v>
      </c>
      <c r="F472" s="123">
        <v>1.08</v>
      </c>
      <c r="G472" s="124" t="s">
        <v>13</v>
      </c>
      <c r="H472" s="121" t="s">
        <v>18</v>
      </c>
      <c r="I472" s="124">
        <v>1</v>
      </c>
      <c r="J472" s="124" t="s">
        <v>15</v>
      </c>
      <c r="K472" s="124" t="s">
        <v>103</v>
      </c>
      <c r="L472" s="121" t="s">
        <v>105</v>
      </c>
      <c r="M472" s="121" t="s">
        <v>17</v>
      </c>
    </row>
    <row r="473" spans="1:13" x14ac:dyDescent="0.2">
      <c r="A473" s="121" t="s">
        <v>101</v>
      </c>
      <c r="B473" s="121" t="s">
        <v>102</v>
      </c>
      <c r="C473" s="121" t="s">
        <v>19</v>
      </c>
      <c r="D473" s="121" t="s">
        <v>12</v>
      </c>
      <c r="E473" s="122">
        <v>43060</v>
      </c>
      <c r="F473" s="123">
        <v>12.520008000000001</v>
      </c>
      <c r="G473" s="124" t="s">
        <v>16</v>
      </c>
      <c r="H473" s="121" t="s">
        <v>18</v>
      </c>
      <c r="I473" s="124">
        <v>1</v>
      </c>
      <c r="J473" s="124" t="s">
        <v>15</v>
      </c>
      <c r="K473" s="124" t="s">
        <v>103</v>
      </c>
      <c r="L473" s="121" t="s">
        <v>105</v>
      </c>
      <c r="M473" s="121" t="s">
        <v>17</v>
      </c>
    </row>
    <row r="474" spans="1:13" x14ac:dyDescent="0.2">
      <c r="A474" s="121" t="s">
        <v>101</v>
      </c>
      <c r="B474" s="121" t="s">
        <v>102</v>
      </c>
      <c r="C474" s="121" t="s">
        <v>19</v>
      </c>
      <c r="D474" s="121" t="s">
        <v>12</v>
      </c>
      <c r="E474" s="122">
        <v>43053</v>
      </c>
      <c r="F474" s="123">
        <v>4.12</v>
      </c>
      <c r="G474" s="124" t="s">
        <v>13</v>
      </c>
      <c r="H474" s="121" t="s">
        <v>14</v>
      </c>
      <c r="I474" s="124">
        <v>1</v>
      </c>
      <c r="J474" s="124" t="s">
        <v>15</v>
      </c>
      <c r="K474" s="124" t="s">
        <v>103</v>
      </c>
      <c r="L474" s="121" t="s">
        <v>105</v>
      </c>
      <c r="M474" s="121" t="s">
        <v>14</v>
      </c>
    </row>
    <row r="475" spans="1:13" x14ac:dyDescent="0.2">
      <c r="A475" s="121" t="s">
        <v>101</v>
      </c>
      <c r="B475" s="121" t="s">
        <v>102</v>
      </c>
      <c r="C475" s="121" t="s">
        <v>19</v>
      </c>
      <c r="D475" s="121" t="s">
        <v>12</v>
      </c>
      <c r="E475" s="122">
        <v>43053</v>
      </c>
      <c r="F475" s="123">
        <v>41.851454400000001</v>
      </c>
      <c r="G475" s="124" t="s">
        <v>16</v>
      </c>
      <c r="H475" s="121" t="s">
        <v>14</v>
      </c>
      <c r="I475" s="124">
        <v>1</v>
      </c>
      <c r="J475" s="124" t="s">
        <v>15</v>
      </c>
      <c r="K475" s="124" t="s">
        <v>103</v>
      </c>
      <c r="L475" s="121" t="s">
        <v>105</v>
      </c>
      <c r="M475" s="121" t="s">
        <v>14</v>
      </c>
    </row>
    <row r="476" spans="1:13" x14ac:dyDescent="0.2">
      <c r="A476" s="121" t="s">
        <v>101</v>
      </c>
      <c r="B476" s="121" t="s">
        <v>102</v>
      </c>
      <c r="C476" s="121" t="s">
        <v>19</v>
      </c>
      <c r="D476" s="121" t="s">
        <v>12</v>
      </c>
      <c r="E476" s="122">
        <v>43053</v>
      </c>
      <c r="F476" s="123">
        <v>0.88800000000000001</v>
      </c>
      <c r="G476" s="124" t="s">
        <v>13</v>
      </c>
      <c r="H476" s="121" t="s">
        <v>18</v>
      </c>
      <c r="I476" s="124">
        <v>1</v>
      </c>
      <c r="J476" s="124" t="s">
        <v>15</v>
      </c>
      <c r="K476" s="124" t="s">
        <v>103</v>
      </c>
      <c r="L476" s="121" t="s">
        <v>105</v>
      </c>
      <c r="M476" s="121" t="s">
        <v>17</v>
      </c>
    </row>
    <row r="477" spans="1:13" x14ac:dyDescent="0.2">
      <c r="A477" s="121" t="s">
        <v>101</v>
      </c>
      <c r="B477" s="121" t="s">
        <v>102</v>
      </c>
      <c r="C477" s="121" t="s">
        <v>19</v>
      </c>
      <c r="D477" s="121" t="s">
        <v>12</v>
      </c>
      <c r="E477" s="122">
        <v>43053</v>
      </c>
      <c r="F477" s="123">
        <v>12.219768</v>
      </c>
      <c r="G477" s="124" t="s">
        <v>16</v>
      </c>
      <c r="H477" s="121" t="s">
        <v>18</v>
      </c>
      <c r="I477" s="124">
        <v>1</v>
      </c>
      <c r="J477" s="124" t="s">
        <v>15</v>
      </c>
      <c r="K477" s="124" t="s">
        <v>103</v>
      </c>
      <c r="L477" s="121" t="s">
        <v>105</v>
      </c>
      <c r="M477" s="121" t="s">
        <v>17</v>
      </c>
    </row>
    <row r="478" spans="1:13" x14ac:dyDescent="0.2">
      <c r="A478" s="121" t="s">
        <v>101</v>
      </c>
      <c r="B478" s="121" t="s">
        <v>102</v>
      </c>
      <c r="C478" s="121" t="s">
        <v>19</v>
      </c>
      <c r="D478" s="121" t="s">
        <v>12</v>
      </c>
      <c r="E478" s="122">
        <v>43046</v>
      </c>
      <c r="F478" s="123">
        <v>3.19</v>
      </c>
      <c r="G478" s="124" t="s">
        <v>13</v>
      </c>
      <c r="H478" s="121" t="s">
        <v>14</v>
      </c>
      <c r="I478" s="124">
        <v>1</v>
      </c>
      <c r="J478" s="124" t="s">
        <v>15</v>
      </c>
      <c r="K478" s="124" t="s">
        <v>103</v>
      </c>
      <c r="L478" s="121" t="s">
        <v>105</v>
      </c>
      <c r="M478" s="121" t="s">
        <v>14</v>
      </c>
    </row>
    <row r="479" spans="1:13" x14ac:dyDescent="0.2">
      <c r="A479" s="121" t="s">
        <v>101</v>
      </c>
      <c r="B479" s="121" t="s">
        <v>102</v>
      </c>
      <c r="C479" s="121" t="s">
        <v>19</v>
      </c>
      <c r="D479" s="121" t="s">
        <v>12</v>
      </c>
      <c r="E479" s="122">
        <v>43046</v>
      </c>
      <c r="F479" s="123">
        <v>33.308959199999997</v>
      </c>
      <c r="G479" s="124" t="s">
        <v>16</v>
      </c>
      <c r="H479" s="121" t="s">
        <v>14</v>
      </c>
      <c r="I479" s="124">
        <v>1</v>
      </c>
      <c r="J479" s="124" t="s">
        <v>15</v>
      </c>
      <c r="K479" s="124" t="s">
        <v>103</v>
      </c>
      <c r="L479" s="121" t="s">
        <v>105</v>
      </c>
      <c r="M479" s="121" t="s">
        <v>14</v>
      </c>
    </row>
    <row r="480" spans="1:13" x14ac:dyDescent="0.2">
      <c r="A480" s="121" t="s">
        <v>101</v>
      </c>
      <c r="B480" s="121" t="s">
        <v>102</v>
      </c>
      <c r="C480" s="121" t="s">
        <v>19</v>
      </c>
      <c r="D480" s="121" t="s">
        <v>12</v>
      </c>
      <c r="E480" s="122">
        <v>43046</v>
      </c>
      <c r="F480" s="123">
        <v>1.05</v>
      </c>
      <c r="G480" s="124" t="s">
        <v>13</v>
      </c>
      <c r="H480" s="121" t="s">
        <v>18</v>
      </c>
      <c r="I480" s="124">
        <v>1</v>
      </c>
      <c r="J480" s="124" t="s">
        <v>15</v>
      </c>
      <c r="K480" s="124" t="s">
        <v>103</v>
      </c>
      <c r="L480" s="121" t="s">
        <v>105</v>
      </c>
      <c r="M480" s="121" t="s">
        <v>17</v>
      </c>
    </row>
    <row r="481" spans="1:13" x14ac:dyDescent="0.2">
      <c r="A481" s="121" t="s">
        <v>101</v>
      </c>
      <c r="B481" s="121" t="s">
        <v>102</v>
      </c>
      <c r="C481" s="121" t="s">
        <v>19</v>
      </c>
      <c r="D481" s="121" t="s">
        <v>12</v>
      </c>
      <c r="E481" s="122">
        <v>43046</v>
      </c>
      <c r="F481" s="123">
        <v>15.06204</v>
      </c>
      <c r="G481" s="124" t="s">
        <v>16</v>
      </c>
      <c r="H481" s="121" t="s">
        <v>18</v>
      </c>
      <c r="I481" s="124">
        <v>1</v>
      </c>
      <c r="J481" s="124" t="s">
        <v>15</v>
      </c>
      <c r="K481" s="124" t="s">
        <v>103</v>
      </c>
      <c r="L481" s="121" t="s">
        <v>105</v>
      </c>
      <c r="M481" s="121" t="s">
        <v>17</v>
      </c>
    </row>
    <row r="482" spans="1:13" x14ac:dyDescent="0.2">
      <c r="A482" s="121" t="s">
        <v>101</v>
      </c>
      <c r="B482" s="121" t="s">
        <v>102</v>
      </c>
      <c r="C482" s="121" t="s">
        <v>19</v>
      </c>
      <c r="D482" s="121" t="s">
        <v>12</v>
      </c>
      <c r="E482" s="122">
        <v>43040</v>
      </c>
      <c r="F482" s="123">
        <v>3.07</v>
      </c>
      <c r="G482" s="124" t="s">
        <v>13</v>
      </c>
      <c r="H482" s="121" t="s">
        <v>14</v>
      </c>
      <c r="I482" s="124">
        <v>1</v>
      </c>
      <c r="J482" s="124" t="s">
        <v>15</v>
      </c>
      <c r="K482" s="124" t="s">
        <v>103</v>
      </c>
      <c r="L482" s="121" t="s">
        <v>105</v>
      </c>
      <c r="M482" s="121" t="s">
        <v>14</v>
      </c>
    </row>
    <row r="483" spans="1:13" x14ac:dyDescent="0.2">
      <c r="A483" s="121" t="s">
        <v>101</v>
      </c>
      <c r="B483" s="121" t="s">
        <v>102</v>
      </c>
      <c r="C483" s="121" t="s">
        <v>19</v>
      </c>
      <c r="D483" s="121" t="s">
        <v>12</v>
      </c>
      <c r="E483" s="122">
        <v>43040</v>
      </c>
      <c r="F483" s="123">
        <v>33.412959000000001</v>
      </c>
      <c r="G483" s="124" t="s">
        <v>16</v>
      </c>
      <c r="H483" s="121" t="s">
        <v>14</v>
      </c>
      <c r="I483" s="124">
        <v>1</v>
      </c>
      <c r="J483" s="124" t="s">
        <v>15</v>
      </c>
      <c r="K483" s="124" t="s">
        <v>103</v>
      </c>
      <c r="L483" s="121" t="s">
        <v>105</v>
      </c>
      <c r="M483" s="121" t="s">
        <v>14</v>
      </c>
    </row>
    <row r="484" spans="1:13" x14ac:dyDescent="0.2">
      <c r="A484" s="121" t="s">
        <v>101</v>
      </c>
      <c r="B484" s="121" t="s">
        <v>102</v>
      </c>
      <c r="C484" s="121" t="s">
        <v>19</v>
      </c>
      <c r="D484" s="121" t="s">
        <v>12</v>
      </c>
      <c r="E484" s="122">
        <v>43040</v>
      </c>
      <c r="F484" s="123">
        <v>0.89</v>
      </c>
      <c r="G484" s="124" t="s">
        <v>13</v>
      </c>
      <c r="H484" s="121" t="s">
        <v>18</v>
      </c>
      <c r="I484" s="124">
        <v>1</v>
      </c>
      <c r="J484" s="124" t="s">
        <v>15</v>
      </c>
      <c r="K484" s="124" t="s">
        <v>103</v>
      </c>
      <c r="L484" s="121" t="s">
        <v>105</v>
      </c>
      <c r="M484" s="121" t="s">
        <v>17</v>
      </c>
    </row>
    <row r="485" spans="1:13" x14ac:dyDescent="0.2">
      <c r="A485" s="121" t="s">
        <v>101</v>
      </c>
      <c r="B485" s="121" t="s">
        <v>102</v>
      </c>
      <c r="C485" s="121" t="s">
        <v>19</v>
      </c>
      <c r="D485" s="121" t="s">
        <v>12</v>
      </c>
      <c r="E485" s="122">
        <v>43040</v>
      </c>
      <c r="F485" s="123">
        <v>13.509131999999999</v>
      </c>
      <c r="G485" s="124" t="s">
        <v>16</v>
      </c>
      <c r="H485" s="121" t="s">
        <v>18</v>
      </c>
      <c r="I485" s="124">
        <v>1</v>
      </c>
      <c r="J485" s="124" t="s">
        <v>15</v>
      </c>
      <c r="K485" s="124" t="s">
        <v>103</v>
      </c>
      <c r="L485" s="121" t="s">
        <v>105</v>
      </c>
      <c r="M485" s="121" t="s">
        <v>17</v>
      </c>
    </row>
    <row r="486" spans="1:13" x14ac:dyDescent="0.2">
      <c r="A486" s="121" t="s">
        <v>101</v>
      </c>
      <c r="B486" s="121" t="s">
        <v>102</v>
      </c>
      <c r="C486" s="121" t="s">
        <v>19</v>
      </c>
      <c r="D486" s="121" t="s">
        <v>12</v>
      </c>
      <c r="E486" s="122">
        <v>43033</v>
      </c>
      <c r="F486" s="123">
        <v>3.57</v>
      </c>
      <c r="G486" s="124" t="s">
        <v>13</v>
      </c>
      <c r="H486" s="121" t="s">
        <v>14</v>
      </c>
      <c r="I486" s="124">
        <v>1</v>
      </c>
      <c r="J486" s="124" t="s">
        <v>15</v>
      </c>
      <c r="K486" s="124" t="s">
        <v>103</v>
      </c>
      <c r="L486" s="121" t="s">
        <v>105</v>
      </c>
      <c r="M486" s="121" t="s">
        <v>14</v>
      </c>
    </row>
    <row r="487" spans="1:13" x14ac:dyDescent="0.2">
      <c r="A487" s="121" t="s">
        <v>101</v>
      </c>
      <c r="B487" s="121" t="s">
        <v>102</v>
      </c>
      <c r="C487" s="121" t="s">
        <v>19</v>
      </c>
      <c r="D487" s="121" t="s">
        <v>12</v>
      </c>
      <c r="E487" s="122">
        <v>43033</v>
      </c>
      <c r="F487" s="123">
        <v>41.206939200000001</v>
      </c>
      <c r="G487" s="124" t="s">
        <v>16</v>
      </c>
      <c r="H487" s="121" t="s">
        <v>14</v>
      </c>
      <c r="I487" s="124">
        <v>1</v>
      </c>
      <c r="J487" s="124" t="s">
        <v>15</v>
      </c>
      <c r="K487" s="124" t="s">
        <v>103</v>
      </c>
      <c r="L487" s="121" t="s">
        <v>105</v>
      </c>
      <c r="M487" s="121" t="s">
        <v>14</v>
      </c>
    </row>
    <row r="488" spans="1:13" x14ac:dyDescent="0.2">
      <c r="A488" s="121" t="s">
        <v>101</v>
      </c>
      <c r="B488" s="121" t="s">
        <v>102</v>
      </c>
      <c r="C488" s="121" t="s">
        <v>19</v>
      </c>
      <c r="D488" s="121" t="s">
        <v>12</v>
      </c>
      <c r="E488" s="122">
        <v>43033</v>
      </c>
      <c r="F488" s="123">
        <v>0.90100000000000002</v>
      </c>
      <c r="G488" s="124" t="s">
        <v>13</v>
      </c>
      <c r="H488" s="121" t="s">
        <v>18</v>
      </c>
      <c r="I488" s="124">
        <v>1</v>
      </c>
      <c r="J488" s="124" t="s">
        <v>15</v>
      </c>
      <c r="K488" s="124" t="s">
        <v>103</v>
      </c>
      <c r="L488" s="121" t="s">
        <v>105</v>
      </c>
      <c r="M488" s="121" t="s">
        <v>17</v>
      </c>
    </row>
    <row r="489" spans="1:13" x14ac:dyDescent="0.2">
      <c r="A489" s="121" t="s">
        <v>101</v>
      </c>
      <c r="B489" s="121" t="s">
        <v>102</v>
      </c>
      <c r="C489" s="121" t="s">
        <v>19</v>
      </c>
      <c r="D489" s="121" t="s">
        <v>12</v>
      </c>
      <c r="E489" s="122">
        <v>43033</v>
      </c>
      <c r="F489" s="123">
        <v>14.7281064</v>
      </c>
      <c r="G489" s="124" t="s">
        <v>16</v>
      </c>
      <c r="H489" s="121" t="s">
        <v>18</v>
      </c>
      <c r="I489" s="124">
        <v>1</v>
      </c>
      <c r="J489" s="124" t="s">
        <v>15</v>
      </c>
      <c r="K489" s="124" t="s">
        <v>103</v>
      </c>
      <c r="L489" s="121" t="s">
        <v>105</v>
      </c>
      <c r="M489" s="121" t="s">
        <v>17</v>
      </c>
    </row>
    <row r="490" spans="1:13" x14ac:dyDescent="0.2">
      <c r="A490" s="121" t="s">
        <v>101</v>
      </c>
      <c r="B490" s="121" t="s">
        <v>102</v>
      </c>
      <c r="C490" s="121" t="s">
        <v>19</v>
      </c>
      <c r="D490" s="121" t="s">
        <v>12</v>
      </c>
      <c r="E490" s="122">
        <v>43025</v>
      </c>
      <c r="F490" s="123">
        <v>3.75</v>
      </c>
      <c r="G490" s="124" t="s">
        <v>13</v>
      </c>
      <c r="H490" s="121" t="s">
        <v>14</v>
      </c>
      <c r="I490" s="124">
        <v>1</v>
      </c>
      <c r="J490" s="124" t="s">
        <v>15</v>
      </c>
      <c r="K490" s="124" t="s">
        <v>103</v>
      </c>
      <c r="L490" s="121" t="s">
        <v>105</v>
      </c>
      <c r="M490" s="121" t="s">
        <v>14</v>
      </c>
    </row>
    <row r="491" spans="1:13" x14ac:dyDescent="0.2">
      <c r="A491" s="121" t="s">
        <v>101</v>
      </c>
      <c r="B491" s="121" t="s">
        <v>102</v>
      </c>
      <c r="C491" s="121" t="s">
        <v>19</v>
      </c>
      <c r="D491" s="121" t="s">
        <v>12</v>
      </c>
      <c r="E491" s="122">
        <v>43025</v>
      </c>
      <c r="F491" s="123">
        <v>44.598149999999997</v>
      </c>
      <c r="G491" s="124" t="s">
        <v>16</v>
      </c>
      <c r="H491" s="121" t="s">
        <v>14</v>
      </c>
      <c r="I491" s="124">
        <v>1</v>
      </c>
      <c r="J491" s="124" t="s">
        <v>15</v>
      </c>
      <c r="K491" s="124" t="s">
        <v>103</v>
      </c>
      <c r="L491" s="121" t="s">
        <v>105</v>
      </c>
      <c r="M491" s="121" t="s">
        <v>14</v>
      </c>
    </row>
    <row r="492" spans="1:13" x14ac:dyDescent="0.2">
      <c r="A492" s="121" t="s">
        <v>101</v>
      </c>
      <c r="B492" s="121" t="s">
        <v>102</v>
      </c>
      <c r="C492" s="121" t="s">
        <v>19</v>
      </c>
      <c r="D492" s="121" t="s">
        <v>12</v>
      </c>
      <c r="E492" s="122">
        <v>43025</v>
      </c>
      <c r="F492" s="123">
        <v>1</v>
      </c>
      <c r="G492" s="124" t="s">
        <v>13</v>
      </c>
      <c r="H492" s="121" t="s">
        <v>18</v>
      </c>
      <c r="I492" s="124">
        <v>1</v>
      </c>
      <c r="J492" s="124" t="s">
        <v>15</v>
      </c>
      <c r="K492" s="124" t="s">
        <v>103</v>
      </c>
      <c r="L492" s="121" t="s">
        <v>105</v>
      </c>
      <c r="M492" s="121" t="s">
        <v>17</v>
      </c>
    </row>
    <row r="493" spans="1:13" x14ac:dyDescent="0.2">
      <c r="A493" s="121" t="s">
        <v>101</v>
      </c>
      <c r="B493" s="121" t="s">
        <v>102</v>
      </c>
      <c r="C493" s="121" t="s">
        <v>19</v>
      </c>
      <c r="D493" s="121" t="s">
        <v>12</v>
      </c>
      <c r="E493" s="122">
        <v>43025</v>
      </c>
      <c r="F493" s="123">
        <v>17.097000000000001</v>
      </c>
      <c r="G493" s="124" t="s">
        <v>16</v>
      </c>
      <c r="H493" s="121" t="s">
        <v>18</v>
      </c>
      <c r="I493" s="124">
        <v>1</v>
      </c>
      <c r="J493" s="124" t="s">
        <v>15</v>
      </c>
      <c r="K493" s="124" t="s">
        <v>103</v>
      </c>
      <c r="L493" s="121" t="s">
        <v>105</v>
      </c>
      <c r="M493" s="121" t="s">
        <v>17</v>
      </c>
    </row>
    <row r="494" spans="1:13" x14ac:dyDescent="0.2">
      <c r="A494" s="121" t="s">
        <v>101</v>
      </c>
      <c r="B494" s="121" t="s">
        <v>102</v>
      </c>
      <c r="C494" s="121" t="s">
        <v>19</v>
      </c>
      <c r="D494" s="121" t="s">
        <v>12</v>
      </c>
      <c r="E494" s="122">
        <v>43018</v>
      </c>
      <c r="F494" s="123">
        <v>3.22</v>
      </c>
      <c r="G494" s="124" t="s">
        <v>13</v>
      </c>
      <c r="H494" s="121" t="s">
        <v>14</v>
      </c>
      <c r="I494" s="124">
        <v>1</v>
      </c>
      <c r="J494" s="124" t="s">
        <v>15</v>
      </c>
      <c r="K494" s="124" t="s">
        <v>103</v>
      </c>
      <c r="L494" s="121" t="s">
        <v>105</v>
      </c>
      <c r="M494" s="121" t="s">
        <v>14</v>
      </c>
    </row>
    <row r="495" spans="1:13" x14ac:dyDescent="0.2">
      <c r="A495" s="121" t="s">
        <v>101</v>
      </c>
      <c r="B495" s="121" t="s">
        <v>102</v>
      </c>
      <c r="C495" s="121" t="s">
        <v>19</v>
      </c>
      <c r="D495" s="121" t="s">
        <v>12</v>
      </c>
      <c r="E495" s="122">
        <v>43018</v>
      </c>
      <c r="F495" s="123">
        <v>44.793806400000001</v>
      </c>
      <c r="G495" s="124" t="s">
        <v>16</v>
      </c>
      <c r="H495" s="121" t="s">
        <v>14</v>
      </c>
      <c r="I495" s="124">
        <v>1</v>
      </c>
      <c r="J495" s="124" t="s">
        <v>15</v>
      </c>
      <c r="K495" s="124" t="s">
        <v>103</v>
      </c>
      <c r="L495" s="121" t="s">
        <v>105</v>
      </c>
      <c r="M495" s="121" t="s">
        <v>14</v>
      </c>
    </row>
    <row r="496" spans="1:13" x14ac:dyDescent="0.2">
      <c r="A496" s="121" t="s">
        <v>101</v>
      </c>
      <c r="B496" s="121" t="s">
        <v>102</v>
      </c>
      <c r="C496" s="121" t="s">
        <v>19</v>
      </c>
      <c r="D496" s="121" t="s">
        <v>12</v>
      </c>
      <c r="E496" s="122">
        <v>43018</v>
      </c>
      <c r="F496" s="123">
        <v>1.0900000000000001</v>
      </c>
      <c r="G496" s="124" t="s">
        <v>13</v>
      </c>
      <c r="H496" s="121" t="s">
        <v>18</v>
      </c>
      <c r="I496" s="124">
        <v>1</v>
      </c>
      <c r="J496" s="124" t="s">
        <v>15</v>
      </c>
      <c r="K496" s="124" t="s">
        <v>103</v>
      </c>
      <c r="L496" s="121" t="s">
        <v>105</v>
      </c>
      <c r="M496" s="121" t="s">
        <v>17</v>
      </c>
    </row>
    <row r="497" spans="1:13" x14ac:dyDescent="0.2">
      <c r="A497" s="121" t="s">
        <v>101</v>
      </c>
      <c r="B497" s="121" t="s">
        <v>102</v>
      </c>
      <c r="C497" s="121" t="s">
        <v>19</v>
      </c>
      <c r="D497" s="121" t="s">
        <v>12</v>
      </c>
      <c r="E497" s="122">
        <v>43018</v>
      </c>
      <c r="F497" s="123">
        <v>20.544756</v>
      </c>
      <c r="G497" s="124" t="s">
        <v>16</v>
      </c>
      <c r="H497" s="121" t="s">
        <v>18</v>
      </c>
      <c r="I497" s="124">
        <v>1</v>
      </c>
      <c r="J497" s="124" t="s">
        <v>15</v>
      </c>
      <c r="K497" s="124" t="s">
        <v>103</v>
      </c>
      <c r="L497" s="121" t="s">
        <v>105</v>
      </c>
      <c r="M497" s="121" t="s">
        <v>17</v>
      </c>
    </row>
    <row r="498" spans="1:13" x14ac:dyDescent="0.2">
      <c r="A498" s="121" t="s">
        <v>101</v>
      </c>
      <c r="B498" s="121" t="s">
        <v>102</v>
      </c>
      <c r="C498" s="121" t="s">
        <v>19</v>
      </c>
      <c r="D498" s="121" t="s">
        <v>12</v>
      </c>
      <c r="E498" s="122">
        <v>43012</v>
      </c>
      <c r="F498" s="123">
        <v>3.57</v>
      </c>
      <c r="G498" s="124" t="s">
        <v>13</v>
      </c>
      <c r="H498" s="121" t="s">
        <v>14</v>
      </c>
      <c r="I498" s="124">
        <v>1</v>
      </c>
      <c r="J498" s="124" t="s">
        <v>15</v>
      </c>
      <c r="K498" s="124" t="s">
        <v>103</v>
      </c>
      <c r="L498" s="121" t="s">
        <v>105</v>
      </c>
      <c r="M498" s="121" t="s">
        <v>14</v>
      </c>
    </row>
    <row r="499" spans="1:13" x14ac:dyDescent="0.2">
      <c r="A499" s="121" t="s">
        <v>101</v>
      </c>
      <c r="B499" s="121" t="s">
        <v>102</v>
      </c>
      <c r="C499" s="121" t="s">
        <v>19</v>
      </c>
      <c r="D499" s="121" t="s">
        <v>12</v>
      </c>
      <c r="E499" s="122">
        <v>43012</v>
      </c>
      <c r="F499" s="123">
        <v>35.401048199999998</v>
      </c>
      <c r="G499" s="124" t="s">
        <v>16</v>
      </c>
      <c r="H499" s="121" t="s">
        <v>14</v>
      </c>
      <c r="I499" s="124">
        <v>1</v>
      </c>
      <c r="J499" s="124" t="s">
        <v>15</v>
      </c>
      <c r="K499" s="124" t="s">
        <v>103</v>
      </c>
      <c r="L499" s="121" t="s">
        <v>105</v>
      </c>
      <c r="M499" s="121" t="s">
        <v>14</v>
      </c>
    </row>
    <row r="500" spans="1:13" x14ac:dyDescent="0.2">
      <c r="A500" s="121" t="s">
        <v>101</v>
      </c>
      <c r="B500" s="121" t="s">
        <v>102</v>
      </c>
      <c r="C500" s="121" t="s">
        <v>19</v>
      </c>
      <c r="D500" s="121" t="s">
        <v>12</v>
      </c>
      <c r="E500" s="122">
        <v>43012</v>
      </c>
      <c r="F500" s="123">
        <v>1.31</v>
      </c>
      <c r="G500" s="124" t="s">
        <v>13</v>
      </c>
      <c r="H500" s="121" t="s">
        <v>18</v>
      </c>
      <c r="I500" s="124">
        <v>1</v>
      </c>
      <c r="J500" s="124" t="s">
        <v>15</v>
      </c>
      <c r="K500" s="124" t="s">
        <v>103</v>
      </c>
      <c r="L500" s="121" t="s">
        <v>105</v>
      </c>
      <c r="M500" s="121" t="s">
        <v>17</v>
      </c>
    </row>
    <row r="501" spans="1:13" x14ac:dyDescent="0.2">
      <c r="A501" s="121" t="s">
        <v>101</v>
      </c>
      <c r="B501" s="121" t="s">
        <v>102</v>
      </c>
      <c r="C501" s="121" t="s">
        <v>19</v>
      </c>
      <c r="D501" s="121" t="s">
        <v>12</v>
      </c>
      <c r="E501" s="122">
        <v>43012</v>
      </c>
      <c r="F501" s="123">
        <v>13.110480000000001</v>
      </c>
      <c r="G501" s="124" t="s">
        <v>16</v>
      </c>
      <c r="H501" s="121" t="s">
        <v>18</v>
      </c>
      <c r="I501" s="124">
        <v>1</v>
      </c>
      <c r="J501" s="124" t="s">
        <v>15</v>
      </c>
      <c r="K501" s="124" t="s">
        <v>103</v>
      </c>
      <c r="L501" s="121" t="s">
        <v>105</v>
      </c>
      <c r="M501" s="121" t="s">
        <v>17</v>
      </c>
    </row>
    <row r="502" spans="1:13" x14ac:dyDescent="0.2">
      <c r="A502" s="121" t="s">
        <v>101</v>
      </c>
      <c r="B502" s="121" t="s">
        <v>102</v>
      </c>
      <c r="C502" s="121" t="s">
        <v>19</v>
      </c>
      <c r="D502" s="121" t="s">
        <v>12</v>
      </c>
      <c r="E502" s="122">
        <v>43005</v>
      </c>
      <c r="F502" s="123">
        <v>3.97</v>
      </c>
      <c r="G502" s="124" t="s">
        <v>13</v>
      </c>
      <c r="H502" s="121" t="s">
        <v>14</v>
      </c>
      <c r="I502" s="124">
        <v>1</v>
      </c>
      <c r="J502" s="124" t="s">
        <v>15</v>
      </c>
      <c r="K502" s="124" t="s">
        <v>103</v>
      </c>
      <c r="L502" s="121" t="s">
        <v>105</v>
      </c>
      <c r="M502" s="121" t="s">
        <v>14</v>
      </c>
    </row>
    <row r="503" spans="1:13" x14ac:dyDescent="0.2">
      <c r="A503" s="121" t="s">
        <v>101</v>
      </c>
      <c r="B503" s="121" t="s">
        <v>102</v>
      </c>
      <c r="C503" s="121" t="s">
        <v>19</v>
      </c>
      <c r="D503" s="121" t="s">
        <v>12</v>
      </c>
      <c r="E503" s="122">
        <v>43005</v>
      </c>
      <c r="F503" s="123">
        <v>39.499991399999999</v>
      </c>
      <c r="G503" s="124" t="s">
        <v>16</v>
      </c>
      <c r="H503" s="121" t="s">
        <v>14</v>
      </c>
      <c r="I503" s="124">
        <v>1</v>
      </c>
      <c r="J503" s="124" t="s">
        <v>15</v>
      </c>
      <c r="K503" s="124" t="s">
        <v>103</v>
      </c>
      <c r="L503" s="121" t="s">
        <v>105</v>
      </c>
      <c r="M503" s="121" t="s">
        <v>14</v>
      </c>
    </row>
    <row r="504" spans="1:13" x14ac:dyDescent="0.2">
      <c r="A504" s="121" t="s">
        <v>101</v>
      </c>
      <c r="B504" s="121" t="s">
        <v>102</v>
      </c>
      <c r="C504" s="121" t="s">
        <v>19</v>
      </c>
      <c r="D504" s="121" t="s">
        <v>12</v>
      </c>
      <c r="E504" s="122">
        <v>43005</v>
      </c>
      <c r="F504" s="123">
        <v>0.98</v>
      </c>
      <c r="G504" s="124" t="s">
        <v>13</v>
      </c>
      <c r="H504" s="121" t="s">
        <v>18</v>
      </c>
      <c r="I504" s="124">
        <v>1</v>
      </c>
      <c r="J504" s="124" t="s">
        <v>15</v>
      </c>
      <c r="K504" s="124" t="s">
        <v>103</v>
      </c>
      <c r="L504" s="121" t="s">
        <v>105</v>
      </c>
      <c r="M504" s="121" t="s">
        <v>17</v>
      </c>
    </row>
    <row r="505" spans="1:13" x14ac:dyDescent="0.2">
      <c r="A505" s="121" t="s">
        <v>101</v>
      </c>
      <c r="B505" s="121" t="s">
        <v>102</v>
      </c>
      <c r="C505" s="121" t="s">
        <v>19</v>
      </c>
      <c r="D505" s="121" t="s">
        <v>12</v>
      </c>
      <c r="E505" s="122">
        <v>43005</v>
      </c>
      <c r="F505" s="123">
        <v>15.610811999999999</v>
      </c>
      <c r="G505" s="124" t="s">
        <v>16</v>
      </c>
      <c r="H505" s="121" t="s">
        <v>18</v>
      </c>
      <c r="I505" s="124">
        <v>1</v>
      </c>
      <c r="J505" s="124" t="s">
        <v>15</v>
      </c>
      <c r="K505" s="124" t="s">
        <v>103</v>
      </c>
      <c r="L505" s="121" t="s">
        <v>105</v>
      </c>
      <c r="M505" s="121" t="s">
        <v>17</v>
      </c>
    </row>
    <row r="506" spans="1:13" x14ac:dyDescent="0.2">
      <c r="A506" s="121" t="s">
        <v>101</v>
      </c>
      <c r="B506" s="121" t="s">
        <v>102</v>
      </c>
      <c r="C506" s="121" t="s">
        <v>19</v>
      </c>
      <c r="D506" s="121" t="s">
        <v>12</v>
      </c>
      <c r="E506" s="122">
        <v>42998</v>
      </c>
      <c r="F506" s="123">
        <v>3.91</v>
      </c>
      <c r="G506" s="124" t="s">
        <v>13</v>
      </c>
      <c r="H506" s="121" t="s">
        <v>14</v>
      </c>
      <c r="I506" s="124">
        <v>1</v>
      </c>
      <c r="J506" s="124" t="s">
        <v>15</v>
      </c>
      <c r="K506" s="124" t="s">
        <v>103</v>
      </c>
      <c r="L506" s="121" t="s">
        <v>105</v>
      </c>
      <c r="M506" s="121" t="s">
        <v>14</v>
      </c>
    </row>
    <row r="507" spans="1:13" x14ac:dyDescent="0.2">
      <c r="A507" s="121" t="s">
        <v>101</v>
      </c>
      <c r="B507" s="121" t="s">
        <v>102</v>
      </c>
      <c r="C507" s="121" t="s">
        <v>19</v>
      </c>
      <c r="D507" s="121" t="s">
        <v>12</v>
      </c>
      <c r="E507" s="122">
        <v>42998</v>
      </c>
      <c r="F507" s="123">
        <v>39.098670599999998</v>
      </c>
      <c r="G507" s="124" t="s">
        <v>16</v>
      </c>
      <c r="H507" s="121" t="s">
        <v>14</v>
      </c>
      <c r="I507" s="124">
        <v>1</v>
      </c>
      <c r="J507" s="124" t="s">
        <v>15</v>
      </c>
      <c r="K507" s="124" t="s">
        <v>103</v>
      </c>
      <c r="L507" s="121" t="s">
        <v>105</v>
      </c>
      <c r="M507" s="121" t="s">
        <v>14</v>
      </c>
    </row>
    <row r="508" spans="1:13" x14ac:dyDescent="0.2">
      <c r="A508" s="121" t="s">
        <v>101</v>
      </c>
      <c r="B508" s="121" t="s">
        <v>102</v>
      </c>
      <c r="C508" s="121" t="s">
        <v>19</v>
      </c>
      <c r="D508" s="121" t="s">
        <v>12</v>
      </c>
      <c r="E508" s="122">
        <v>42998</v>
      </c>
      <c r="F508" s="123">
        <v>1.01</v>
      </c>
      <c r="G508" s="124" t="s">
        <v>13</v>
      </c>
      <c r="H508" s="121" t="s">
        <v>18</v>
      </c>
      <c r="I508" s="124">
        <v>1</v>
      </c>
      <c r="J508" s="124" t="s">
        <v>15</v>
      </c>
      <c r="K508" s="124" t="s">
        <v>103</v>
      </c>
      <c r="L508" s="121" t="s">
        <v>105</v>
      </c>
      <c r="M508" s="121" t="s">
        <v>17</v>
      </c>
    </row>
    <row r="509" spans="1:13" x14ac:dyDescent="0.2">
      <c r="A509" s="121" t="s">
        <v>101</v>
      </c>
      <c r="B509" s="121" t="s">
        <v>102</v>
      </c>
      <c r="C509" s="121" t="s">
        <v>19</v>
      </c>
      <c r="D509" s="121" t="s">
        <v>12</v>
      </c>
      <c r="E509" s="122">
        <v>42998</v>
      </c>
      <c r="F509" s="123">
        <v>15.58329</v>
      </c>
      <c r="G509" s="124" t="s">
        <v>16</v>
      </c>
      <c r="H509" s="121" t="s">
        <v>18</v>
      </c>
      <c r="I509" s="124">
        <v>1</v>
      </c>
      <c r="J509" s="124" t="s">
        <v>15</v>
      </c>
      <c r="K509" s="124" t="s">
        <v>103</v>
      </c>
      <c r="L509" s="121" t="s">
        <v>105</v>
      </c>
      <c r="M509" s="121" t="s">
        <v>17</v>
      </c>
    </row>
    <row r="510" spans="1:13" x14ac:dyDescent="0.2">
      <c r="A510" s="121" t="s">
        <v>101</v>
      </c>
      <c r="B510" s="121" t="s">
        <v>102</v>
      </c>
      <c r="C510" s="121" t="s">
        <v>19</v>
      </c>
      <c r="D510" s="121" t="s">
        <v>12</v>
      </c>
      <c r="E510" s="122">
        <v>42990</v>
      </c>
      <c r="F510" s="123">
        <v>4.4000000000000004</v>
      </c>
      <c r="G510" s="124" t="s">
        <v>13</v>
      </c>
      <c r="H510" s="121" t="s">
        <v>14</v>
      </c>
      <c r="I510" s="124">
        <v>1</v>
      </c>
      <c r="J510" s="124" t="s">
        <v>15</v>
      </c>
      <c r="K510" s="124" t="s">
        <v>103</v>
      </c>
      <c r="L510" s="121" t="s">
        <v>105</v>
      </c>
      <c r="M510" s="121" t="s">
        <v>14</v>
      </c>
    </row>
    <row r="511" spans="1:13" x14ac:dyDescent="0.2">
      <c r="A511" s="121" t="s">
        <v>101</v>
      </c>
      <c r="B511" s="121" t="s">
        <v>102</v>
      </c>
      <c r="C511" s="121" t="s">
        <v>19</v>
      </c>
      <c r="D511" s="121" t="s">
        <v>12</v>
      </c>
      <c r="E511" s="122">
        <v>42990</v>
      </c>
      <c r="F511" s="123">
        <v>42.163704000000003</v>
      </c>
      <c r="G511" s="124" t="s">
        <v>16</v>
      </c>
      <c r="H511" s="121" t="s">
        <v>14</v>
      </c>
      <c r="I511" s="124">
        <v>1</v>
      </c>
      <c r="J511" s="124" t="s">
        <v>15</v>
      </c>
      <c r="K511" s="124" t="s">
        <v>103</v>
      </c>
      <c r="L511" s="121" t="s">
        <v>105</v>
      </c>
      <c r="M511" s="121" t="s">
        <v>14</v>
      </c>
    </row>
    <row r="512" spans="1:13" x14ac:dyDescent="0.2">
      <c r="A512" s="121" t="s">
        <v>101</v>
      </c>
      <c r="B512" s="121" t="s">
        <v>102</v>
      </c>
      <c r="C512" s="121" t="s">
        <v>19</v>
      </c>
      <c r="D512" s="121" t="s">
        <v>12</v>
      </c>
      <c r="E512" s="122">
        <v>42990</v>
      </c>
      <c r="F512" s="123">
        <v>0.92800000000000005</v>
      </c>
      <c r="G512" s="124" t="s">
        <v>13</v>
      </c>
      <c r="H512" s="121" t="s">
        <v>18</v>
      </c>
      <c r="I512" s="124">
        <v>1</v>
      </c>
      <c r="J512" s="124" t="s">
        <v>15</v>
      </c>
      <c r="K512" s="124" t="s">
        <v>103</v>
      </c>
      <c r="L512" s="121" t="s">
        <v>105</v>
      </c>
      <c r="M512" s="121" t="s">
        <v>17</v>
      </c>
    </row>
    <row r="513" spans="1:13" x14ac:dyDescent="0.2">
      <c r="A513" s="121" t="s">
        <v>101</v>
      </c>
      <c r="B513" s="121" t="s">
        <v>102</v>
      </c>
      <c r="C513" s="121" t="s">
        <v>19</v>
      </c>
      <c r="D513" s="121" t="s">
        <v>12</v>
      </c>
      <c r="E513" s="122">
        <v>42990</v>
      </c>
      <c r="F513" s="123">
        <v>14.472902400000001</v>
      </c>
      <c r="G513" s="124" t="s">
        <v>16</v>
      </c>
      <c r="H513" s="121" t="s">
        <v>18</v>
      </c>
      <c r="I513" s="124">
        <v>1</v>
      </c>
      <c r="J513" s="124" t="s">
        <v>15</v>
      </c>
      <c r="K513" s="124" t="s">
        <v>103</v>
      </c>
      <c r="L513" s="121" t="s">
        <v>105</v>
      </c>
      <c r="M513" s="121" t="s">
        <v>17</v>
      </c>
    </row>
    <row r="514" spans="1:13" x14ac:dyDescent="0.2">
      <c r="A514" s="121" t="s">
        <v>101</v>
      </c>
      <c r="B514" s="121" t="s">
        <v>102</v>
      </c>
      <c r="C514" s="121" t="s">
        <v>19</v>
      </c>
      <c r="D514" s="121" t="s">
        <v>12</v>
      </c>
      <c r="E514" s="122">
        <v>42984</v>
      </c>
      <c r="F514" s="123">
        <v>5.32</v>
      </c>
      <c r="G514" s="124" t="s">
        <v>13</v>
      </c>
      <c r="H514" s="121" t="s">
        <v>14</v>
      </c>
      <c r="I514" s="124">
        <v>1</v>
      </c>
      <c r="J514" s="124" t="s">
        <v>15</v>
      </c>
      <c r="K514" s="124" t="s">
        <v>103</v>
      </c>
      <c r="L514" s="121" t="s">
        <v>105</v>
      </c>
      <c r="M514" s="121" t="s">
        <v>14</v>
      </c>
    </row>
    <row r="515" spans="1:13" x14ac:dyDescent="0.2">
      <c r="A515" s="121" t="s">
        <v>101</v>
      </c>
      <c r="B515" s="121" t="s">
        <v>102</v>
      </c>
      <c r="C515" s="121" t="s">
        <v>19</v>
      </c>
      <c r="D515" s="121" t="s">
        <v>12</v>
      </c>
      <c r="E515" s="122">
        <v>42984</v>
      </c>
      <c r="F515" s="123">
        <v>54.041198399999999</v>
      </c>
      <c r="G515" s="124" t="s">
        <v>16</v>
      </c>
      <c r="H515" s="121" t="s">
        <v>14</v>
      </c>
      <c r="I515" s="124">
        <v>1</v>
      </c>
      <c r="J515" s="124" t="s">
        <v>15</v>
      </c>
      <c r="K515" s="124" t="s">
        <v>103</v>
      </c>
      <c r="L515" s="121" t="s">
        <v>105</v>
      </c>
      <c r="M515" s="121" t="s">
        <v>14</v>
      </c>
    </row>
    <row r="516" spans="1:13" x14ac:dyDescent="0.2">
      <c r="A516" s="121" t="s">
        <v>101</v>
      </c>
      <c r="B516" s="121" t="s">
        <v>102</v>
      </c>
      <c r="C516" s="121" t="s">
        <v>19</v>
      </c>
      <c r="D516" s="121" t="s">
        <v>12</v>
      </c>
      <c r="E516" s="122">
        <v>42984</v>
      </c>
      <c r="F516" s="123">
        <v>1.07</v>
      </c>
      <c r="G516" s="124" t="s">
        <v>13</v>
      </c>
      <c r="H516" s="121" t="s">
        <v>18</v>
      </c>
      <c r="I516" s="124">
        <v>1</v>
      </c>
      <c r="J516" s="124" t="s">
        <v>15</v>
      </c>
      <c r="K516" s="124" t="s">
        <v>103</v>
      </c>
      <c r="L516" s="121" t="s">
        <v>105</v>
      </c>
      <c r="M516" s="121" t="s">
        <v>17</v>
      </c>
    </row>
    <row r="517" spans="1:13" x14ac:dyDescent="0.2">
      <c r="A517" s="121" t="s">
        <v>101</v>
      </c>
      <c r="B517" s="121" t="s">
        <v>102</v>
      </c>
      <c r="C517" s="121" t="s">
        <v>19</v>
      </c>
      <c r="D517" s="121" t="s">
        <v>12</v>
      </c>
      <c r="E517" s="122">
        <v>42984</v>
      </c>
      <c r="F517" s="123">
        <v>15.17046</v>
      </c>
      <c r="G517" s="124" t="s">
        <v>16</v>
      </c>
      <c r="H517" s="121" t="s">
        <v>18</v>
      </c>
      <c r="I517" s="124">
        <v>1</v>
      </c>
      <c r="J517" s="124" t="s">
        <v>15</v>
      </c>
      <c r="K517" s="124" t="s">
        <v>103</v>
      </c>
      <c r="L517" s="121" t="s">
        <v>105</v>
      </c>
      <c r="M517" s="121" t="s">
        <v>17</v>
      </c>
    </row>
    <row r="518" spans="1:13" x14ac:dyDescent="0.2">
      <c r="A518" s="121" t="s">
        <v>101</v>
      </c>
      <c r="B518" s="121" t="s">
        <v>102</v>
      </c>
      <c r="C518" s="121" t="s">
        <v>19</v>
      </c>
      <c r="D518" s="121" t="s">
        <v>12</v>
      </c>
      <c r="E518" s="122">
        <v>42971</v>
      </c>
      <c r="F518" s="123">
        <v>4.13</v>
      </c>
      <c r="G518" s="124" t="s">
        <v>13</v>
      </c>
      <c r="H518" s="121" t="s">
        <v>14</v>
      </c>
      <c r="I518" s="124">
        <v>1</v>
      </c>
      <c r="J518" s="124" t="s">
        <v>15</v>
      </c>
      <c r="K518" s="124" t="s">
        <v>103</v>
      </c>
      <c r="L518" s="121" t="s">
        <v>105</v>
      </c>
      <c r="M518" s="121" t="s">
        <v>14</v>
      </c>
    </row>
    <row r="519" spans="1:13" x14ac:dyDescent="0.2">
      <c r="A519" s="121" t="s">
        <v>101</v>
      </c>
      <c r="B519" s="121" t="s">
        <v>102</v>
      </c>
      <c r="C519" s="121" t="s">
        <v>19</v>
      </c>
      <c r="D519" s="121" t="s">
        <v>12</v>
      </c>
      <c r="E519" s="122">
        <v>42971</v>
      </c>
      <c r="F519" s="123">
        <v>46.017451199999996</v>
      </c>
      <c r="G519" s="124" t="s">
        <v>16</v>
      </c>
      <c r="H519" s="121" t="s">
        <v>14</v>
      </c>
      <c r="I519" s="124">
        <v>1</v>
      </c>
      <c r="J519" s="124" t="s">
        <v>15</v>
      </c>
      <c r="K519" s="124" t="s">
        <v>103</v>
      </c>
      <c r="L519" s="121" t="s">
        <v>105</v>
      </c>
      <c r="M519" s="121" t="s">
        <v>14</v>
      </c>
    </row>
    <row r="520" spans="1:13" x14ac:dyDescent="0.2">
      <c r="A520" s="121" t="s">
        <v>101</v>
      </c>
      <c r="B520" s="121" t="s">
        <v>102</v>
      </c>
      <c r="C520" s="121" t="s">
        <v>19</v>
      </c>
      <c r="D520" s="121" t="s">
        <v>12</v>
      </c>
      <c r="E520" s="122">
        <v>42971</v>
      </c>
      <c r="F520" s="123">
        <v>1.61</v>
      </c>
      <c r="G520" s="124" t="s">
        <v>13</v>
      </c>
      <c r="H520" s="121" t="s">
        <v>18</v>
      </c>
      <c r="I520" s="124">
        <v>1</v>
      </c>
      <c r="J520" s="124" t="s">
        <v>15</v>
      </c>
      <c r="K520" s="124" t="s">
        <v>103</v>
      </c>
      <c r="L520" s="121" t="s">
        <v>105</v>
      </c>
      <c r="M520" s="121" t="s">
        <v>17</v>
      </c>
    </row>
    <row r="521" spans="1:13" x14ac:dyDescent="0.2">
      <c r="A521" s="121" t="s">
        <v>101</v>
      </c>
      <c r="B521" s="121" t="s">
        <v>102</v>
      </c>
      <c r="C521" s="121" t="s">
        <v>19</v>
      </c>
      <c r="D521" s="121" t="s">
        <v>12</v>
      </c>
      <c r="E521" s="122">
        <v>42971</v>
      </c>
      <c r="F521" s="123">
        <v>11.816112</v>
      </c>
      <c r="G521" s="124" t="s">
        <v>16</v>
      </c>
      <c r="H521" s="121" t="s">
        <v>18</v>
      </c>
      <c r="I521" s="124">
        <v>1</v>
      </c>
      <c r="J521" s="124" t="s">
        <v>15</v>
      </c>
      <c r="K521" s="124" t="s">
        <v>103</v>
      </c>
      <c r="L521" s="121" t="s">
        <v>105</v>
      </c>
      <c r="M521" s="121" t="s">
        <v>17</v>
      </c>
    </row>
    <row r="522" spans="1:13" x14ac:dyDescent="0.2">
      <c r="A522" s="121" t="s">
        <v>101</v>
      </c>
      <c r="B522" s="121" t="s">
        <v>102</v>
      </c>
      <c r="C522" s="121" t="s">
        <v>19</v>
      </c>
      <c r="D522" s="121" t="s">
        <v>12</v>
      </c>
      <c r="E522" s="122">
        <v>42963</v>
      </c>
      <c r="F522" s="123">
        <v>3.78</v>
      </c>
      <c r="G522" s="124" t="s">
        <v>13</v>
      </c>
      <c r="H522" s="121" t="s">
        <v>14</v>
      </c>
      <c r="I522" s="124">
        <v>1</v>
      </c>
      <c r="J522" s="124" t="s">
        <v>15</v>
      </c>
      <c r="K522" s="124" t="s">
        <v>103</v>
      </c>
      <c r="L522" s="121" t="s">
        <v>105</v>
      </c>
      <c r="M522" s="121" t="s">
        <v>14</v>
      </c>
    </row>
    <row r="523" spans="1:13" x14ac:dyDescent="0.2">
      <c r="A523" s="121" t="s">
        <v>101</v>
      </c>
      <c r="B523" s="121" t="s">
        <v>102</v>
      </c>
      <c r="C523" s="121" t="s">
        <v>19</v>
      </c>
      <c r="D523" s="121" t="s">
        <v>12</v>
      </c>
      <c r="E523" s="122">
        <v>42963</v>
      </c>
      <c r="F523" s="123">
        <v>47.634577200000003</v>
      </c>
      <c r="G523" s="124" t="s">
        <v>16</v>
      </c>
      <c r="H523" s="121" t="s">
        <v>14</v>
      </c>
      <c r="I523" s="124">
        <v>1</v>
      </c>
      <c r="J523" s="124" t="s">
        <v>15</v>
      </c>
      <c r="K523" s="124" t="s">
        <v>103</v>
      </c>
      <c r="L523" s="121" t="s">
        <v>105</v>
      </c>
      <c r="M523" s="121" t="s">
        <v>14</v>
      </c>
    </row>
    <row r="524" spans="1:13" x14ac:dyDescent="0.2">
      <c r="A524" s="121" t="s">
        <v>101</v>
      </c>
      <c r="B524" s="121" t="s">
        <v>102</v>
      </c>
      <c r="C524" s="121" t="s">
        <v>19</v>
      </c>
      <c r="D524" s="121" t="s">
        <v>12</v>
      </c>
      <c r="E524" s="122">
        <v>42963</v>
      </c>
      <c r="F524" s="123">
        <v>1.57</v>
      </c>
      <c r="G524" s="124" t="s">
        <v>13</v>
      </c>
      <c r="H524" s="121" t="s">
        <v>18</v>
      </c>
      <c r="I524" s="124">
        <v>1</v>
      </c>
      <c r="J524" s="124" t="s">
        <v>15</v>
      </c>
      <c r="K524" s="124" t="s">
        <v>103</v>
      </c>
      <c r="L524" s="121" t="s">
        <v>105</v>
      </c>
      <c r="M524" s="121" t="s">
        <v>17</v>
      </c>
    </row>
    <row r="525" spans="1:13" x14ac:dyDescent="0.2">
      <c r="A525" s="121" t="s">
        <v>101</v>
      </c>
      <c r="B525" s="121" t="s">
        <v>102</v>
      </c>
      <c r="C525" s="121" t="s">
        <v>19</v>
      </c>
      <c r="D525" s="121" t="s">
        <v>12</v>
      </c>
      <c r="E525" s="122">
        <v>42963</v>
      </c>
      <c r="F525" s="123">
        <v>16.760064</v>
      </c>
      <c r="G525" s="124" t="s">
        <v>16</v>
      </c>
      <c r="H525" s="121" t="s">
        <v>18</v>
      </c>
      <c r="I525" s="124">
        <v>1</v>
      </c>
      <c r="J525" s="124" t="s">
        <v>15</v>
      </c>
      <c r="K525" s="124" t="s">
        <v>103</v>
      </c>
      <c r="L525" s="121" t="s">
        <v>105</v>
      </c>
      <c r="M525" s="121" t="s">
        <v>17</v>
      </c>
    </row>
    <row r="526" spans="1:13" x14ac:dyDescent="0.2">
      <c r="A526" s="121" t="s">
        <v>101</v>
      </c>
      <c r="B526" s="121" t="s">
        <v>102</v>
      </c>
      <c r="C526" s="121" t="s">
        <v>19</v>
      </c>
      <c r="D526" s="121" t="s">
        <v>12</v>
      </c>
      <c r="E526" s="122">
        <v>42956</v>
      </c>
      <c r="F526" s="123">
        <v>4.17</v>
      </c>
      <c r="G526" s="124" t="s">
        <v>13</v>
      </c>
      <c r="H526" s="121" t="s">
        <v>14</v>
      </c>
      <c r="I526" s="124">
        <v>1</v>
      </c>
      <c r="J526" s="124" t="s">
        <v>15</v>
      </c>
      <c r="K526" s="124" t="s">
        <v>103</v>
      </c>
      <c r="L526" s="121" t="s">
        <v>105</v>
      </c>
      <c r="M526" s="121" t="s">
        <v>14</v>
      </c>
    </row>
    <row r="527" spans="1:13" x14ac:dyDescent="0.2">
      <c r="A527" s="121" t="s">
        <v>101</v>
      </c>
      <c r="B527" s="121" t="s">
        <v>102</v>
      </c>
      <c r="C527" s="121" t="s">
        <v>19</v>
      </c>
      <c r="D527" s="121" t="s">
        <v>12</v>
      </c>
      <c r="E527" s="122">
        <v>42956</v>
      </c>
      <c r="F527" s="123">
        <v>46.602252</v>
      </c>
      <c r="G527" s="124" t="s">
        <v>16</v>
      </c>
      <c r="H527" s="121" t="s">
        <v>14</v>
      </c>
      <c r="I527" s="124">
        <v>1</v>
      </c>
      <c r="J527" s="124" t="s">
        <v>15</v>
      </c>
      <c r="K527" s="124" t="s">
        <v>103</v>
      </c>
      <c r="L527" s="121" t="s">
        <v>105</v>
      </c>
      <c r="M527" s="121" t="s">
        <v>14</v>
      </c>
    </row>
    <row r="528" spans="1:13" x14ac:dyDescent="0.2">
      <c r="A528" s="121" t="s">
        <v>101</v>
      </c>
      <c r="B528" s="121" t="s">
        <v>102</v>
      </c>
      <c r="C528" s="121" t="s">
        <v>19</v>
      </c>
      <c r="D528" s="121" t="s">
        <v>12</v>
      </c>
      <c r="E528" s="122">
        <v>42956</v>
      </c>
      <c r="F528" s="123">
        <v>1.53</v>
      </c>
      <c r="G528" s="124" t="s">
        <v>13</v>
      </c>
      <c r="H528" s="121" t="s">
        <v>18</v>
      </c>
      <c r="I528" s="124">
        <v>1</v>
      </c>
      <c r="J528" s="124" t="s">
        <v>15</v>
      </c>
      <c r="K528" s="124" t="s">
        <v>103</v>
      </c>
      <c r="L528" s="121" t="s">
        <v>105</v>
      </c>
      <c r="M528" s="121" t="s">
        <v>17</v>
      </c>
    </row>
    <row r="529" spans="1:13" x14ac:dyDescent="0.2">
      <c r="A529" s="121" t="s">
        <v>101</v>
      </c>
      <c r="B529" s="121" t="s">
        <v>102</v>
      </c>
      <c r="C529" s="121" t="s">
        <v>19</v>
      </c>
      <c r="D529" s="121" t="s">
        <v>12</v>
      </c>
      <c r="E529" s="122">
        <v>42956</v>
      </c>
      <c r="F529" s="123">
        <v>20.926728000000001</v>
      </c>
      <c r="G529" s="124" t="s">
        <v>16</v>
      </c>
      <c r="H529" s="121" t="s">
        <v>18</v>
      </c>
      <c r="I529" s="124">
        <v>1</v>
      </c>
      <c r="J529" s="124" t="s">
        <v>15</v>
      </c>
      <c r="K529" s="124" t="s">
        <v>103</v>
      </c>
      <c r="L529" s="121" t="s">
        <v>105</v>
      </c>
      <c r="M529" s="121" t="s">
        <v>17</v>
      </c>
    </row>
    <row r="530" spans="1:13" x14ac:dyDescent="0.2">
      <c r="A530" s="121" t="s">
        <v>101</v>
      </c>
      <c r="B530" s="121" t="s">
        <v>102</v>
      </c>
      <c r="C530" s="121" t="s">
        <v>19</v>
      </c>
      <c r="D530" s="121" t="s">
        <v>12</v>
      </c>
      <c r="E530" s="122">
        <v>42949</v>
      </c>
      <c r="F530" s="123">
        <v>3.85</v>
      </c>
      <c r="G530" s="124" t="s">
        <v>13</v>
      </c>
      <c r="H530" s="121" t="s">
        <v>14</v>
      </c>
      <c r="I530" s="124">
        <v>1</v>
      </c>
      <c r="J530" s="124" t="s">
        <v>15</v>
      </c>
      <c r="K530" s="124" t="s">
        <v>103</v>
      </c>
      <c r="L530" s="121" t="s">
        <v>105</v>
      </c>
      <c r="M530" s="121" t="s">
        <v>14</v>
      </c>
    </row>
    <row r="531" spans="1:13" x14ac:dyDescent="0.2">
      <c r="A531" s="121" t="s">
        <v>101</v>
      </c>
      <c r="B531" s="121" t="s">
        <v>102</v>
      </c>
      <c r="C531" s="121" t="s">
        <v>19</v>
      </c>
      <c r="D531" s="121" t="s">
        <v>12</v>
      </c>
      <c r="E531" s="122">
        <v>42949</v>
      </c>
      <c r="F531" s="123">
        <v>47.681865000000002</v>
      </c>
      <c r="G531" s="124" t="s">
        <v>16</v>
      </c>
      <c r="H531" s="121" t="s">
        <v>14</v>
      </c>
      <c r="I531" s="124">
        <v>1</v>
      </c>
      <c r="J531" s="124" t="s">
        <v>15</v>
      </c>
      <c r="K531" s="124" t="s">
        <v>103</v>
      </c>
      <c r="L531" s="121" t="s">
        <v>105</v>
      </c>
      <c r="M531" s="121" t="s">
        <v>14</v>
      </c>
    </row>
    <row r="532" spans="1:13" x14ac:dyDescent="0.2">
      <c r="A532" s="121" t="s">
        <v>101</v>
      </c>
      <c r="B532" s="121" t="s">
        <v>102</v>
      </c>
      <c r="C532" s="121" t="s">
        <v>19</v>
      </c>
      <c r="D532" s="121" t="s">
        <v>12</v>
      </c>
      <c r="E532" s="122">
        <v>42949</v>
      </c>
      <c r="F532" s="123">
        <v>1.22</v>
      </c>
      <c r="G532" s="124" t="s">
        <v>13</v>
      </c>
      <c r="H532" s="121" t="s">
        <v>18</v>
      </c>
      <c r="I532" s="124">
        <v>1</v>
      </c>
      <c r="J532" s="124" t="s">
        <v>15</v>
      </c>
      <c r="K532" s="124" t="s">
        <v>103</v>
      </c>
      <c r="L532" s="121" t="s">
        <v>105</v>
      </c>
      <c r="M532" s="121" t="s">
        <v>17</v>
      </c>
    </row>
    <row r="533" spans="1:13" x14ac:dyDescent="0.2">
      <c r="A533" s="121" t="s">
        <v>101</v>
      </c>
      <c r="B533" s="121" t="s">
        <v>102</v>
      </c>
      <c r="C533" s="121" t="s">
        <v>19</v>
      </c>
      <c r="D533" s="121" t="s">
        <v>12</v>
      </c>
      <c r="E533" s="122">
        <v>42949</v>
      </c>
      <c r="F533" s="123">
        <v>19.026876000000001</v>
      </c>
      <c r="G533" s="124" t="s">
        <v>16</v>
      </c>
      <c r="H533" s="121" t="s">
        <v>18</v>
      </c>
      <c r="I533" s="124">
        <v>1</v>
      </c>
      <c r="J533" s="124" t="s">
        <v>15</v>
      </c>
      <c r="K533" s="124" t="s">
        <v>103</v>
      </c>
      <c r="L533" s="121" t="s">
        <v>105</v>
      </c>
      <c r="M533" s="121" t="s">
        <v>17</v>
      </c>
    </row>
    <row r="534" spans="1:13" x14ac:dyDescent="0.2">
      <c r="A534" s="121" t="s">
        <v>101</v>
      </c>
      <c r="B534" s="121" t="s">
        <v>102</v>
      </c>
      <c r="C534" s="121" t="s">
        <v>19</v>
      </c>
      <c r="D534" s="121" t="s">
        <v>12</v>
      </c>
      <c r="E534" s="122">
        <v>42941</v>
      </c>
      <c r="F534" s="123">
        <v>3.73</v>
      </c>
      <c r="G534" s="124" t="s">
        <v>13</v>
      </c>
      <c r="H534" s="121" t="s">
        <v>14</v>
      </c>
      <c r="I534" s="124">
        <v>1</v>
      </c>
      <c r="J534" s="124" t="s">
        <v>15</v>
      </c>
      <c r="K534" s="124" t="s">
        <v>103</v>
      </c>
      <c r="L534" s="121" t="s">
        <v>105</v>
      </c>
      <c r="M534" s="121" t="s">
        <v>14</v>
      </c>
    </row>
    <row r="535" spans="1:13" x14ac:dyDescent="0.2">
      <c r="A535" s="121" t="s">
        <v>101</v>
      </c>
      <c r="B535" s="121" t="s">
        <v>102</v>
      </c>
      <c r="C535" s="121" t="s">
        <v>19</v>
      </c>
      <c r="D535" s="121" t="s">
        <v>12</v>
      </c>
      <c r="E535" s="122">
        <v>42941</v>
      </c>
      <c r="F535" s="123">
        <v>59.074471799999998</v>
      </c>
      <c r="G535" s="124" t="s">
        <v>16</v>
      </c>
      <c r="H535" s="121" t="s">
        <v>14</v>
      </c>
      <c r="I535" s="124">
        <v>1</v>
      </c>
      <c r="J535" s="124" t="s">
        <v>15</v>
      </c>
      <c r="K535" s="124" t="s">
        <v>103</v>
      </c>
      <c r="L535" s="121" t="s">
        <v>105</v>
      </c>
      <c r="M535" s="121" t="s">
        <v>14</v>
      </c>
    </row>
    <row r="536" spans="1:13" x14ac:dyDescent="0.2">
      <c r="A536" s="121" t="s">
        <v>101</v>
      </c>
      <c r="B536" s="121" t="s">
        <v>102</v>
      </c>
      <c r="C536" s="121" t="s">
        <v>19</v>
      </c>
      <c r="D536" s="121" t="s">
        <v>12</v>
      </c>
      <c r="E536" s="122">
        <v>42941</v>
      </c>
      <c r="F536" s="123">
        <v>1.61</v>
      </c>
      <c r="G536" s="124" t="s">
        <v>13</v>
      </c>
      <c r="H536" s="121" t="s">
        <v>18</v>
      </c>
      <c r="I536" s="124">
        <v>1</v>
      </c>
      <c r="J536" s="124" t="s">
        <v>15</v>
      </c>
      <c r="K536" s="124" t="s">
        <v>103</v>
      </c>
      <c r="L536" s="121" t="s">
        <v>105</v>
      </c>
      <c r="M536" s="121" t="s">
        <v>17</v>
      </c>
    </row>
    <row r="537" spans="1:13" x14ac:dyDescent="0.2">
      <c r="A537" s="121" t="s">
        <v>101</v>
      </c>
      <c r="B537" s="121" t="s">
        <v>102</v>
      </c>
      <c r="C537" s="121" t="s">
        <v>19</v>
      </c>
      <c r="D537" s="121" t="s">
        <v>12</v>
      </c>
      <c r="E537" s="122">
        <v>42941</v>
      </c>
      <c r="F537" s="123">
        <v>29.808827999999998</v>
      </c>
      <c r="G537" s="124" t="s">
        <v>16</v>
      </c>
      <c r="H537" s="121" t="s">
        <v>18</v>
      </c>
      <c r="I537" s="124">
        <v>1</v>
      </c>
      <c r="J537" s="124" t="s">
        <v>15</v>
      </c>
      <c r="K537" s="124" t="s">
        <v>103</v>
      </c>
      <c r="L537" s="121" t="s">
        <v>105</v>
      </c>
      <c r="M537" s="121" t="s">
        <v>17</v>
      </c>
    </row>
    <row r="538" spans="1:13" x14ac:dyDescent="0.2">
      <c r="A538" s="121" t="s">
        <v>101</v>
      </c>
      <c r="B538" s="121" t="s">
        <v>102</v>
      </c>
      <c r="C538" s="121" t="s">
        <v>19</v>
      </c>
      <c r="D538" s="121" t="s">
        <v>12</v>
      </c>
      <c r="E538" s="122">
        <v>42934</v>
      </c>
      <c r="F538" s="123">
        <v>3.77</v>
      </c>
      <c r="G538" s="124" t="s">
        <v>13</v>
      </c>
      <c r="H538" s="121" t="s">
        <v>14</v>
      </c>
      <c r="I538" s="124">
        <v>1</v>
      </c>
      <c r="J538" s="124" t="s">
        <v>15</v>
      </c>
      <c r="K538" s="124" t="s">
        <v>103</v>
      </c>
      <c r="L538" s="121" t="s">
        <v>105</v>
      </c>
      <c r="M538" s="121" t="s">
        <v>14</v>
      </c>
    </row>
    <row r="539" spans="1:13" x14ac:dyDescent="0.2">
      <c r="A539" s="121" t="s">
        <v>101</v>
      </c>
      <c r="B539" s="121" t="s">
        <v>102</v>
      </c>
      <c r="C539" s="121" t="s">
        <v>19</v>
      </c>
      <c r="D539" s="121" t="s">
        <v>12</v>
      </c>
      <c r="E539" s="122">
        <v>42934</v>
      </c>
      <c r="F539" s="123">
        <v>50.275438200000004</v>
      </c>
      <c r="G539" s="124" t="s">
        <v>16</v>
      </c>
      <c r="H539" s="121" t="s">
        <v>14</v>
      </c>
      <c r="I539" s="124">
        <v>1</v>
      </c>
      <c r="J539" s="124" t="s">
        <v>15</v>
      </c>
      <c r="K539" s="124" t="s">
        <v>103</v>
      </c>
      <c r="L539" s="121" t="s">
        <v>105</v>
      </c>
      <c r="M539" s="121" t="s">
        <v>14</v>
      </c>
    </row>
    <row r="540" spans="1:13" x14ac:dyDescent="0.2">
      <c r="A540" s="121" t="s">
        <v>101</v>
      </c>
      <c r="B540" s="121" t="s">
        <v>102</v>
      </c>
      <c r="C540" s="121" t="s">
        <v>19</v>
      </c>
      <c r="D540" s="121" t="s">
        <v>12</v>
      </c>
      <c r="E540" s="122">
        <v>42934</v>
      </c>
      <c r="F540" s="123">
        <v>1.87</v>
      </c>
      <c r="G540" s="124" t="s">
        <v>13</v>
      </c>
      <c r="H540" s="121" t="s">
        <v>18</v>
      </c>
      <c r="I540" s="124">
        <v>1</v>
      </c>
      <c r="J540" s="124" t="s">
        <v>15</v>
      </c>
      <c r="K540" s="124" t="s">
        <v>103</v>
      </c>
      <c r="L540" s="121" t="s">
        <v>105</v>
      </c>
      <c r="M540" s="121" t="s">
        <v>17</v>
      </c>
    </row>
    <row r="541" spans="1:13" x14ac:dyDescent="0.2">
      <c r="A541" s="121" t="s">
        <v>101</v>
      </c>
      <c r="B541" s="121" t="s">
        <v>102</v>
      </c>
      <c r="C541" s="121" t="s">
        <v>19</v>
      </c>
      <c r="D541" s="121" t="s">
        <v>12</v>
      </c>
      <c r="E541" s="122">
        <v>42934</v>
      </c>
      <c r="F541" s="123">
        <v>29.632020000000001</v>
      </c>
      <c r="G541" s="124" t="s">
        <v>16</v>
      </c>
      <c r="H541" s="121" t="s">
        <v>18</v>
      </c>
      <c r="I541" s="124">
        <v>1</v>
      </c>
      <c r="J541" s="124" t="s">
        <v>15</v>
      </c>
      <c r="K541" s="124" t="s">
        <v>103</v>
      </c>
      <c r="L541" s="121" t="s">
        <v>105</v>
      </c>
      <c r="M541" s="121" t="s">
        <v>17</v>
      </c>
    </row>
    <row r="542" spans="1:13" x14ac:dyDescent="0.2">
      <c r="A542" s="121" t="s">
        <v>101</v>
      </c>
      <c r="B542" s="121" t="s">
        <v>102</v>
      </c>
      <c r="C542" s="121" t="s">
        <v>19</v>
      </c>
      <c r="D542" s="121" t="s">
        <v>12</v>
      </c>
      <c r="E542" s="122">
        <v>42927</v>
      </c>
      <c r="F542" s="123">
        <v>4.09</v>
      </c>
      <c r="G542" s="124" t="s">
        <v>13</v>
      </c>
      <c r="H542" s="121" t="s">
        <v>14</v>
      </c>
      <c r="I542" s="124">
        <v>1</v>
      </c>
      <c r="J542" s="124" t="s">
        <v>15</v>
      </c>
      <c r="K542" s="124" t="s">
        <v>103</v>
      </c>
      <c r="L542" s="121" t="s">
        <v>105</v>
      </c>
      <c r="M542" s="121" t="s">
        <v>14</v>
      </c>
    </row>
    <row r="543" spans="1:13" x14ac:dyDescent="0.2">
      <c r="A543" s="121" t="s">
        <v>101</v>
      </c>
      <c r="B543" s="121" t="s">
        <v>102</v>
      </c>
      <c r="C543" s="121" t="s">
        <v>19</v>
      </c>
      <c r="D543" s="121" t="s">
        <v>12</v>
      </c>
      <c r="E543" s="122">
        <v>42927</v>
      </c>
      <c r="F543" s="123">
        <v>53.553642000000004</v>
      </c>
      <c r="G543" s="124" t="s">
        <v>16</v>
      </c>
      <c r="H543" s="121" t="s">
        <v>14</v>
      </c>
      <c r="I543" s="124">
        <v>1</v>
      </c>
      <c r="J543" s="124" t="s">
        <v>15</v>
      </c>
      <c r="K543" s="124" t="s">
        <v>103</v>
      </c>
      <c r="L543" s="121" t="s">
        <v>105</v>
      </c>
      <c r="M543" s="121" t="s">
        <v>14</v>
      </c>
    </row>
    <row r="544" spans="1:13" x14ac:dyDescent="0.2">
      <c r="A544" s="121" t="s">
        <v>101</v>
      </c>
      <c r="B544" s="121" t="s">
        <v>102</v>
      </c>
      <c r="C544" s="121" t="s">
        <v>19</v>
      </c>
      <c r="D544" s="121" t="s">
        <v>12</v>
      </c>
      <c r="E544" s="122">
        <v>42927</v>
      </c>
      <c r="F544" s="123">
        <v>1.43</v>
      </c>
      <c r="G544" s="124" t="s">
        <v>13</v>
      </c>
      <c r="H544" s="121" t="s">
        <v>18</v>
      </c>
      <c r="I544" s="124">
        <v>1</v>
      </c>
      <c r="J544" s="124" t="s">
        <v>15</v>
      </c>
      <c r="K544" s="124" t="s">
        <v>103</v>
      </c>
      <c r="L544" s="121" t="s">
        <v>105</v>
      </c>
      <c r="M544" s="121" t="s">
        <v>17</v>
      </c>
    </row>
    <row r="545" spans="1:13" x14ac:dyDescent="0.2">
      <c r="A545" s="121" t="s">
        <v>101</v>
      </c>
      <c r="B545" s="121" t="s">
        <v>102</v>
      </c>
      <c r="C545" s="121" t="s">
        <v>19</v>
      </c>
      <c r="D545" s="121" t="s">
        <v>12</v>
      </c>
      <c r="E545" s="122">
        <v>42927</v>
      </c>
      <c r="F545" s="123">
        <v>21.586421999999999</v>
      </c>
      <c r="G545" s="124" t="s">
        <v>16</v>
      </c>
      <c r="H545" s="121" t="s">
        <v>18</v>
      </c>
      <c r="I545" s="124">
        <v>1</v>
      </c>
      <c r="J545" s="124" t="s">
        <v>15</v>
      </c>
      <c r="K545" s="124" t="s">
        <v>103</v>
      </c>
      <c r="L545" s="121" t="s">
        <v>105</v>
      </c>
      <c r="M545" s="121" t="s">
        <v>17</v>
      </c>
    </row>
    <row r="546" spans="1:13" x14ac:dyDescent="0.2">
      <c r="A546" s="121" t="s">
        <v>101</v>
      </c>
      <c r="B546" s="121" t="s">
        <v>102</v>
      </c>
      <c r="C546" s="121" t="s">
        <v>19</v>
      </c>
      <c r="D546" s="121" t="s">
        <v>12</v>
      </c>
      <c r="E546" s="122">
        <v>42921</v>
      </c>
      <c r="F546" s="123">
        <v>4.5599999999999996</v>
      </c>
      <c r="G546" s="124" t="s">
        <v>13</v>
      </c>
      <c r="H546" s="121" t="s">
        <v>14</v>
      </c>
      <c r="I546" s="124">
        <v>1</v>
      </c>
      <c r="J546" s="124" t="s">
        <v>15</v>
      </c>
      <c r="K546" s="124" t="s">
        <v>103</v>
      </c>
      <c r="L546" s="121" t="s">
        <v>105</v>
      </c>
      <c r="M546" s="121" t="s">
        <v>14</v>
      </c>
    </row>
    <row r="547" spans="1:13" x14ac:dyDescent="0.2">
      <c r="A547" s="121" t="s">
        <v>101</v>
      </c>
      <c r="B547" s="121" t="s">
        <v>102</v>
      </c>
      <c r="C547" s="121" t="s">
        <v>19</v>
      </c>
      <c r="D547" s="121" t="s">
        <v>12</v>
      </c>
      <c r="E547" s="122">
        <v>42921</v>
      </c>
      <c r="F547" s="123">
        <v>75.870648000000003</v>
      </c>
      <c r="G547" s="124" t="s">
        <v>16</v>
      </c>
      <c r="H547" s="121" t="s">
        <v>14</v>
      </c>
      <c r="I547" s="124">
        <v>1</v>
      </c>
      <c r="J547" s="124" t="s">
        <v>15</v>
      </c>
      <c r="K547" s="124" t="s">
        <v>103</v>
      </c>
      <c r="L547" s="121" t="s">
        <v>105</v>
      </c>
      <c r="M547" s="121" t="s">
        <v>14</v>
      </c>
    </row>
    <row r="548" spans="1:13" x14ac:dyDescent="0.2">
      <c r="A548" s="121" t="s">
        <v>101</v>
      </c>
      <c r="B548" s="121" t="s">
        <v>102</v>
      </c>
      <c r="C548" s="121" t="s">
        <v>19</v>
      </c>
      <c r="D548" s="121" t="s">
        <v>12</v>
      </c>
      <c r="E548" s="122">
        <v>42921</v>
      </c>
      <c r="F548" s="123">
        <v>1.55</v>
      </c>
      <c r="G548" s="124" t="s">
        <v>13</v>
      </c>
      <c r="H548" s="121" t="s">
        <v>18</v>
      </c>
      <c r="I548" s="124">
        <v>1</v>
      </c>
      <c r="J548" s="124" t="s">
        <v>15</v>
      </c>
      <c r="K548" s="124" t="s">
        <v>103</v>
      </c>
      <c r="L548" s="121" t="s">
        <v>105</v>
      </c>
      <c r="M548" s="121" t="s">
        <v>17</v>
      </c>
    </row>
    <row r="549" spans="1:13" x14ac:dyDescent="0.2">
      <c r="A549" s="121" t="s">
        <v>101</v>
      </c>
      <c r="B549" s="121" t="s">
        <v>102</v>
      </c>
      <c r="C549" s="121" t="s">
        <v>19</v>
      </c>
      <c r="D549" s="121" t="s">
        <v>12</v>
      </c>
      <c r="E549" s="122">
        <v>42921</v>
      </c>
      <c r="F549" s="123">
        <v>28.827210000000001</v>
      </c>
      <c r="G549" s="124" t="s">
        <v>16</v>
      </c>
      <c r="H549" s="121" t="s">
        <v>18</v>
      </c>
      <c r="I549" s="124">
        <v>1</v>
      </c>
      <c r="J549" s="124" t="s">
        <v>15</v>
      </c>
      <c r="K549" s="124" t="s">
        <v>103</v>
      </c>
      <c r="L549" s="121" t="s">
        <v>105</v>
      </c>
      <c r="M549" s="121" t="s">
        <v>17</v>
      </c>
    </row>
    <row r="550" spans="1:13" x14ac:dyDescent="0.2">
      <c r="A550" s="121" t="s">
        <v>101</v>
      </c>
      <c r="B550" s="121" t="s">
        <v>102</v>
      </c>
      <c r="C550" s="121" t="s">
        <v>19</v>
      </c>
      <c r="D550" s="121" t="s">
        <v>12</v>
      </c>
      <c r="E550" s="122">
        <v>42912</v>
      </c>
      <c r="F550" s="123">
        <v>3.57</v>
      </c>
      <c r="G550" s="124" t="s">
        <v>13</v>
      </c>
      <c r="H550" s="121" t="s">
        <v>14</v>
      </c>
      <c r="I550" s="124">
        <v>1</v>
      </c>
      <c r="J550" s="124" t="s">
        <v>15</v>
      </c>
      <c r="K550" s="124" t="s">
        <v>103</v>
      </c>
      <c r="L550" s="121" t="s">
        <v>105</v>
      </c>
      <c r="M550" s="121" t="s">
        <v>14</v>
      </c>
    </row>
    <row r="551" spans="1:13" x14ac:dyDescent="0.2">
      <c r="A551" s="121" t="s">
        <v>101</v>
      </c>
      <c r="B551" s="121" t="s">
        <v>102</v>
      </c>
      <c r="C551" s="121" t="s">
        <v>19</v>
      </c>
      <c r="D551" s="121" t="s">
        <v>12</v>
      </c>
      <c r="E551" s="122">
        <v>42912</v>
      </c>
      <c r="F551" s="123">
        <v>54.873113400000001</v>
      </c>
      <c r="G551" s="124" t="s">
        <v>16</v>
      </c>
      <c r="H551" s="121" t="s">
        <v>14</v>
      </c>
      <c r="I551" s="124">
        <v>1</v>
      </c>
      <c r="J551" s="124" t="s">
        <v>15</v>
      </c>
      <c r="K551" s="124" t="s">
        <v>103</v>
      </c>
      <c r="L551" s="121" t="s">
        <v>105</v>
      </c>
      <c r="M551" s="121" t="s">
        <v>14</v>
      </c>
    </row>
    <row r="552" spans="1:13" x14ac:dyDescent="0.2">
      <c r="A552" s="121" t="s">
        <v>101</v>
      </c>
      <c r="B552" s="121" t="s">
        <v>102</v>
      </c>
      <c r="C552" s="121" t="s">
        <v>19</v>
      </c>
      <c r="D552" s="121" t="s">
        <v>12</v>
      </c>
      <c r="E552" s="122">
        <v>42912</v>
      </c>
      <c r="F552" s="123">
        <v>1.29</v>
      </c>
      <c r="G552" s="124" t="s">
        <v>13</v>
      </c>
      <c r="H552" s="121" t="s">
        <v>18</v>
      </c>
      <c r="I552" s="124">
        <v>1</v>
      </c>
      <c r="J552" s="124" t="s">
        <v>15</v>
      </c>
      <c r="K552" s="124" t="s">
        <v>103</v>
      </c>
      <c r="L552" s="121" t="s">
        <v>105</v>
      </c>
      <c r="M552" s="121" t="s">
        <v>17</v>
      </c>
    </row>
    <row r="553" spans="1:13" x14ac:dyDescent="0.2">
      <c r="A553" s="121" t="s">
        <v>101</v>
      </c>
      <c r="B553" s="121" t="s">
        <v>102</v>
      </c>
      <c r="C553" s="121" t="s">
        <v>19</v>
      </c>
      <c r="D553" s="121" t="s">
        <v>12</v>
      </c>
      <c r="E553" s="122">
        <v>42912</v>
      </c>
      <c r="F553" s="123">
        <v>22.377887999999999</v>
      </c>
      <c r="G553" s="124" t="s">
        <v>16</v>
      </c>
      <c r="H553" s="121" t="s">
        <v>18</v>
      </c>
      <c r="I553" s="124">
        <v>1</v>
      </c>
      <c r="J553" s="124" t="s">
        <v>15</v>
      </c>
      <c r="K553" s="124" t="s">
        <v>103</v>
      </c>
      <c r="L553" s="121" t="s">
        <v>105</v>
      </c>
      <c r="M553" s="121" t="s">
        <v>17</v>
      </c>
    </row>
    <row r="554" spans="1:13" x14ac:dyDescent="0.2">
      <c r="A554" s="121" t="s">
        <v>101</v>
      </c>
      <c r="B554" s="121" t="s">
        <v>102</v>
      </c>
      <c r="C554" s="121" t="s">
        <v>19</v>
      </c>
      <c r="D554" s="121" t="s">
        <v>12</v>
      </c>
      <c r="E554" s="122">
        <v>42905</v>
      </c>
      <c r="F554" s="123">
        <v>3.59</v>
      </c>
      <c r="G554" s="124" t="s">
        <v>13</v>
      </c>
      <c r="H554" s="121" t="s">
        <v>14</v>
      </c>
      <c r="I554" s="124">
        <v>1</v>
      </c>
      <c r="J554" s="124" t="s">
        <v>15</v>
      </c>
      <c r="K554" s="124" t="s">
        <v>103</v>
      </c>
      <c r="L554" s="121" t="s">
        <v>105</v>
      </c>
      <c r="M554" s="121" t="s">
        <v>14</v>
      </c>
    </row>
    <row r="555" spans="1:13" x14ac:dyDescent="0.2">
      <c r="A555" s="121" t="s">
        <v>101</v>
      </c>
      <c r="B555" s="121" t="s">
        <v>102</v>
      </c>
      <c r="C555" s="121" t="s">
        <v>19</v>
      </c>
      <c r="D555" s="121" t="s">
        <v>12</v>
      </c>
      <c r="E555" s="122">
        <v>42905</v>
      </c>
      <c r="F555" s="123">
        <v>51.917000399999999</v>
      </c>
      <c r="G555" s="124" t="s">
        <v>16</v>
      </c>
      <c r="H555" s="121" t="s">
        <v>14</v>
      </c>
      <c r="I555" s="124">
        <v>1</v>
      </c>
      <c r="J555" s="124" t="s">
        <v>15</v>
      </c>
      <c r="K555" s="124" t="s">
        <v>103</v>
      </c>
      <c r="L555" s="121" t="s">
        <v>105</v>
      </c>
      <c r="M555" s="121" t="s">
        <v>14</v>
      </c>
    </row>
    <row r="556" spans="1:13" x14ac:dyDescent="0.2">
      <c r="A556" s="121" t="s">
        <v>101</v>
      </c>
      <c r="B556" s="121" t="s">
        <v>102</v>
      </c>
      <c r="C556" s="121" t="s">
        <v>19</v>
      </c>
      <c r="D556" s="121" t="s">
        <v>12</v>
      </c>
      <c r="E556" s="122">
        <v>42905</v>
      </c>
      <c r="F556" s="123">
        <v>1.34</v>
      </c>
      <c r="G556" s="124" t="s">
        <v>13</v>
      </c>
      <c r="H556" s="121" t="s">
        <v>18</v>
      </c>
      <c r="I556" s="124">
        <v>1</v>
      </c>
      <c r="J556" s="124" t="s">
        <v>15</v>
      </c>
      <c r="K556" s="124" t="s">
        <v>103</v>
      </c>
      <c r="L556" s="121" t="s">
        <v>105</v>
      </c>
      <c r="M556" s="121" t="s">
        <v>17</v>
      </c>
    </row>
    <row r="557" spans="1:13" x14ac:dyDescent="0.2">
      <c r="A557" s="121" t="s">
        <v>101</v>
      </c>
      <c r="B557" s="121" t="s">
        <v>102</v>
      </c>
      <c r="C557" s="121" t="s">
        <v>19</v>
      </c>
      <c r="D557" s="121" t="s">
        <v>12</v>
      </c>
      <c r="E557" s="122">
        <v>42905</v>
      </c>
      <c r="F557" s="123">
        <v>23.46876</v>
      </c>
      <c r="G557" s="124" t="s">
        <v>16</v>
      </c>
      <c r="H557" s="121" t="s">
        <v>18</v>
      </c>
      <c r="I557" s="124">
        <v>1</v>
      </c>
      <c r="J557" s="124" t="s">
        <v>15</v>
      </c>
      <c r="K557" s="124" t="s">
        <v>103</v>
      </c>
      <c r="L557" s="121" t="s">
        <v>105</v>
      </c>
      <c r="M557" s="121" t="s">
        <v>17</v>
      </c>
    </row>
    <row r="558" spans="1:13" x14ac:dyDescent="0.2">
      <c r="A558" s="121" t="s">
        <v>101</v>
      </c>
      <c r="B558" s="121" t="s">
        <v>102</v>
      </c>
      <c r="C558" s="121" t="s">
        <v>19</v>
      </c>
      <c r="D558" s="121" t="s">
        <v>12</v>
      </c>
      <c r="E558" s="122">
        <v>42898</v>
      </c>
      <c r="F558" s="123">
        <v>3.35</v>
      </c>
      <c r="G558" s="124" t="s">
        <v>13</v>
      </c>
      <c r="H558" s="121" t="s">
        <v>14</v>
      </c>
      <c r="I558" s="124">
        <v>1</v>
      </c>
      <c r="J558" s="124" t="s">
        <v>15</v>
      </c>
      <c r="K558" s="124" t="s">
        <v>103</v>
      </c>
      <c r="L558" s="121" t="s">
        <v>105</v>
      </c>
      <c r="M558" s="121" t="s">
        <v>14</v>
      </c>
    </row>
    <row r="559" spans="1:13" x14ac:dyDescent="0.2">
      <c r="A559" s="121" t="s">
        <v>101</v>
      </c>
      <c r="B559" s="121" t="s">
        <v>102</v>
      </c>
      <c r="C559" s="121" t="s">
        <v>19</v>
      </c>
      <c r="D559" s="121" t="s">
        <v>12</v>
      </c>
      <c r="E559" s="122">
        <v>42898</v>
      </c>
      <c r="F559" s="123">
        <v>50.988675000000001</v>
      </c>
      <c r="G559" s="124" t="s">
        <v>16</v>
      </c>
      <c r="H559" s="121" t="s">
        <v>14</v>
      </c>
      <c r="I559" s="124">
        <v>1</v>
      </c>
      <c r="J559" s="124" t="s">
        <v>15</v>
      </c>
      <c r="K559" s="124" t="s">
        <v>103</v>
      </c>
      <c r="L559" s="121" t="s">
        <v>105</v>
      </c>
      <c r="M559" s="121" t="s">
        <v>14</v>
      </c>
    </row>
    <row r="560" spans="1:13" x14ac:dyDescent="0.2">
      <c r="A560" s="121" t="s">
        <v>101</v>
      </c>
      <c r="B560" s="121" t="s">
        <v>102</v>
      </c>
      <c r="C560" s="121" t="s">
        <v>19</v>
      </c>
      <c r="D560" s="121" t="s">
        <v>12</v>
      </c>
      <c r="E560" s="122">
        <v>42898</v>
      </c>
      <c r="F560" s="123">
        <v>1.18</v>
      </c>
      <c r="G560" s="124" t="s">
        <v>13</v>
      </c>
      <c r="H560" s="121" t="s">
        <v>18</v>
      </c>
      <c r="I560" s="124">
        <v>1</v>
      </c>
      <c r="J560" s="124" t="s">
        <v>15</v>
      </c>
      <c r="K560" s="124" t="s">
        <v>103</v>
      </c>
      <c r="L560" s="121" t="s">
        <v>105</v>
      </c>
      <c r="M560" s="121" t="s">
        <v>17</v>
      </c>
    </row>
    <row r="561" spans="1:13" x14ac:dyDescent="0.2">
      <c r="A561" s="121" t="s">
        <v>101</v>
      </c>
      <c r="B561" s="121" t="s">
        <v>102</v>
      </c>
      <c r="C561" s="121" t="s">
        <v>19</v>
      </c>
      <c r="D561" s="121" t="s">
        <v>12</v>
      </c>
      <c r="E561" s="122">
        <v>42898</v>
      </c>
      <c r="F561" s="123">
        <v>23.126819999999999</v>
      </c>
      <c r="G561" s="124" t="s">
        <v>16</v>
      </c>
      <c r="H561" s="121" t="s">
        <v>18</v>
      </c>
      <c r="I561" s="124">
        <v>1</v>
      </c>
      <c r="J561" s="124" t="s">
        <v>15</v>
      </c>
      <c r="K561" s="124" t="s">
        <v>103</v>
      </c>
      <c r="L561" s="121" t="s">
        <v>105</v>
      </c>
      <c r="M561" s="121" t="s">
        <v>17</v>
      </c>
    </row>
    <row r="562" spans="1:13" x14ac:dyDescent="0.2">
      <c r="A562" s="121" t="s">
        <v>101</v>
      </c>
      <c r="B562" s="121" t="s">
        <v>102</v>
      </c>
      <c r="C562" s="121" t="s">
        <v>19</v>
      </c>
      <c r="D562" s="121" t="s">
        <v>12</v>
      </c>
      <c r="E562" s="122">
        <v>42891</v>
      </c>
      <c r="F562" s="123">
        <v>2.25</v>
      </c>
      <c r="G562" s="124" t="s">
        <v>13</v>
      </c>
      <c r="H562" s="121" t="s">
        <v>14</v>
      </c>
      <c r="I562" s="124">
        <v>1</v>
      </c>
      <c r="J562" s="124" t="s">
        <v>15</v>
      </c>
      <c r="K562" s="124" t="s">
        <v>103</v>
      </c>
      <c r="L562" s="121" t="s">
        <v>105</v>
      </c>
      <c r="M562" s="121" t="s">
        <v>14</v>
      </c>
    </row>
    <row r="563" spans="1:13" x14ac:dyDescent="0.2">
      <c r="A563" s="121" t="s">
        <v>101</v>
      </c>
      <c r="B563" s="121" t="s">
        <v>102</v>
      </c>
      <c r="C563" s="121" t="s">
        <v>19</v>
      </c>
      <c r="D563" s="121" t="s">
        <v>12</v>
      </c>
      <c r="E563" s="122">
        <v>42891</v>
      </c>
      <c r="F563" s="123">
        <v>39.800564999999999</v>
      </c>
      <c r="G563" s="124" t="s">
        <v>16</v>
      </c>
      <c r="H563" s="121" t="s">
        <v>14</v>
      </c>
      <c r="I563" s="124">
        <v>1</v>
      </c>
      <c r="J563" s="124" t="s">
        <v>15</v>
      </c>
      <c r="K563" s="124" t="s">
        <v>103</v>
      </c>
      <c r="L563" s="121" t="s">
        <v>105</v>
      </c>
      <c r="M563" s="121" t="s">
        <v>14</v>
      </c>
    </row>
    <row r="564" spans="1:13" x14ac:dyDescent="0.2">
      <c r="A564" s="121" t="s">
        <v>101</v>
      </c>
      <c r="B564" s="121" t="s">
        <v>102</v>
      </c>
      <c r="C564" s="121" t="s">
        <v>19</v>
      </c>
      <c r="D564" s="121" t="s">
        <v>12</v>
      </c>
      <c r="E564" s="122">
        <v>42891</v>
      </c>
      <c r="F564" s="123">
        <v>1.04</v>
      </c>
      <c r="G564" s="124" t="s">
        <v>13</v>
      </c>
      <c r="H564" s="121" t="s">
        <v>18</v>
      </c>
      <c r="I564" s="124">
        <v>1</v>
      </c>
      <c r="J564" s="124" t="s">
        <v>15</v>
      </c>
      <c r="K564" s="124" t="s">
        <v>103</v>
      </c>
      <c r="L564" s="121" t="s">
        <v>105</v>
      </c>
      <c r="M564" s="121" t="s">
        <v>17</v>
      </c>
    </row>
    <row r="565" spans="1:13" x14ac:dyDescent="0.2">
      <c r="A565" s="121" t="s">
        <v>101</v>
      </c>
      <c r="B565" s="121" t="s">
        <v>102</v>
      </c>
      <c r="C565" s="121" t="s">
        <v>19</v>
      </c>
      <c r="D565" s="121" t="s">
        <v>12</v>
      </c>
      <c r="E565" s="122">
        <v>42891</v>
      </c>
      <c r="F565" s="123">
        <v>22.638096000000001</v>
      </c>
      <c r="G565" s="124" t="s">
        <v>16</v>
      </c>
      <c r="H565" s="121" t="s">
        <v>18</v>
      </c>
      <c r="I565" s="124">
        <v>1</v>
      </c>
      <c r="J565" s="124" t="s">
        <v>15</v>
      </c>
      <c r="K565" s="124" t="s">
        <v>103</v>
      </c>
      <c r="L565" s="121" t="s">
        <v>105</v>
      </c>
      <c r="M565" s="121" t="s">
        <v>17</v>
      </c>
    </row>
    <row r="566" spans="1:13" x14ac:dyDescent="0.2">
      <c r="A566" s="121" t="s">
        <v>101</v>
      </c>
      <c r="B566" s="121" t="s">
        <v>102</v>
      </c>
      <c r="C566" s="121" t="s">
        <v>19</v>
      </c>
      <c r="D566" s="121" t="s">
        <v>12</v>
      </c>
      <c r="E566" s="122">
        <v>42887</v>
      </c>
      <c r="F566" s="123">
        <v>2.62</v>
      </c>
      <c r="G566" s="124" t="s">
        <v>13</v>
      </c>
      <c r="H566" s="121" t="s">
        <v>14</v>
      </c>
      <c r="I566" s="124">
        <v>1</v>
      </c>
      <c r="J566" s="124" t="s">
        <v>15</v>
      </c>
      <c r="K566" s="124" t="s">
        <v>103</v>
      </c>
      <c r="L566" s="121" t="s">
        <v>105</v>
      </c>
      <c r="M566" s="121" t="s">
        <v>14</v>
      </c>
    </row>
    <row r="567" spans="1:13" x14ac:dyDescent="0.2">
      <c r="A567" s="121" t="s">
        <v>101</v>
      </c>
      <c r="B567" s="121" t="s">
        <v>102</v>
      </c>
      <c r="C567" s="121" t="s">
        <v>19</v>
      </c>
      <c r="D567" s="121" t="s">
        <v>12</v>
      </c>
      <c r="E567" s="122">
        <v>42887</v>
      </c>
      <c r="F567" s="123">
        <v>52.267113600000002</v>
      </c>
      <c r="G567" s="124" t="s">
        <v>16</v>
      </c>
      <c r="H567" s="121" t="s">
        <v>14</v>
      </c>
      <c r="I567" s="124">
        <v>1</v>
      </c>
      <c r="J567" s="124" t="s">
        <v>15</v>
      </c>
      <c r="K567" s="124" t="s">
        <v>103</v>
      </c>
      <c r="L567" s="121" t="s">
        <v>105</v>
      </c>
      <c r="M567" s="121" t="s">
        <v>14</v>
      </c>
    </row>
    <row r="568" spans="1:13" x14ac:dyDescent="0.2">
      <c r="A568" s="121" t="s">
        <v>101</v>
      </c>
      <c r="B568" s="121" t="s">
        <v>102</v>
      </c>
      <c r="C568" s="121" t="s">
        <v>19</v>
      </c>
      <c r="D568" s="121" t="s">
        <v>12</v>
      </c>
      <c r="E568" s="122">
        <v>42887</v>
      </c>
      <c r="F568" s="123">
        <v>0.96899999999999997</v>
      </c>
      <c r="G568" s="124" t="s">
        <v>13</v>
      </c>
      <c r="H568" s="121" t="s">
        <v>18</v>
      </c>
      <c r="I568" s="124">
        <v>1</v>
      </c>
      <c r="J568" s="124" t="s">
        <v>15</v>
      </c>
      <c r="K568" s="124" t="s">
        <v>103</v>
      </c>
      <c r="L568" s="121" t="s">
        <v>105</v>
      </c>
      <c r="M568" s="121" t="s">
        <v>17</v>
      </c>
    </row>
    <row r="569" spans="1:13" x14ac:dyDescent="0.2">
      <c r="A569" s="121" t="s">
        <v>101</v>
      </c>
      <c r="B569" s="121" t="s">
        <v>102</v>
      </c>
      <c r="C569" s="121" t="s">
        <v>19</v>
      </c>
      <c r="D569" s="121" t="s">
        <v>12</v>
      </c>
      <c r="E569" s="122">
        <v>42887</v>
      </c>
      <c r="F569" s="123">
        <v>23.193790199999999</v>
      </c>
      <c r="G569" s="124" t="s">
        <v>16</v>
      </c>
      <c r="H569" s="121" t="s">
        <v>18</v>
      </c>
      <c r="I569" s="124">
        <v>1</v>
      </c>
      <c r="J569" s="124" t="s">
        <v>15</v>
      </c>
      <c r="K569" s="124" t="s">
        <v>103</v>
      </c>
      <c r="L569" s="121" t="s">
        <v>105</v>
      </c>
      <c r="M569" s="121" t="s">
        <v>17</v>
      </c>
    </row>
    <row r="570" spans="1:13" x14ac:dyDescent="0.2">
      <c r="A570" s="121" t="s">
        <v>101</v>
      </c>
      <c r="B570" s="121" t="s">
        <v>102</v>
      </c>
      <c r="C570" s="121" t="s">
        <v>19</v>
      </c>
      <c r="D570" s="121" t="s">
        <v>12</v>
      </c>
      <c r="E570" s="122">
        <v>42877</v>
      </c>
      <c r="F570" s="123">
        <v>1.47</v>
      </c>
      <c r="G570" s="124" t="s">
        <v>13</v>
      </c>
      <c r="H570" s="121" t="s">
        <v>14</v>
      </c>
      <c r="I570" s="124">
        <v>1</v>
      </c>
      <c r="J570" s="124" t="s">
        <v>15</v>
      </c>
      <c r="K570" s="124" t="s">
        <v>103</v>
      </c>
      <c r="L570" s="121" t="s">
        <v>105</v>
      </c>
      <c r="M570" s="121" t="s">
        <v>14</v>
      </c>
    </row>
    <row r="571" spans="1:13" x14ac:dyDescent="0.2">
      <c r="A571" s="121" t="s">
        <v>101</v>
      </c>
      <c r="B571" s="121" t="s">
        <v>102</v>
      </c>
      <c r="C571" s="121" t="s">
        <v>19</v>
      </c>
      <c r="D571" s="121" t="s">
        <v>12</v>
      </c>
      <c r="E571" s="122">
        <v>42877</v>
      </c>
      <c r="F571" s="123">
        <v>49.088239199999997</v>
      </c>
      <c r="G571" s="124" t="s">
        <v>16</v>
      </c>
      <c r="H571" s="121" t="s">
        <v>14</v>
      </c>
      <c r="I571" s="124">
        <v>1</v>
      </c>
      <c r="J571" s="124" t="s">
        <v>15</v>
      </c>
      <c r="K571" s="124" t="s">
        <v>103</v>
      </c>
      <c r="L571" s="121" t="s">
        <v>105</v>
      </c>
      <c r="M571" s="121" t="s">
        <v>14</v>
      </c>
    </row>
    <row r="572" spans="1:13" x14ac:dyDescent="0.2">
      <c r="A572" s="121" t="s">
        <v>101</v>
      </c>
      <c r="B572" s="121" t="s">
        <v>102</v>
      </c>
      <c r="C572" s="121" t="s">
        <v>19</v>
      </c>
      <c r="D572" s="121" t="s">
        <v>12</v>
      </c>
      <c r="E572" s="122">
        <v>42877</v>
      </c>
      <c r="F572" s="123">
        <v>0.63700000000000001</v>
      </c>
      <c r="G572" s="124" t="s">
        <v>13</v>
      </c>
      <c r="H572" s="121" t="s">
        <v>18</v>
      </c>
      <c r="I572" s="124">
        <v>1</v>
      </c>
      <c r="J572" s="124" t="s">
        <v>15</v>
      </c>
      <c r="K572" s="124" t="s">
        <v>103</v>
      </c>
      <c r="L572" s="121" t="s">
        <v>105</v>
      </c>
      <c r="M572" s="121" t="s">
        <v>17</v>
      </c>
    </row>
    <row r="573" spans="1:13" x14ac:dyDescent="0.2">
      <c r="A573" s="121" t="s">
        <v>101</v>
      </c>
      <c r="B573" s="121" t="s">
        <v>102</v>
      </c>
      <c r="C573" s="121" t="s">
        <v>19</v>
      </c>
      <c r="D573" s="121" t="s">
        <v>12</v>
      </c>
      <c r="E573" s="122">
        <v>42877</v>
      </c>
      <c r="F573" s="123">
        <v>22.950345599999999</v>
      </c>
      <c r="G573" s="124" t="s">
        <v>16</v>
      </c>
      <c r="H573" s="121" t="s">
        <v>18</v>
      </c>
      <c r="I573" s="124">
        <v>1</v>
      </c>
      <c r="J573" s="124" t="s">
        <v>15</v>
      </c>
      <c r="K573" s="124" t="s">
        <v>103</v>
      </c>
      <c r="L573" s="121" t="s">
        <v>105</v>
      </c>
      <c r="M573" s="121" t="s">
        <v>17</v>
      </c>
    </row>
    <row r="574" spans="1:13" x14ac:dyDescent="0.2">
      <c r="A574" s="121" t="s">
        <v>101</v>
      </c>
      <c r="B574" s="121" t="s">
        <v>102</v>
      </c>
      <c r="C574" s="121" t="s">
        <v>19</v>
      </c>
      <c r="D574" s="121" t="s">
        <v>12</v>
      </c>
      <c r="E574" s="122">
        <v>42871</v>
      </c>
      <c r="F574" s="123">
        <v>2.42</v>
      </c>
      <c r="G574" s="124" t="s">
        <v>13</v>
      </c>
      <c r="H574" s="121" t="s">
        <v>14</v>
      </c>
      <c r="I574" s="124">
        <v>1</v>
      </c>
      <c r="J574" s="124" t="s">
        <v>15</v>
      </c>
      <c r="K574" s="124" t="s">
        <v>103</v>
      </c>
      <c r="L574" s="121" t="s">
        <v>105</v>
      </c>
      <c r="M574" s="121" t="s">
        <v>14</v>
      </c>
    </row>
    <row r="575" spans="1:13" x14ac:dyDescent="0.2">
      <c r="A575" s="121" t="s">
        <v>101</v>
      </c>
      <c r="B575" s="121" t="s">
        <v>102</v>
      </c>
      <c r="C575" s="121" t="s">
        <v>19</v>
      </c>
      <c r="D575" s="121" t="s">
        <v>12</v>
      </c>
      <c r="E575" s="122">
        <v>42871</v>
      </c>
      <c r="F575" s="123">
        <v>53.040398400000001</v>
      </c>
      <c r="G575" s="124" t="s">
        <v>16</v>
      </c>
      <c r="H575" s="121" t="s">
        <v>14</v>
      </c>
      <c r="I575" s="124">
        <v>1</v>
      </c>
      <c r="J575" s="124" t="s">
        <v>15</v>
      </c>
      <c r="K575" s="124" t="s">
        <v>103</v>
      </c>
      <c r="L575" s="121" t="s">
        <v>105</v>
      </c>
      <c r="M575" s="121" t="s">
        <v>14</v>
      </c>
    </row>
    <row r="576" spans="1:13" x14ac:dyDescent="0.2">
      <c r="A576" s="121" t="s">
        <v>101</v>
      </c>
      <c r="B576" s="121" t="s">
        <v>102</v>
      </c>
      <c r="C576" s="121" t="s">
        <v>19</v>
      </c>
      <c r="D576" s="121" t="s">
        <v>12</v>
      </c>
      <c r="E576" s="122">
        <v>42871</v>
      </c>
      <c r="F576" s="123">
        <v>0.80800000000000005</v>
      </c>
      <c r="G576" s="124" t="s">
        <v>13</v>
      </c>
      <c r="H576" s="121" t="s">
        <v>18</v>
      </c>
      <c r="I576" s="124">
        <v>1</v>
      </c>
      <c r="J576" s="124" t="s">
        <v>15</v>
      </c>
      <c r="K576" s="124" t="s">
        <v>103</v>
      </c>
      <c r="L576" s="121" t="s">
        <v>105</v>
      </c>
      <c r="M576" s="121" t="s">
        <v>17</v>
      </c>
    </row>
    <row r="577" spans="1:13" x14ac:dyDescent="0.2">
      <c r="A577" s="121" t="s">
        <v>101</v>
      </c>
      <c r="B577" s="121" t="s">
        <v>102</v>
      </c>
      <c r="C577" s="121" t="s">
        <v>19</v>
      </c>
      <c r="D577" s="121" t="s">
        <v>12</v>
      </c>
      <c r="E577" s="122">
        <v>42871</v>
      </c>
      <c r="F577" s="123">
        <v>20.1487728</v>
      </c>
      <c r="G577" s="124" t="s">
        <v>16</v>
      </c>
      <c r="H577" s="121" t="s">
        <v>18</v>
      </c>
      <c r="I577" s="124">
        <v>1</v>
      </c>
      <c r="J577" s="124" t="s">
        <v>15</v>
      </c>
      <c r="K577" s="124" t="s">
        <v>103</v>
      </c>
      <c r="L577" s="121" t="s">
        <v>105</v>
      </c>
      <c r="M577" s="121" t="s">
        <v>17</v>
      </c>
    </row>
    <row r="578" spans="1:13" x14ac:dyDescent="0.2">
      <c r="A578" s="121" t="s">
        <v>101</v>
      </c>
      <c r="B578" s="121" t="s">
        <v>102</v>
      </c>
      <c r="C578" s="121" t="s">
        <v>19</v>
      </c>
      <c r="D578" s="121" t="s">
        <v>12</v>
      </c>
      <c r="E578" s="122">
        <v>42865</v>
      </c>
      <c r="F578" s="123">
        <v>0.78</v>
      </c>
      <c r="G578" s="124" t="s">
        <v>13</v>
      </c>
      <c r="H578" s="121" t="s">
        <v>18</v>
      </c>
      <c r="I578" s="124">
        <v>1</v>
      </c>
      <c r="J578" s="124" t="s">
        <v>15</v>
      </c>
      <c r="K578" s="124" t="s">
        <v>103</v>
      </c>
      <c r="L578" s="121" t="s">
        <v>105</v>
      </c>
      <c r="M578" s="121" t="s">
        <v>17</v>
      </c>
    </row>
    <row r="579" spans="1:13" x14ac:dyDescent="0.2">
      <c r="A579" s="121" t="s">
        <v>101</v>
      </c>
      <c r="B579" s="121" t="s">
        <v>102</v>
      </c>
      <c r="C579" s="121" t="s">
        <v>19</v>
      </c>
      <c r="D579" s="121" t="s">
        <v>12</v>
      </c>
      <c r="E579" s="122">
        <v>42865</v>
      </c>
      <c r="F579" s="123">
        <v>23.288616000000001</v>
      </c>
      <c r="G579" s="124" t="s">
        <v>16</v>
      </c>
      <c r="H579" s="121" t="s">
        <v>18</v>
      </c>
      <c r="I579" s="124">
        <v>1</v>
      </c>
      <c r="J579" s="124" t="s">
        <v>15</v>
      </c>
      <c r="K579" s="124" t="s">
        <v>103</v>
      </c>
      <c r="L579" s="121" t="s">
        <v>105</v>
      </c>
      <c r="M579" s="121" t="s">
        <v>17</v>
      </c>
    </row>
    <row r="580" spans="1:13" x14ac:dyDescent="0.2">
      <c r="A580" s="121" t="s">
        <v>101</v>
      </c>
      <c r="B580" s="121" t="s">
        <v>102</v>
      </c>
      <c r="C580" s="121" t="s">
        <v>19</v>
      </c>
      <c r="D580" s="121" t="s">
        <v>12</v>
      </c>
      <c r="E580" s="122">
        <v>42863</v>
      </c>
      <c r="F580" s="123">
        <v>1.79</v>
      </c>
      <c r="G580" s="124" t="s">
        <v>13</v>
      </c>
      <c r="H580" s="121" t="s">
        <v>14</v>
      </c>
      <c r="I580" s="124">
        <v>1</v>
      </c>
      <c r="J580" s="124" t="s">
        <v>15</v>
      </c>
      <c r="K580" s="124" t="s">
        <v>103</v>
      </c>
      <c r="L580" s="121" t="s">
        <v>105</v>
      </c>
      <c r="M580" s="121" t="s">
        <v>14</v>
      </c>
    </row>
    <row r="581" spans="1:13" x14ac:dyDescent="0.2">
      <c r="A581" s="121" t="s">
        <v>101</v>
      </c>
      <c r="B581" s="121" t="s">
        <v>102</v>
      </c>
      <c r="C581" s="121" t="s">
        <v>19</v>
      </c>
      <c r="D581" s="121" t="s">
        <v>12</v>
      </c>
      <c r="E581" s="122">
        <v>42863</v>
      </c>
      <c r="F581" s="123">
        <v>42.412152599999999</v>
      </c>
      <c r="G581" s="124" t="s">
        <v>16</v>
      </c>
      <c r="H581" s="121" t="s">
        <v>14</v>
      </c>
      <c r="I581" s="124">
        <v>1</v>
      </c>
      <c r="J581" s="124" t="s">
        <v>15</v>
      </c>
      <c r="K581" s="124" t="s">
        <v>103</v>
      </c>
      <c r="L581" s="121" t="s">
        <v>105</v>
      </c>
      <c r="M581" s="121" t="s">
        <v>14</v>
      </c>
    </row>
    <row r="582" spans="1:13" x14ac:dyDescent="0.2">
      <c r="A582" s="121" t="s">
        <v>101</v>
      </c>
      <c r="B582" s="121" t="s">
        <v>102</v>
      </c>
      <c r="C582" s="121" t="s">
        <v>19</v>
      </c>
      <c r="D582" s="121" t="s">
        <v>12</v>
      </c>
      <c r="E582" s="122">
        <v>42856</v>
      </c>
      <c r="F582" s="123">
        <v>2.31</v>
      </c>
      <c r="G582" s="124" t="s">
        <v>13</v>
      </c>
      <c r="H582" s="121" t="s">
        <v>14</v>
      </c>
      <c r="I582" s="124">
        <v>1</v>
      </c>
      <c r="J582" s="124" t="s">
        <v>15</v>
      </c>
      <c r="K582" s="124" t="s">
        <v>103</v>
      </c>
      <c r="L582" s="121" t="s">
        <v>105</v>
      </c>
      <c r="M582" s="121" t="s">
        <v>14</v>
      </c>
    </row>
    <row r="583" spans="1:13" x14ac:dyDescent="0.2">
      <c r="A583" s="121" t="s">
        <v>101</v>
      </c>
      <c r="B583" s="121" t="s">
        <v>102</v>
      </c>
      <c r="C583" s="121" t="s">
        <v>19</v>
      </c>
      <c r="D583" s="121" t="s">
        <v>12</v>
      </c>
      <c r="E583" s="122">
        <v>42856</v>
      </c>
      <c r="F583" s="123">
        <v>71.031529800000001</v>
      </c>
      <c r="G583" s="124" t="s">
        <v>16</v>
      </c>
      <c r="H583" s="121" t="s">
        <v>14</v>
      </c>
      <c r="I583" s="124">
        <v>1</v>
      </c>
      <c r="J583" s="124" t="s">
        <v>15</v>
      </c>
      <c r="K583" s="124" t="s">
        <v>103</v>
      </c>
      <c r="L583" s="121" t="s">
        <v>105</v>
      </c>
      <c r="M583" s="121" t="s">
        <v>14</v>
      </c>
    </row>
    <row r="584" spans="1:13" x14ac:dyDescent="0.2">
      <c r="A584" s="121" t="s">
        <v>101</v>
      </c>
      <c r="B584" s="121" t="s">
        <v>102</v>
      </c>
      <c r="C584" s="121" t="s">
        <v>19</v>
      </c>
      <c r="D584" s="121" t="s">
        <v>12</v>
      </c>
      <c r="E584" s="122">
        <v>42856</v>
      </c>
      <c r="F584" s="123">
        <v>0.66</v>
      </c>
      <c r="G584" s="124" t="s">
        <v>13</v>
      </c>
      <c r="H584" s="121" t="s">
        <v>18</v>
      </c>
      <c r="I584" s="124">
        <v>1</v>
      </c>
      <c r="J584" s="124" t="s">
        <v>15</v>
      </c>
      <c r="K584" s="124" t="s">
        <v>103</v>
      </c>
      <c r="L584" s="121" t="s">
        <v>105</v>
      </c>
      <c r="M584" s="121" t="s">
        <v>17</v>
      </c>
    </row>
    <row r="585" spans="1:13" x14ac:dyDescent="0.2">
      <c r="A585" s="121" t="s">
        <v>101</v>
      </c>
      <c r="B585" s="121" t="s">
        <v>102</v>
      </c>
      <c r="C585" s="121" t="s">
        <v>19</v>
      </c>
      <c r="D585" s="121" t="s">
        <v>12</v>
      </c>
      <c r="E585" s="122">
        <v>42856</v>
      </c>
      <c r="F585" s="123">
        <v>21.687335999999998</v>
      </c>
      <c r="G585" s="124" t="s">
        <v>16</v>
      </c>
      <c r="H585" s="121" t="s">
        <v>18</v>
      </c>
      <c r="I585" s="124">
        <v>1</v>
      </c>
      <c r="J585" s="124" t="s">
        <v>15</v>
      </c>
      <c r="K585" s="124" t="s">
        <v>103</v>
      </c>
      <c r="L585" s="121" t="s">
        <v>105</v>
      </c>
      <c r="M585" s="121" t="s">
        <v>17</v>
      </c>
    </row>
    <row r="586" spans="1:13" x14ac:dyDescent="0.2">
      <c r="A586" s="121" t="s">
        <v>101</v>
      </c>
      <c r="B586" s="121" t="s">
        <v>102</v>
      </c>
      <c r="C586" s="121" t="s">
        <v>19</v>
      </c>
      <c r="D586" s="121" t="s">
        <v>12</v>
      </c>
      <c r="E586" s="122">
        <v>42850</v>
      </c>
      <c r="F586" s="123">
        <v>1.43</v>
      </c>
      <c r="G586" s="124" t="s">
        <v>13</v>
      </c>
      <c r="H586" s="121" t="s">
        <v>14</v>
      </c>
      <c r="I586" s="124">
        <v>1</v>
      </c>
      <c r="J586" s="124" t="s">
        <v>15</v>
      </c>
      <c r="K586" s="124" t="s">
        <v>103</v>
      </c>
      <c r="L586" s="121" t="s">
        <v>104</v>
      </c>
    </row>
    <row r="587" spans="1:13" x14ac:dyDescent="0.2">
      <c r="A587" s="121" t="s">
        <v>101</v>
      </c>
      <c r="B587" s="121" t="s">
        <v>102</v>
      </c>
      <c r="C587" s="121" t="s">
        <v>19</v>
      </c>
      <c r="D587" s="121" t="s">
        <v>12</v>
      </c>
      <c r="E587" s="122">
        <v>42850</v>
      </c>
      <c r="F587" s="123">
        <v>33.536474400000003</v>
      </c>
      <c r="G587" s="124" t="s">
        <v>16</v>
      </c>
      <c r="H587" s="121" t="s">
        <v>14</v>
      </c>
      <c r="I587" s="124">
        <v>1</v>
      </c>
      <c r="J587" s="124" t="s">
        <v>15</v>
      </c>
      <c r="K587" s="124" t="s">
        <v>103</v>
      </c>
      <c r="L587" s="121" t="s">
        <v>104</v>
      </c>
    </row>
    <row r="588" spans="1:13" x14ac:dyDescent="0.2">
      <c r="A588" s="121" t="s">
        <v>101</v>
      </c>
      <c r="B588" s="121" t="s">
        <v>102</v>
      </c>
      <c r="C588" s="121" t="s">
        <v>19</v>
      </c>
      <c r="D588" s="121" t="s">
        <v>12</v>
      </c>
      <c r="E588" s="122">
        <v>42850</v>
      </c>
      <c r="F588" s="123">
        <v>0.497</v>
      </c>
      <c r="G588" s="124" t="s">
        <v>13</v>
      </c>
      <c r="H588" s="121" t="s">
        <v>18</v>
      </c>
      <c r="I588" s="124">
        <v>1</v>
      </c>
      <c r="J588" s="124" t="s">
        <v>15</v>
      </c>
      <c r="K588" s="124" t="s">
        <v>103</v>
      </c>
      <c r="L588" s="121" t="s">
        <v>104</v>
      </c>
    </row>
    <row r="589" spans="1:13" x14ac:dyDescent="0.2">
      <c r="A589" s="121" t="s">
        <v>101</v>
      </c>
      <c r="B589" s="121" t="s">
        <v>102</v>
      </c>
      <c r="C589" s="121" t="s">
        <v>19</v>
      </c>
      <c r="D589" s="121" t="s">
        <v>12</v>
      </c>
      <c r="E589" s="122">
        <v>42850</v>
      </c>
      <c r="F589" s="123">
        <v>14.5903296</v>
      </c>
      <c r="G589" s="124" t="s">
        <v>16</v>
      </c>
      <c r="H589" s="121" t="s">
        <v>18</v>
      </c>
      <c r="I589" s="124">
        <v>1</v>
      </c>
      <c r="J589" s="124" t="s">
        <v>15</v>
      </c>
      <c r="K589" s="124" t="s">
        <v>103</v>
      </c>
      <c r="L589" s="121" t="s">
        <v>104</v>
      </c>
    </row>
    <row r="590" spans="1:13" x14ac:dyDescent="0.2">
      <c r="A590" s="121" t="s">
        <v>101</v>
      </c>
      <c r="B590" s="121" t="s">
        <v>102</v>
      </c>
      <c r="C590" s="121" t="s">
        <v>19</v>
      </c>
      <c r="D590" s="121" t="s">
        <v>12</v>
      </c>
      <c r="E590" s="122">
        <v>42843</v>
      </c>
      <c r="F590" s="123">
        <v>1.88</v>
      </c>
      <c r="G590" s="124" t="s">
        <v>13</v>
      </c>
      <c r="H590" s="121" t="s">
        <v>14</v>
      </c>
      <c r="I590" s="124">
        <v>1</v>
      </c>
      <c r="J590" s="124" t="s">
        <v>15</v>
      </c>
      <c r="K590" s="124" t="s">
        <v>103</v>
      </c>
      <c r="L590" s="121" t="s">
        <v>104</v>
      </c>
    </row>
    <row r="591" spans="1:13" x14ac:dyDescent="0.2">
      <c r="A591" s="121" t="s">
        <v>101</v>
      </c>
      <c r="B591" s="121" t="s">
        <v>102</v>
      </c>
      <c r="C591" s="121" t="s">
        <v>19</v>
      </c>
      <c r="D591" s="121" t="s">
        <v>12</v>
      </c>
      <c r="E591" s="122">
        <v>42843</v>
      </c>
      <c r="F591" s="123">
        <v>48.495765599999999</v>
      </c>
      <c r="G591" s="124" t="s">
        <v>16</v>
      </c>
      <c r="H591" s="121" t="s">
        <v>14</v>
      </c>
      <c r="I591" s="124">
        <v>1</v>
      </c>
      <c r="J591" s="124" t="s">
        <v>15</v>
      </c>
      <c r="K591" s="124" t="s">
        <v>103</v>
      </c>
      <c r="L591" s="121" t="s">
        <v>104</v>
      </c>
    </row>
    <row r="592" spans="1:13" x14ac:dyDescent="0.2">
      <c r="A592" s="121" t="s">
        <v>101</v>
      </c>
      <c r="B592" s="121" t="s">
        <v>102</v>
      </c>
      <c r="C592" s="121" t="s">
        <v>19</v>
      </c>
      <c r="D592" s="121" t="s">
        <v>12</v>
      </c>
      <c r="E592" s="122">
        <v>42843</v>
      </c>
      <c r="F592" s="123">
        <v>0.45600000000000002</v>
      </c>
      <c r="G592" s="124" t="s">
        <v>13</v>
      </c>
      <c r="H592" s="121" t="s">
        <v>18</v>
      </c>
      <c r="I592" s="124">
        <v>1</v>
      </c>
      <c r="J592" s="124" t="s">
        <v>15</v>
      </c>
      <c r="K592" s="124" t="s">
        <v>103</v>
      </c>
      <c r="L592" s="121" t="s">
        <v>104</v>
      </c>
    </row>
    <row r="593" spans="1:12" x14ac:dyDescent="0.2">
      <c r="A593" s="121" t="s">
        <v>101</v>
      </c>
      <c r="B593" s="121" t="s">
        <v>102</v>
      </c>
      <c r="C593" s="121" t="s">
        <v>19</v>
      </c>
      <c r="D593" s="121" t="s">
        <v>12</v>
      </c>
      <c r="E593" s="122">
        <v>42843</v>
      </c>
      <c r="F593" s="123">
        <v>13.310639999999999</v>
      </c>
      <c r="G593" s="124" t="s">
        <v>16</v>
      </c>
      <c r="H593" s="121" t="s">
        <v>18</v>
      </c>
      <c r="I593" s="124">
        <v>1</v>
      </c>
      <c r="J593" s="124" t="s">
        <v>15</v>
      </c>
      <c r="K593" s="124" t="s">
        <v>103</v>
      </c>
      <c r="L593" s="121" t="s">
        <v>104</v>
      </c>
    </row>
    <row r="594" spans="1:12" x14ac:dyDescent="0.2">
      <c r="A594" s="121" t="s">
        <v>101</v>
      </c>
      <c r="B594" s="121" t="s">
        <v>102</v>
      </c>
      <c r="C594" s="121" t="s">
        <v>19</v>
      </c>
      <c r="D594" s="121" t="s">
        <v>12</v>
      </c>
      <c r="E594" s="122">
        <v>42837</v>
      </c>
      <c r="F594" s="123">
        <v>0.96499999999999997</v>
      </c>
      <c r="G594" s="124" t="s">
        <v>13</v>
      </c>
      <c r="H594" s="121" t="s">
        <v>14</v>
      </c>
      <c r="I594" s="124">
        <v>1</v>
      </c>
      <c r="J594" s="124" t="s">
        <v>15</v>
      </c>
      <c r="K594" s="124" t="s">
        <v>103</v>
      </c>
      <c r="L594" s="121" t="s">
        <v>104</v>
      </c>
    </row>
    <row r="595" spans="1:12" x14ac:dyDescent="0.2">
      <c r="A595" s="121" t="s">
        <v>101</v>
      </c>
      <c r="B595" s="121" t="s">
        <v>102</v>
      </c>
      <c r="C595" s="121" t="s">
        <v>19</v>
      </c>
      <c r="D595" s="121" t="s">
        <v>12</v>
      </c>
      <c r="E595" s="122">
        <v>42837</v>
      </c>
      <c r="F595" s="123">
        <v>22.317381300000001</v>
      </c>
      <c r="G595" s="124" t="s">
        <v>16</v>
      </c>
      <c r="H595" s="121" t="s">
        <v>14</v>
      </c>
      <c r="I595" s="124">
        <v>1</v>
      </c>
      <c r="J595" s="124" t="s">
        <v>15</v>
      </c>
      <c r="K595" s="124" t="s">
        <v>103</v>
      </c>
      <c r="L595" s="121" t="s">
        <v>104</v>
      </c>
    </row>
    <row r="596" spans="1:12" x14ac:dyDescent="0.2">
      <c r="A596" s="121" t="s">
        <v>101</v>
      </c>
      <c r="B596" s="121" t="s">
        <v>102</v>
      </c>
      <c r="C596" s="121" t="s">
        <v>19</v>
      </c>
      <c r="D596" s="121" t="s">
        <v>12</v>
      </c>
      <c r="E596" s="122">
        <v>42837</v>
      </c>
      <c r="F596" s="123">
        <v>0.38200000000000001</v>
      </c>
      <c r="G596" s="124" t="s">
        <v>13</v>
      </c>
      <c r="H596" s="121" t="s">
        <v>18</v>
      </c>
      <c r="I596" s="124">
        <v>1</v>
      </c>
      <c r="J596" s="124" t="s">
        <v>15</v>
      </c>
      <c r="K596" s="124" t="s">
        <v>103</v>
      </c>
      <c r="L596" s="121" t="s">
        <v>104</v>
      </c>
    </row>
    <row r="597" spans="1:12" x14ac:dyDescent="0.2">
      <c r="A597" s="121" t="s">
        <v>101</v>
      </c>
      <c r="B597" s="121" t="s">
        <v>102</v>
      </c>
      <c r="C597" s="121" t="s">
        <v>19</v>
      </c>
      <c r="D597" s="121" t="s">
        <v>12</v>
      </c>
      <c r="E597" s="122">
        <v>42837</v>
      </c>
      <c r="F597" s="123">
        <v>9.5257812000000008</v>
      </c>
      <c r="G597" s="124" t="s">
        <v>16</v>
      </c>
      <c r="H597" s="121" t="s">
        <v>18</v>
      </c>
      <c r="I597" s="124">
        <v>1</v>
      </c>
      <c r="J597" s="124" t="s">
        <v>15</v>
      </c>
      <c r="K597" s="124" t="s">
        <v>103</v>
      </c>
      <c r="L597" s="121" t="s">
        <v>104</v>
      </c>
    </row>
    <row r="598" spans="1:12" x14ac:dyDescent="0.2">
      <c r="A598" s="121" t="s">
        <v>101</v>
      </c>
      <c r="B598" s="121" t="s">
        <v>102</v>
      </c>
      <c r="C598" s="121" t="s">
        <v>19</v>
      </c>
      <c r="D598" s="121" t="s">
        <v>12</v>
      </c>
      <c r="E598" s="122">
        <v>42828</v>
      </c>
      <c r="F598" s="123">
        <v>1.96</v>
      </c>
      <c r="G598" s="124" t="s">
        <v>13</v>
      </c>
      <c r="H598" s="121" t="s">
        <v>14</v>
      </c>
      <c r="I598" s="124">
        <v>1</v>
      </c>
      <c r="J598" s="124" t="s">
        <v>15</v>
      </c>
      <c r="K598" s="124" t="s">
        <v>103</v>
      </c>
      <c r="L598" s="121" t="s">
        <v>104</v>
      </c>
    </row>
    <row r="599" spans="1:12" x14ac:dyDescent="0.2">
      <c r="A599" s="121" t="s">
        <v>101</v>
      </c>
      <c r="B599" s="121" t="s">
        <v>102</v>
      </c>
      <c r="C599" s="121" t="s">
        <v>19</v>
      </c>
      <c r="D599" s="121" t="s">
        <v>12</v>
      </c>
      <c r="E599" s="122">
        <v>42828</v>
      </c>
      <c r="F599" s="123">
        <v>46.946860800000003</v>
      </c>
      <c r="G599" s="124" t="s">
        <v>16</v>
      </c>
      <c r="H599" s="121" t="s">
        <v>14</v>
      </c>
      <c r="I599" s="124">
        <v>1</v>
      </c>
      <c r="J599" s="124" t="s">
        <v>15</v>
      </c>
      <c r="K599" s="124" t="s">
        <v>103</v>
      </c>
      <c r="L599" s="121" t="s">
        <v>104</v>
      </c>
    </row>
    <row r="600" spans="1:12" x14ac:dyDescent="0.2">
      <c r="A600" s="121" t="s">
        <v>101</v>
      </c>
      <c r="B600" s="121" t="s">
        <v>102</v>
      </c>
      <c r="C600" s="121" t="s">
        <v>19</v>
      </c>
      <c r="D600" s="121" t="s">
        <v>12</v>
      </c>
      <c r="E600" s="122">
        <v>42828</v>
      </c>
      <c r="F600" s="123">
        <v>0.48899999999999999</v>
      </c>
      <c r="G600" s="124" t="s">
        <v>13</v>
      </c>
      <c r="H600" s="121" t="s">
        <v>18</v>
      </c>
      <c r="I600" s="124">
        <v>1</v>
      </c>
      <c r="J600" s="124" t="s">
        <v>15</v>
      </c>
      <c r="K600" s="124" t="s">
        <v>103</v>
      </c>
      <c r="L600" s="121" t="s">
        <v>104</v>
      </c>
    </row>
    <row r="601" spans="1:12" x14ac:dyDescent="0.2">
      <c r="A601" s="121" t="s">
        <v>101</v>
      </c>
      <c r="B601" s="121" t="s">
        <v>102</v>
      </c>
      <c r="C601" s="121" t="s">
        <v>19</v>
      </c>
      <c r="D601" s="121" t="s">
        <v>12</v>
      </c>
      <c r="E601" s="122">
        <v>42828</v>
      </c>
      <c r="F601" s="123">
        <v>13.906866600000001</v>
      </c>
      <c r="G601" s="124" t="s">
        <v>16</v>
      </c>
      <c r="H601" s="121" t="s">
        <v>18</v>
      </c>
      <c r="I601" s="124">
        <v>1</v>
      </c>
      <c r="J601" s="124" t="s">
        <v>15</v>
      </c>
      <c r="K601" s="124" t="s">
        <v>103</v>
      </c>
      <c r="L601" s="121" t="s">
        <v>104</v>
      </c>
    </row>
    <row r="602" spans="1:12" x14ac:dyDescent="0.2">
      <c r="A602" s="121" t="s">
        <v>101</v>
      </c>
      <c r="B602" s="121" t="s">
        <v>102</v>
      </c>
      <c r="C602" s="121" t="s">
        <v>19</v>
      </c>
      <c r="D602" s="121" t="s">
        <v>12</v>
      </c>
      <c r="E602" s="122">
        <v>42822</v>
      </c>
      <c r="F602" s="123">
        <v>2.86</v>
      </c>
      <c r="G602" s="124" t="s">
        <v>13</v>
      </c>
      <c r="H602" s="121" t="s">
        <v>14</v>
      </c>
      <c r="I602" s="124">
        <v>1</v>
      </c>
      <c r="J602" s="124" t="s">
        <v>15</v>
      </c>
      <c r="K602" s="124" t="s">
        <v>103</v>
      </c>
      <c r="L602" s="121" t="s">
        <v>104</v>
      </c>
    </row>
    <row r="603" spans="1:12" x14ac:dyDescent="0.2">
      <c r="A603" s="121" t="s">
        <v>101</v>
      </c>
      <c r="B603" s="121" t="s">
        <v>102</v>
      </c>
      <c r="C603" s="121" t="s">
        <v>19</v>
      </c>
      <c r="D603" s="121" t="s">
        <v>12</v>
      </c>
      <c r="E603" s="122">
        <v>42822</v>
      </c>
      <c r="F603" s="123">
        <v>50.161597200000003</v>
      </c>
      <c r="G603" s="124" t="s">
        <v>16</v>
      </c>
      <c r="H603" s="121" t="s">
        <v>14</v>
      </c>
      <c r="I603" s="124">
        <v>1</v>
      </c>
      <c r="J603" s="124" t="s">
        <v>15</v>
      </c>
      <c r="K603" s="124" t="s">
        <v>103</v>
      </c>
      <c r="L603" s="121" t="s">
        <v>104</v>
      </c>
    </row>
    <row r="604" spans="1:12" x14ac:dyDescent="0.2">
      <c r="A604" s="121" t="s">
        <v>101</v>
      </c>
      <c r="B604" s="121" t="s">
        <v>102</v>
      </c>
      <c r="C604" s="121" t="s">
        <v>19</v>
      </c>
      <c r="D604" s="121" t="s">
        <v>12</v>
      </c>
      <c r="E604" s="122">
        <v>42822</v>
      </c>
      <c r="F604" s="123">
        <v>0.71799999999999997</v>
      </c>
      <c r="G604" s="124" t="s">
        <v>13</v>
      </c>
      <c r="H604" s="121" t="s">
        <v>18</v>
      </c>
      <c r="I604" s="124">
        <v>1</v>
      </c>
      <c r="J604" s="124" t="s">
        <v>15</v>
      </c>
      <c r="K604" s="124" t="s">
        <v>103</v>
      </c>
      <c r="L604" s="121" t="s">
        <v>104</v>
      </c>
    </row>
    <row r="605" spans="1:12" x14ac:dyDescent="0.2">
      <c r="A605" s="121" t="s">
        <v>101</v>
      </c>
      <c r="B605" s="121" t="s">
        <v>102</v>
      </c>
      <c r="C605" s="121" t="s">
        <v>19</v>
      </c>
      <c r="D605" s="121" t="s">
        <v>12</v>
      </c>
      <c r="E605" s="122">
        <v>42822</v>
      </c>
      <c r="F605" s="123">
        <v>14.3116068</v>
      </c>
      <c r="G605" s="124" t="s">
        <v>16</v>
      </c>
      <c r="H605" s="121" t="s">
        <v>18</v>
      </c>
      <c r="I605" s="124">
        <v>1</v>
      </c>
      <c r="J605" s="124" t="s">
        <v>15</v>
      </c>
      <c r="K605" s="124" t="s">
        <v>103</v>
      </c>
      <c r="L605" s="121" t="s">
        <v>104</v>
      </c>
    </row>
    <row r="606" spans="1:12" x14ac:dyDescent="0.2">
      <c r="A606" s="121" t="s">
        <v>101</v>
      </c>
      <c r="B606" s="121" t="s">
        <v>102</v>
      </c>
      <c r="C606" s="121" t="s">
        <v>19</v>
      </c>
      <c r="D606" s="121" t="s">
        <v>12</v>
      </c>
      <c r="E606" s="122">
        <v>42815</v>
      </c>
      <c r="F606" s="123">
        <v>1.7</v>
      </c>
      <c r="G606" s="124" t="s">
        <v>13</v>
      </c>
      <c r="H606" s="121" t="s">
        <v>14</v>
      </c>
      <c r="I606" s="124">
        <v>1</v>
      </c>
      <c r="J606" s="124" t="s">
        <v>15</v>
      </c>
      <c r="K606" s="124" t="s">
        <v>103</v>
      </c>
      <c r="L606" s="121" t="s">
        <v>104</v>
      </c>
    </row>
    <row r="607" spans="1:12" x14ac:dyDescent="0.2">
      <c r="A607" s="121" t="s">
        <v>101</v>
      </c>
      <c r="B607" s="121" t="s">
        <v>102</v>
      </c>
      <c r="C607" s="121" t="s">
        <v>19</v>
      </c>
      <c r="D607" s="121" t="s">
        <v>12</v>
      </c>
      <c r="E607" s="122">
        <v>42815</v>
      </c>
      <c r="F607" s="123">
        <v>32.992206000000003</v>
      </c>
      <c r="G607" s="124" t="s">
        <v>16</v>
      </c>
      <c r="H607" s="121" t="s">
        <v>14</v>
      </c>
      <c r="I607" s="124">
        <v>1</v>
      </c>
      <c r="J607" s="124" t="s">
        <v>15</v>
      </c>
      <c r="K607" s="124" t="s">
        <v>103</v>
      </c>
      <c r="L607" s="121" t="s">
        <v>104</v>
      </c>
    </row>
    <row r="608" spans="1:12" x14ac:dyDescent="0.2">
      <c r="A608" s="121" t="s">
        <v>101</v>
      </c>
      <c r="B608" s="121" t="s">
        <v>102</v>
      </c>
      <c r="C608" s="121" t="s">
        <v>19</v>
      </c>
      <c r="D608" s="121" t="s">
        <v>12</v>
      </c>
      <c r="E608" s="122">
        <v>42815</v>
      </c>
      <c r="F608" s="123">
        <v>0.60399999999999998</v>
      </c>
      <c r="G608" s="124" t="s">
        <v>13</v>
      </c>
      <c r="H608" s="121" t="s">
        <v>18</v>
      </c>
      <c r="I608" s="124">
        <v>1</v>
      </c>
      <c r="J608" s="124" t="s">
        <v>15</v>
      </c>
      <c r="K608" s="124" t="s">
        <v>103</v>
      </c>
      <c r="L608" s="121" t="s">
        <v>104</v>
      </c>
    </row>
    <row r="609" spans="1:12" x14ac:dyDescent="0.2">
      <c r="A609" s="121" t="s">
        <v>101</v>
      </c>
      <c r="B609" s="121" t="s">
        <v>102</v>
      </c>
      <c r="C609" s="121" t="s">
        <v>19</v>
      </c>
      <c r="D609" s="121" t="s">
        <v>12</v>
      </c>
      <c r="E609" s="122">
        <v>42815</v>
      </c>
      <c r="F609" s="123">
        <v>13.2482568</v>
      </c>
      <c r="G609" s="124" t="s">
        <v>16</v>
      </c>
      <c r="H609" s="121" t="s">
        <v>18</v>
      </c>
      <c r="I609" s="124">
        <v>1</v>
      </c>
      <c r="J609" s="124" t="s">
        <v>15</v>
      </c>
      <c r="K609" s="124" t="s">
        <v>103</v>
      </c>
      <c r="L609" s="121" t="s">
        <v>104</v>
      </c>
    </row>
    <row r="610" spans="1:12" x14ac:dyDescent="0.2">
      <c r="A610" s="121" t="s">
        <v>101</v>
      </c>
      <c r="B610" s="121" t="s">
        <v>102</v>
      </c>
      <c r="C610" s="121" t="s">
        <v>19</v>
      </c>
      <c r="D610" s="121" t="s">
        <v>12</v>
      </c>
      <c r="E610" s="122">
        <v>42808</v>
      </c>
      <c r="F610" s="123">
        <v>1.66</v>
      </c>
      <c r="G610" s="124" t="s">
        <v>13</v>
      </c>
      <c r="H610" s="121" t="s">
        <v>14</v>
      </c>
      <c r="I610" s="124">
        <v>1</v>
      </c>
      <c r="J610" s="124" t="s">
        <v>15</v>
      </c>
      <c r="K610" s="124" t="s">
        <v>103</v>
      </c>
      <c r="L610" s="121" t="s">
        <v>104</v>
      </c>
    </row>
    <row r="611" spans="1:12" x14ac:dyDescent="0.2">
      <c r="A611" s="121" t="s">
        <v>101</v>
      </c>
      <c r="B611" s="121" t="s">
        <v>102</v>
      </c>
      <c r="C611" s="121" t="s">
        <v>19</v>
      </c>
      <c r="D611" s="121" t="s">
        <v>12</v>
      </c>
      <c r="E611" s="122">
        <v>42808</v>
      </c>
      <c r="F611" s="123">
        <v>33.697269599999998</v>
      </c>
      <c r="G611" s="124" t="s">
        <v>16</v>
      </c>
      <c r="H611" s="121" t="s">
        <v>14</v>
      </c>
      <c r="I611" s="124">
        <v>1</v>
      </c>
      <c r="J611" s="124" t="s">
        <v>15</v>
      </c>
      <c r="K611" s="124" t="s">
        <v>103</v>
      </c>
      <c r="L611" s="121" t="s">
        <v>104</v>
      </c>
    </row>
    <row r="612" spans="1:12" x14ac:dyDescent="0.2">
      <c r="A612" s="121" t="s">
        <v>101</v>
      </c>
      <c r="B612" s="121" t="s">
        <v>102</v>
      </c>
      <c r="C612" s="121" t="s">
        <v>19</v>
      </c>
      <c r="D612" s="121" t="s">
        <v>12</v>
      </c>
      <c r="E612" s="122">
        <v>42808</v>
      </c>
      <c r="F612" s="123">
        <v>0.57299999999999995</v>
      </c>
      <c r="G612" s="124" t="s">
        <v>13</v>
      </c>
      <c r="H612" s="121" t="s">
        <v>18</v>
      </c>
      <c r="I612" s="124">
        <v>1</v>
      </c>
      <c r="J612" s="124" t="s">
        <v>15</v>
      </c>
      <c r="K612" s="124" t="s">
        <v>103</v>
      </c>
      <c r="L612" s="121" t="s">
        <v>104</v>
      </c>
    </row>
    <row r="613" spans="1:12" x14ac:dyDescent="0.2">
      <c r="A613" s="121" t="s">
        <v>101</v>
      </c>
      <c r="B613" s="121" t="s">
        <v>102</v>
      </c>
      <c r="C613" s="121" t="s">
        <v>19</v>
      </c>
      <c r="D613" s="121" t="s">
        <v>12</v>
      </c>
      <c r="E613" s="122">
        <v>42808</v>
      </c>
      <c r="F613" s="123">
        <v>11.8514736</v>
      </c>
      <c r="G613" s="124" t="s">
        <v>16</v>
      </c>
      <c r="H613" s="121" t="s">
        <v>18</v>
      </c>
      <c r="I613" s="124">
        <v>1</v>
      </c>
      <c r="J613" s="124" t="s">
        <v>15</v>
      </c>
      <c r="K613" s="124" t="s">
        <v>103</v>
      </c>
      <c r="L613" s="121" t="s">
        <v>104</v>
      </c>
    </row>
    <row r="614" spans="1:12" x14ac:dyDescent="0.2">
      <c r="A614" s="121" t="s">
        <v>101</v>
      </c>
      <c r="B614" s="121" t="s">
        <v>102</v>
      </c>
      <c r="C614" s="121" t="s">
        <v>19</v>
      </c>
      <c r="D614" s="121" t="s">
        <v>12</v>
      </c>
      <c r="E614" s="122">
        <v>42801</v>
      </c>
      <c r="F614" s="123">
        <v>1.49</v>
      </c>
      <c r="G614" s="124" t="s">
        <v>13</v>
      </c>
      <c r="H614" s="121" t="s">
        <v>14</v>
      </c>
      <c r="I614" s="124">
        <v>1</v>
      </c>
      <c r="J614" s="124" t="s">
        <v>15</v>
      </c>
      <c r="K614" s="124" t="s">
        <v>103</v>
      </c>
      <c r="L614" s="121" t="s">
        <v>104</v>
      </c>
    </row>
    <row r="615" spans="1:12" x14ac:dyDescent="0.2">
      <c r="A615" s="121" t="s">
        <v>101</v>
      </c>
      <c r="B615" s="121" t="s">
        <v>102</v>
      </c>
      <c r="C615" s="121" t="s">
        <v>19</v>
      </c>
      <c r="D615" s="121" t="s">
        <v>12</v>
      </c>
      <c r="E615" s="122">
        <v>42801</v>
      </c>
      <c r="F615" s="123">
        <v>46.8731352</v>
      </c>
      <c r="G615" s="124" t="s">
        <v>16</v>
      </c>
      <c r="H615" s="121" t="s">
        <v>14</v>
      </c>
      <c r="I615" s="124">
        <v>1</v>
      </c>
      <c r="J615" s="124" t="s">
        <v>15</v>
      </c>
      <c r="K615" s="124" t="s">
        <v>103</v>
      </c>
      <c r="L615" s="121" t="s">
        <v>104</v>
      </c>
    </row>
    <row r="616" spans="1:12" x14ac:dyDescent="0.2">
      <c r="A616" s="121" t="s">
        <v>101</v>
      </c>
      <c r="B616" s="121" t="s">
        <v>102</v>
      </c>
      <c r="C616" s="121" t="s">
        <v>19</v>
      </c>
      <c r="D616" s="121" t="s">
        <v>12</v>
      </c>
      <c r="E616" s="122">
        <v>42801</v>
      </c>
      <c r="F616" s="123">
        <v>0.52300000000000002</v>
      </c>
      <c r="G616" s="124" t="s">
        <v>13</v>
      </c>
      <c r="H616" s="121" t="s">
        <v>18</v>
      </c>
      <c r="I616" s="124">
        <v>1</v>
      </c>
      <c r="J616" s="124" t="s">
        <v>15</v>
      </c>
      <c r="K616" s="124" t="s">
        <v>103</v>
      </c>
      <c r="L616" s="121" t="s">
        <v>104</v>
      </c>
    </row>
    <row r="617" spans="1:12" x14ac:dyDescent="0.2">
      <c r="A617" s="121" t="s">
        <v>101</v>
      </c>
      <c r="B617" s="121" t="s">
        <v>102</v>
      </c>
      <c r="C617" s="121" t="s">
        <v>19</v>
      </c>
      <c r="D617" s="121" t="s">
        <v>12</v>
      </c>
      <c r="E617" s="122">
        <v>42801</v>
      </c>
      <c r="F617" s="123">
        <v>17.011098</v>
      </c>
      <c r="G617" s="124" t="s">
        <v>16</v>
      </c>
      <c r="H617" s="121" t="s">
        <v>18</v>
      </c>
      <c r="I617" s="124">
        <v>1</v>
      </c>
      <c r="J617" s="124" t="s">
        <v>15</v>
      </c>
      <c r="K617" s="124" t="s">
        <v>103</v>
      </c>
      <c r="L617" s="121" t="s">
        <v>104</v>
      </c>
    </row>
    <row r="618" spans="1:12" x14ac:dyDescent="0.2">
      <c r="A618" s="121" t="s">
        <v>101</v>
      </c>
      <c r="B618" s="121" t="s">
        <v>102</v>
      </c>
      <c r="C618" s="121" t="s">
        <v>19</v>
      </c>
      <c r="D618" s="121" t="s">
        <v>12</v>
      </c>
      <c r="E618" s="122">
        <v>42795</v>
      </c>
      <c r="F618" s="123">
        <v>1.53</v>
      </c>
      <c r="G618" s="124" t="s">
        <v>13</v>
      </c>
      <c r="H618" s="121" t="s">
        <v>14</v>
      </c>
      <c r="I618" s="124">
        <v>1</v>
      </c>
      <c r="J618" s="124" t="s">
        <v>15</v>
      </c>
      <c r="K618" s="124" t="s">
        <v>103</v>
      </c>
      <c r="L618" s="121" t="s">
        <v>104</v>
      </c>
    </row>
    <row r="619" spans="1:12" x14ac:dyDescent="0.2">
      <c r="A619" s="121" t="s">
        <v>101</v>
      </c>
      <c r="B619" s="121" t="s">
        <v>102</v>
      </c>
      <c r="C619" s="121" t="s">
        <v>19</v>
      </c>
      <c r="D619" s="121" t="s">
        <v>12</v>
      </c>
      <c r="E619" s="122">
        <v>42795</v>
      </c>
      <c r="F619" s="123">
        <v>42.261782400000001</v>
      </c>
      <c r="G619" s="124" t="s">
        <v>16</v>
      </c>
      <c r="H619" s="121" t="s">
        <v>14</v>
      </c>
      <c r="I619" s="124">
        <v>1</v>
      </c>
      <c r="J619" s="124" t="s">
        <v>15</v>
      </c>
      <c r="K619" s="124" t="s">
        <v>103</v>
      </c>
      <c r="L619" s="121" t="s">
        <v>104</v>
      </c>
    </row>
    <row r="620" spans="1:12" x14ac:dyDescent="0.2">
      <c r="A620" s="121" t="s">
        <v>101</v>
      </c>
      <c r="B620" s="121" t="s">
        <v>102</v>
      </c>
      <c r="C620" s="121" t="s">
        <v>19</v>
      </c>
      <c r="D620" s="121" t="s">
        <v>12</v>
      </c>
      <c r="E620" s="122">
        <v>42795</v>
      </c>
      <c r="F620" s="123">
        <v>0.84799999999999998</v>
      </c>
      <c r="G620" s="124" t="s">
        <v>13</v>
      </c>
      <c r="H620" s="121" t="s">
        <v>18</v>
      </c>
      <c r="I620" s="124">
        <v>1</v>
      </c>
      <c r="J620" s="124" t="s">
        <v>15</v>
      </c>
      <c r="K620" s="124" t="s">
        <v>103</v>
      </c>
      <c r="L620" s="121" t="s">
        <v>104</v>
      </c>
    </row>
    <row r="621" spans="1:12" x14ac:dyDescent="0.2">
      <c r="A621" s="121" t="s">
        <v>101</v>
      </c>
      <c r="B621" s="121" t="s">
        <v>102</v>
      </c>
      <c r="C621" s="121" t="s">
        <v>19</v>
      </c>
      <c r="D621" s="121" t="s">
        <v>12</v>
      </c>
      <c r="E621" s="122">
        <v>42795</v>
      </c>
      <c r="F621" s="123">
        <v>26.096860800000002</v>
      </c>
      <c r="G621" s="124" t="s">
        <v>16</v>
      </c>
      <c r="H621" s="121" t="s">
        <v>18</v>
      </c>
      <c r="I621" s="124">
        <v>1</v>
      </c>
      <c r="J621" s="124" t="s">
        <v>15</v>
      </c>
      <c r="K621" s="124" t="s">
        <v>103</v>
      </c>
      <c r="L621" s="121" t="s">
        <v>104</v>
      </c>
    </row>
    <row r="622" spans="1:12" x14ac:dyDescent="0.2">
      <c r="A622" s="121" t="s">
        <v>101</v>
      </c>
      <c r="B622" s="121" t="s">
        <v>102</v>
      </c>
      <c r="C622" s="121" t="s">
        <v>19</v>
      </c>
      <c r="D622" s="121" t="s">
        <v>12</v>
      </c>
      <c r="E622" s="122">
        <v>42787</v>
      </c>
      <c r="F622" s="133">
        <v>2.2400000000000002</v>
      </c>
      <c r="G622" s="124" t="s">
        <v>13</v>
      </c>
      <c r="H622" s="121" t="s">
        <v>14</v>
      </c>
      <c r="I622" s="124">
        <v>1</v>
      </c>
      <c r="J622" s="124" t="s">
        <v>15</v>
      </c>
      <c r="K622" s="124" t="s">
        <v>103</v>
      </c>
      <c r="L622" s="121" t="s">
        <v>104</v>
      </c>
    </row>
    <row r="623" spans="1:12" x14ac:dyDescent="0.2">
      <c r="A623" s="121" t="s">
        <v>101</v>
      </c>
      <c r="B623" s="121" t="s">
        <v>102</v>
      </c>
      <c r="C623" s="121" t="s">
        <v>19</v>
      </c>
      <c r="D623" s="121" t="s">
        <v>12</v>
      </c>
      <c r="E623" s="122">
        <v>42787</v>
      </c>
      <c r="F623" s="133">
        <v>96.527827200000004</v>
      </c>
      <c r="G623" s="125" t="s">
        <v>16</v>
      </c>
      <c r="H623" s="126" t="s">
        <v>14</v>
      </c>
      <c r="I623" s="124">
        <v>1</v>
      </c>
      <c r="J623" s="124" t="s">
        <v>15</v>
      </c>
      <c r="K623" s="124" t="s">
        <v>103</v>
      </c>
      <c r="L623" s="121" t="s">
        <v>104</v>
      </c>
    </row>
    <row r="624" spans="1:12" x14ac:dyDescent="0.2">
      <c r="A624" s="121" t="s">
        <v>101</v>
      </c>
      <c r="B624" s="121" t="s">
        <v>102</v>
      </c>
      <c r="C624" s="121" t="s">
        <v>19</v>
      </c>
      <c r="D624" s="121" t="s">
        <v>12</v>
      </c>
      <c r="E624" s="122">
        <v>42787</v>
      </c>
      <c r="F624" s="133">
        <v>0.55300000000000005</v>
      </c>
      <c r="G624" s="124" t="s">
        <v>13</v>
      </c>
      <c r="H624" s="121" t="s">
        <v>18</v>
      </c>
      <c r="I624" s="124">
        <v>1</v>
      </c>
      <c r="J624" s="124" t="s">
        <v>15</v>
      </c>
      <c r="K624" s="124" t="s">
        <v>103</v>
      </c>
      <c r="L624" s="121" t="s">
        <v>104</v>
      </c>
    </row>
    <row r="625" spans="1:12" x14ac:dyDescent="0.2">
      <c r="A625" s="121" t="s">
        <v>101</v>
      </c>
      <c r="B625" s="121" t="s">
        <v>102</v>
      </c>
      <c r="C625" s="121" t="s">
        <v>19</v>
      </c>
      <c r="D625" s="121" t="s">
        <v>12</v>
      </c>
      <c r="E625" s="122">
        <v>42787</v>
      </c>
      <c r="F625" s="133">
        <v>25.965672600000001</v>
      </c>
      <c r="G625" s="124" t="s">
        <v>16</v>
      </c>
      <c r="H625" s="121" t="s">
        <v>18</v>
      </c>
      <c r="I625" s="124">
        <v>1</v>
      </c>
      <c r="J625" s="124" t="s">
        <v>15</v>
      </c>
      <c r="K625" s="124" t="s">
        <v>103</v>
      </c>
      <c r="L625" s="121" t="s">
        <v>104</v>
      </c>
    </row>
    <row r="626" spans="1:12" x14ac:dyDescent="0.2">
      <c r="A626" s="121" t="s">
        <v>101</v>
      </c>
      <c r="B626" s="121" t="s">
        <v>102</v>
      </c>
      <c r="C626" s="121" t="s">
        <v>19</v>
      </c>
      <c r="D626" s="121" t="s">
        <v>12</v>
      </c>
      <c r="E626" s="122">
        <v>42781</v>
      </c>
      <c r="F626" s="123">
        <v>2.2999999999999998</v>
      </c>
      <c r="G626" s="124" t="s">
        <v>13</v>
      </c>
      <c r="H626" s="121" t="s">
        <v>14</v>
      </c>
      <c r="I626" s="124">
        <v>1</v>
      </c>
      <c r="J626" s="124" t="s">
        <v>15</v>
      </c>
      <c r="K626" s="124" t="s">
        <v>103</v>
      </c>
      <c r="L626" s="121" t="s">
        <v>104</v>
      </c>
    </row>
    <row r="627" spans="1:12" x14ac:dyDescent="0.2">
      <c r="A627" s="121" t="s">
        <v>101</v>
      </c>
      <c r="B627" s="121" t="s">
        <v>102</v>
      </c>
      <c r="C627" s="121" t="s">
        <v>19</v>
      </c>
      <c r="D627" s="121" t="s">
        <v>12</v>
      </c>
      <c r="E627" s="122">
        <v>42781</v>
      </c>
      <c r="F627" s="123">
        <v>42.833405999999997</v>
      </c>
      <c r="G627" s="124" t="s">
        <v>16</v>
      </c>
      <c r="H627" s="121" t="s">
        <v>14</v>
      </c>
      <c r="I627" s="124">
        <v>1</v>
      </c>
      <c r="J627" s="124" t="s">
        <v>15</v>
      </c>
      <c r="K627" s="124" t="s">
        <v>103</v>
      </c>
      <c r="L627" s="121" t="s">
        <v>104</v>
      </c>
    </row>
    <row r="628" spans="1:12" x14ac:dyDescent="0.2">
      <c r="A628" s="121" t="s">
        <v>101</v>
      </c>
      <c r="B628" s="121" t="s">
        <v>102</v>
      </c>
      <c r="C628" s="121" t="s">
        <v>19</v>
      </c>
      <c r="D628" s="121" t="s">
        <v>12</v>
      </c>
      <c r="E628" s="122">
        <v>42781</v>
      </c>
      <c r="F628" s="123">
        <v>0.76400000000000001</v>
      </c>
      <c r="G628" s="124" t="s">
        <v>13</v>
      </c>
      <c r="H628" s="121" t="s">
        <v>18</v>
      </c>
      <c r="I628" s="124">
        <v>1</v>
      </c>
      <c r="J628" s="124" t="s">
        <v>15</v>
      </c>
      <c r="K628" s="124" t="s">
        <v>103</v>
      </c>
      <c r="L628" s="121" t="s">
        <v>104</v>
      </c>
    </row>
    <row r="629" spans="1:12" x14ac:dyDescent="0.2">
      <c r="A629" s="121" t="s">
        <v>101</v>
      </c>
      <c r="B629" s="121" t="s">
        <v>102</v>
      </c>
      <c r="C629" s="121" t="s">
        <v>19</v>
      </c>
      <c r="D629" s="121" t="s">
        <v>12</v>
      </c>
      <c r="E629" s="122">
        <v>42781</v>
      </c>
      <c r="F629" s="123">
        <v>15.4196592</v>
      </c>
      <c r="G629" s="124" t="s">
        <v>16</v>
      </c>
      <c r="H629" s="121" t="s">
        <v>18</v>
      </c>
      <c r="I629" s="124">
        <v>1</v>
      </c>
      <c r="J629" s="124" t="s">
        <v>15</v>
      </c>
      <c r="K629" s="124" t="s">
        <v>103</v>
      </c>
      <c r="L629" s="121" t="s">
        <v>104</v>
      </c>
    </row>
    <row r="630" spans="1:12" x14ac:dyDescent="0.2">
      <c r="A630" s="121" t="s">
        <v>101</v>
      </c>
      <c r="B630" s="121" t="s">
        <v>102</v>
      </c>
      <c r="C630" s="121" t="s">
        <v>19</v>
      </c>
      <c r="D630" s="121" t="s">
        <v>12</v>
      </c>
      <c r="E630" s="122">
        <v>42773</v>
      </c>
      <c r="F630" s="123">
        <v>2.48</v>
      </c>
      <c r="G630" s="124" t="s">
        <v>13</v>
      </c>
      <c r="H630" s="121" t="s">
        <v>14</v>
      </c>
      <c r="I630" s="124">
        <v>1</v>
      </c>
      <c r="J630" s="124" t="s">
        <v>15</v>
      </c>
      <c r="K630" s="124" t="s">
        <v>103</v>
      </c>
      <c r="L630" s="121" t="s">
        <v>104</v>
      </c>
    </row>
    <row r="631" spans="1:12" x14ac:dyDescent="0.2">
      <c r="A631" s="121" t="s">
        <v>101</v>
      </c>
      <c r="B631" s="121" t="s">
        <v>102</v>
      </c>
      <c r="C631" s="121" t="s">
        <v>19</v>
      </c>
      <c r="D631" s="121" t="s">
        <v>12</v>
      </c>
      <c r="E631" s="122">
        <v>42773</v>
      </c>
      <c r="F631" s="123">
        <v>36.836779200000002</v>
      </c>
      <c r="G631" s="124" t="s">
        <v>16</v>
      </c>
      <c r="H631" s="121" t="s">
        <v>14</v>
      </c>
      <c r="I631" s="124">
        <v>1</v>
      </c>
      <c r="J631" s="124" t="s">
        <v>15</v>
      </c>
      <c r="K631" s="124" t="s">
        <v>103</v>
      </c>
      <c r="L631" s="121" t="s">
        <v>104</v>
      </c>
    </row>
    <row r="632" spans="1:12" x14ac:dyDescent="0.2">
      <c r="A632" s="121" t="s">
        <v>101</v>
      </c>
      <c r="B632" s="121" t="s">
        <v>102</v>
      </c>
      <c r="C632" s="121" t="s">
        <v>19</v>
      </c>
      <c r="D632" s="121" t="s">
        <v>12</v>
      </c>
      <c r="E632" s="122">
        <v>42773</v>
      </c>
      <c r="F632" s="123">
        <v>0.92700000000000005</v>
      </c>
      <c r="G632" s="124" t="s">
        <v>13</v>
      </c>
      <c r="H632" s="121" t="s">
        <v>18</v>
      </c>
      <c r="I632" s="124">
        <v>1</v>
      </c>
      <c r="J632" s="124" t="s">
        <v>15</v>
      </c>
      <c r="K632" s="124" t="s">
        <v>103</v>
      </c>
      <c r="L632" s="121" t="s">
        <v>104</v>
      </c>
    </row>
    <row r="633" spans="1:12" x14ac:dyDescent="0.2">
      <c r="A633" s="121" t="s">
        <v>101</v>
      </c>
      <c r="B633" s="121" t="s">
        <v>102</v>
      </c>
      <c r="C633" s="121" t="s">
        <v>19</v>
      </c>
      <c r="D633" s="121" t="s">
        <v>12</v>
      </c>
      <c r="E633" s="122">
        <v>42773</v>
      </c>
      <c r="F633" s="123">
        <v>15.539671800000001</v>
      </c>
      <c r="G633" s="124" t="s">
        <v>16</v>
      </c>
      <c r="H633" s="121" t="s">
        <v>18</v>
      </c>
      <c r="I633" s="124">
        <v>1</v>
      </c>
      <c r="J633" s="124" t="s">
        <v>15</v>
      </c>
      <c r="K633" s="124" t="s">
        <v>103</v>
      </c>
      <c r="L633" s="121" t="s">
        <v>104</v>
      </c>
    </row>
    <row r="634" spans="1:12" x14ac:dyDescent="0.2">
      <c r="A634" s="121" t="s">
        <v>101</v>
      </c>
      <c r="B634" s="121" t="s">
        <v>102</v>
      </c>
      <c r="C634" s="121" t="s">
        <v>19</v>
      </c>
      <c r="D634" s="121" t="s">
        <v>12</v>
      </c>
      <c r="E634" s="122">
        <v>42768</v>
      </c>
      <c r="F634" s="123">
        <v>2.42</v>
      </c>
      <c r="G634" s="124" t="s">
        <v>13</v>
      </c>
      <c r="H634" s="121" t="s">
        <v>14</v>
      </c>
      <c r="I634" s="124">
        <v>1</v>
      </c>
      <c r="J634" s="124" t="s">
        <v>15</v>
      </c>
      <c r="K634" s="124" t="s">
        <v>103</v>
      </c>
      <c r="L634" s="121" t="s">
        <v>104</v>
      </c>
    </row>
    <row r="635" spans="1:12" x14ac:dyDescent="0.2">
      <c r="A635" s="121" t="s">
        <v>101</v>
      </c>
      <c r="B635" s="121" t="s">
        <v>102</v>
      </c>
      <c r="C635" s="121" t="s">
        <v>19</v>
      </c>
      <c r="D635" s="121" t="s">
        <v>12</v>
      </c>
      <c r="E635" s="122">
        <v>42768</v>
      </c>
      <c r="F635" s="123">
        <v>38.145491999999997</v>
      </c>
      <c r="G635" s="124" t="s">
        <v>16</v>
      </c>
      <c r="H635" s="121" t="s">
        <v>14</v>
      </c>
      <c r="I635" s="124">
        <v>1</v>
      </c>
      <c r="J635" s="124" t="s">
        <v>15</v>
      </c>
      <c r="K635" s="124" t="s">
        <v>103</v>
      </c>
      <c r="L635" s="121" t="s">
        <v>104</v>
      </c>
    </row>
    <row r="636" spans="1:12" x14ac:dyDescent="0.2">
      <c r="A636" s="121" t="s">
        <v>101</v>
      </c>
      <c r="B636" s="121" t="s">
        <v>102</v>
      </c>
      <c r="C636" s="121" t="s">
        <v>19</v>
      </c>
      <c r="D636" s="121" t="s">
        <v>12</v>
      </c>
      <c r="E636" s="122">
        <v>42768</v>
      </c>
      <c r="F636" s="123">
        <v>1.04</v>
      </c>
      <c r="G636" s="124" t="s">
        <v>13</v>
      </c>
      <c r="H636" s="121" t="s">
        <v>18</v>
      </c>
      <c r="I636" s="124">
        <v>1</v>
      </c>
      <c r="J636" s="124" t="s">
        <v>15</v>
      </c>
      <c r="K636" s="124" t="s">
        <v>103</v>
      </c>
      <c r="L636" s="121" t="s">
        <v>104</v>
      </c>
    </row>
    <row r="637" spans="1:12" x14ac:dyDescent="0.2">
      <c r="A637" s="121" t="s">
        <v>101</v>
      </c>
      <c r="B637" s="121" t="s">
        <v>102</v>
      </c>
      <c r="C637" s="121" t="s">
        <v>19</v>
      </c>
      <c r="D637" s="121" t="s">
        <v>12</v>
      </c>
      <c r="E637" s="122">
        <v>42768</v>
      </c>
      <c r="F637" s="123">
        <v>16.913519999999998</v>
      </c>
      <c r="G637" s="124" t="s">
        <v>16</v>
      </c>
      <c r="H637" s="121" t="s">
        <v>18</v>
      </c>
      <c r="I637" s="124">
        <v>1</v>
      </c>
      <c r="J637" s="124" t="s">
        <v>15</v>
      </c>
      <c r="K637" s="124" t="s">
        <v>103</v>
      </c>
      <c r="L637" s="121" t="s">
        <v>104</v>
      </c>
    </row>
    <row r="638" spans="1:12" x14ac:dyDescent="0.2">
      <c r="A638" s="121" t="s">
        <v>101</v>
      </c>
      <c r="B638" s="121" t="s">
        <v>102</v>
      </c>
      <c r="C638" s="121" t="s">
        <v>19</v>
      </c>
      <c r="D638" s="121" t="s">
        <v>12</v>
      </c>
      <c r="E638" s="122">
        <v>42760</v>
      </c>
      <c r="F638" s="123">
        <v>1.83</v>
      </c>
      <c r="G638" s="124" t="s">
        <v>13</v>
      </c>
      <c r="H638" s="121" t="s">
        <v>14</v>
      </c>
      <c r="I638" s="124">
        <v>1</v>
      </c>
      <c r="J638" s="124" t="s">
        <v>15</v>
      </c>
      <c r="K638" s="124" t="s">
        <v>103</v>
      </c>
      <c r="L638" s="121" t="s">
        <v>104</v>
      </c>
    </row>
    <row r="639" spans="1:12" x14ac:dyDescent="0.2">
      <c r="A639" s="121" t="s">
        <v>101</v>
      </c>
      <c r="B639" s="121" t="s">
        <v>102</v>
      </c>
      <c r="C639" s="121" t="s">
        <v>19</v>
      </c>
      <c r="D639" s="121" t="s">
        <v>12</v>
      </c>
      <c r="E639" s="122">
        <v>42760</v>
      </c>
      <c r="F639" s="123">
        <v>30.448089</v>
      </c>
      <c r="G639" s="124" t="s">
        <v>16</v>
      </c>
      <c r="H639" s="121" t="s">
        <v>14</v>
      </c>
      <c r="I639" s="124">
        <v>1</v>
      </c>
      <c r="J639" s="124" t="s">
        <v>15</v>
      </c>
      <c r="K639" s="124" t="s">
        <v>103</v>
      </c>
      <c r="L639" s="121" t="s">
        <v>104</v>
      </c>
    </row>
    <row r="640" spans="1:12" x14ac:dyDescent="0.2">
      <c r="A640" s="121" t="s">
        <v>101</v>
      </c>
      <c r="B640" s="121" t="s">
        <v>102</v>
      </c>
      <c r="C640" s="121" t="s">
        <v>19</v>
      </c>
      <c r="D640" s="121" t="s">
        <v>12</v>
      </c>
      <c r="E640" s="122">
        <v>42760</v>
      </c>
      <c r="F640" s="123">
        <v>0.66800000000000004</v>
      </c>
      <c r="G640" s="124" t="s">
        <v>13</v>
      </c>
      <c r="H640" s="121" t="s">
        <v>18</v>
      </c>
      <c r="I640" s="124">
        <v>1</v>
      </c>
      <c r="J640" s="124" t="s">
        <v>15</v>
      </c>
      <c r="K640" s="124" t="s">
        <v>103</v>
      </c>
      <c r="L640" s="121" t="s">
        <v>104</v>
      </c>
    </row>
    <row r="641" spans="1:12" x14ac:dyDescent="0.2">
      <c r="A641" s="121" t="s">
        <v>101</v>
      </c>
      <c r="B641" s="121" t="s">
        <v>102</v>
      </c>
      <c r="C641" s="121" t="s">
        <v>19</v>
      </c>
      <c r="D641" s="121" t="s">
        <v>12</v>
      </c>
      <c r="E641" s="122">
        <v>42760</v>
      </c>
      <c r="F641" s="123">
        <v>11.699351999999999</v>
      </c>
      <c r="G641" s="124" t="s">
        <v>16</v>
      </c>
      <c r="H641" s="121" t="s">
        <v>18</v>
      </c>
      <c r="I641" s="124">
        <v>1</v>
      </c>
      <c r="J641" s="124" t="s">
        <v>15</v>
      </c>
      <c r="K641" s="124" t="s">
        <v>103</v>
      </c>
      <c r="L641" s="121" t="s">
        <v>104</v>
      </c>
    </row>
    <row r="642" spans="1:12" x14ac:dyDescent="0.2">
      <c r="A642" s="121" t="s">
        <v>101</v>
      </c>
      <c r="B642" s="121" t="s">
        <v>102</v>
      </c>
      <c r="C642" s="121" t="s">
        <v>19</v>
      </c>
      <c r="D642" s="121" t="s">
        <v>12</v>
      </c>
      <c r="E642" s="122">
        <v>42752</v>
      </c>
      <c r="F642" s="123">
        <v>3.95</v>
      </c>
      <c r="G642" s="124" t="s">
        <v>13</v>
      </c>
      <c r="H642" s="121" t="s">
        <v>14</v>
      </c>
      <c r="I642" s="124">
        <v>1</v>
      </c>
      <c r="J642" s="124" t="s">
        <v>15</v>
      </c>
      <c r="K642" s="124" t="s">
        <v>103</v>
      </c>
      <c r="L642" s="121" t="s">
        <v>104</v>
      </c>
    </row>
    <row r="643" spans="1:12" x14ac:dyDescent="0.2">
      <c r="A643" s="121" t="s">
        <v>101</v>
      </c>
      <c r="B643" s="121" t="s">
        <v>102</v>
      </c>
      <c r="C643" s="121" t="s">
        <v>19</v>
      </c>
      <c r="D643" s="121" t="s">
        <v>12</v>
      </c>
      <c r="E643" s="122">
        <v>42752</v>
      </c>
      <c r="F643" s="123">
        <v>55.311297000000003</v>
      </c>
      <c r="G643" s="124" t="s">
        <v>16</v>
      </c>
      <c r="H643" s="121" t="s">
        <v>14</v>
      </c>
      <c r="I643" s="124">
        <v>1</v>
      </c>
      <c r="J643" s="124" t="s">
        <v>15</v>
      </c>
      <c r="K643" s="124" t="s">
        <v>103</v>
      </c>
      <c r="L643" s="121" t="s">
        <v>104</v>
      </c>
    </row>
    <row r="644" spans="1:12" x14ac:dyDescent="0.2">
      <c r="A644" s="121" t="s">
        <v>101</v>
      </c>
      <c r="B644" s="121" t="s">
        <v>102</v>
      </c>
      <c r="C644" s="121" t="s">
        <v>19</v>
      </c>
      <c r="D644" s="121" t="s">
        <v>12</v>
      </c>
      <c r="E644" s="122">
        <v>42752</v>
      </c>
      <c r="F644" s="123">
        <v>1.06</v>
      </c>
      <c r="G644" s="124" t="s">
        <v>13</v>
      </c>
      <c r="H644" s="121" t="s">
        <v>18</v>
      </c>
      <c r="I644" s="124">
        <v>1</v>
      </c>
      <c r="J644" s="124" t="s">
        <v>15</v>
      </c>
      <c r="K644" s="124" t="s">
        <v>103</v>
      </c>
      <c r="L644" s="121" t="s">
        <v>104</v>
      </c>
    </row>
    <row r="645" spans="1:12" x14ac:dyDescent="0.2">
      <c r="A645" s="121" t="s">
        <v>101</v>
      </c>
      <c r="B645" s="121" t="s">
        <v>102</v>
      </c>
      <c r="C645" s="121" t="s">
        <v>19</v>
      </c>
      <c r="D645" s="121" t="s">
        <v>12</v>
      </c>
      <c r="E645" s="122">
        <v>42752</v>
      </c>
      <c r="F645" s="123">
        <v>15.559104</v>
      </c>
      <c r="G645" s="124" t="s">
        <v>16</v>
      </c>
      <c r="H645" s="121" t="s">
        <v>18</v>
      </c>
      <c r="I645" s="124">
        <v>1</v>
      </c>
      <c r="J645" s="124" t="s">
        <v>15</v>
      </c>
      <c r="K645" s="124" t="s">
        <v>103</v>
      </c>
      <c r="L645" s="121" t="s">
        <v>104</v>
      </c>
    </row>
    <row r="646" spans="1:12" x14ac:dyDescent="0.2">
      <c r="A646" s="121" t="s">
        <v>101</v>
      </c>
      <c r="B646" s="121" t="s">
        <v>102</v>
      </c>
      <c r="C646" s="121" t="s">
        <v>19</v>
      </c>
      <c r="D646" s="121" t="s">
        <v>12</v>
      </c>
      <c r="E646" s="122">
        <v>42745</v>
      </c>
      <c r="F646" s="123">
        <v>2.62</v>
      </c>
      <c r="G646" s="124" t="s">
        <v>13</v>
      </c>
      <c r="H646" s="121" t="s">
        <v>14</v>
      </c>
      <c r="I646" s="124">
        <v>1</v>
      </c>
      <c r="J646" s="124" t="s">
        <v>15</v>
      </c>
      <c r="K646" s="124" t="s">
        <v>103</v>
      </c>
      <c r="L646" s="121" t="s">
        <v>104</v>
      </c>
    </row>
    <row r="647" spans="1:12" x14ac:dyDescent="0.2">
      <c r="A647" s="121" t="s">
        <v>101</v>
      </c>
      <c r="B647" s="121" t="s">
        <v>102</v>
      </c>
      <c r="C647" s="121" t="s">
        <v>19</v>
      </c>
      <c r="D647" s="121" t="s">
        <v>12</v>
      </c>
      <c r="E647" s="122">
        <v>42745</v>
      </c>
      <c r="F647" s="123">
        <v>36.359731199999999</v>
      </c>
      <c r="G647" s="124" t="s">
        <v>16</v>
      </c>
      <c r="H647" s="121" t="s">
        <v>14</v>
      </c>
      <c r="I647" s="124">
        <v>1</v>
      </c>
      <c r="J647" s="124" t="s">
        <v>15</v>
      </c>
      <c r="K647" s="124" t="s">
        <v>103</v>
      </c>
      <c r="L647" s="121" t="s">
        <v>104</v>
      </c>
    </row>
    <row r="648" spans="1:12" x14ac:dyDescent="0.2">
      <c r="A648" s="121" t="s">
        <v>101</v>
      </c>
      <c r="B648" s="121" t="s">
        <v>102</v>
      </c>
      <c r="C648" s="121" t="s">
        <v>19</v>
      </c>
      <c r="D648" s="121" t="s">
        <v>12</v>
      </c>
      <c r="E648" s="122">
        <v>42745</v>
      </c>
      <c r="F648" s="123">
        <v>1.23</v>
      </c>
      <c r="G648" s="124" t="s">
        <v>13</v>
      </c>
      <c r="H648" s="121" t="s">
        <v>18</v>
      </c>
      <c r="I648" s="124">
        <v>1</v>
      </c>
      <c r="J648" s="124" t="s">
        <v>15</v>
      </c>
      <c r="K648" s="124" t="s">
        <v>103</v>
      </c>
      <c r="L648" s="121" t="s">
        <v>104</v>
      </c>
    </row>
    <row r="649" spans="1:12" x14ac:dyDescent="0.2">
      <c r="A649" s="121" t="s">
        <v>101</v>
      </c>
      <c r="B649" s="121" t="s">
        <v>102</v>
      </c>
      <c r="C649" s="121" t="s">
        <v>19</v>
      </c>
      <c r="D649" s="121" t="s">
        <v>12</v>
      </c>
      <c r="E649" s="122">
        <v>42745</v>
      </c>
      <c r="F649" s="123">
        <v>17.541522000000001</v>
      </c>
      <c r="G649" s="124" t="s">
        <v>16</v>
      </c>
      <c r="H649" s="121" t="s">
        <v>18</v>
      </c>
      <c r="I649" s="124">
        <v>1</v>
      </c>
      <c r="J649" s="124" t="s">
        <v>15</v>
      </c>
      <c r="K649" s="124" t="s">
        <v>103</v>
      </c>
      <c r="L649" s="121" t="s">
        <v>104</v>
      </c>
    </row>
    <row r="650" spans="1:12" x14ac:dyDescent="0.2">
      <c r="A650" s="121" t="s">
        <v>101</v>
      </c>
      <c r="B650" s="121" t="s">
        <v>102</v>
      </c>
      <c r="C650" s="121" t="s">
        <v>19</v>
      </c>
      <c r="D650" s="121" t="s">
        <v>12</v>
      </c>
      <c r="E650" s="122">
        <v>42740</v>
      </c>
      <c r="F650" s="123">
        <v>2.29</v>
      </c>
      <c r="G650" s="124" t="s">
        <v>13</v>
      </c>
      <c r="H650" s="121" t="s">
        <v>14</v>
      </c>
      <c r="I650" s="124">
        <v>1</v>
      </c>
      <c r="J650" s="124" t="s">
        <v>15</v>
      </c>
      <c r="K650" s="124" t="s">
        <v>103</v>
      </c>
      <c r="L650" s="121" t="s">
        <v>104</v>
      </c>
    </row>
    <row r="651" spans="1:12" x14ac:dyDescent="0.2">
      <c r="A651" s="121" t="s">
        <v>101</v>
      </c>
      <c r="B651" s="121" t="s">
        <v>102</v>
      </c>
      <c r="C651" s="121" t="s">
        <v>19</v>
      </c>
      <c r="D651" s="121" t="s">
        <v>12</v>
      </c>
      <c r="E651" s="122">
        <v>42740</v>
      </c>
      <c r="F651" s="123">
        <v>33.670831800000002</v>
      </c>
      <c r="G651" s="124" t="s">
        <v>16</v>
      </c>
      <c r="H651" s="121" t="s">
        <v>14</v>
      </c>
      <c r="I651" s="124">
        <v>1</v>
      </c>
      <c r="J651" s="124" t="s">
        <v>15</v>
      </c>
      <c r="K651" s="124" t="s">
        <v>103</v>
      </c>
      <c r="L651" s="121" t="s">
        <v>104</v>
      </c>
    </row>
    <row r="652" spans="1:12" x14ac:dyDescent="0.2">
      <c r="A652" s="121" t="s">
        <v>101</v>
      </c>
      <c r="B652" s="121" t="s">
        <v>102</v>
      </c>
      <c r="C652" s="121" t="s">
        <v>19</v>
      </c>
      <c r="D652" s="121" t="s">
        <v>12</v>
      </c>
      <c r="E652" s="122">
        <v>42740</v>
      </c>
      <c r="F652" s="123">
        <v>1.1200000000000001</v>
      </c>
      <c r="G652" s="124" t="s">
        <v>13</v>
      </c>
      <c r="H652" s="121" t="s">
        <v>18</v>
      </c>
      <c r="I652" s="124">
        <v>1</v>
      </c>
      <c r="J652" s="124" t="s">
        <v>15</v>
      </c>
      <c r="K652" s="124" t="s">
        <v>103</v>
      </c>
      <c r="L652" s="121" t="s">
        <v>104</v>
      </c>
    </row>
    <row r="653" spans="1:12" x14ac:dyDescent="0.2">
      <c r="A653" s="121" t="s">
        <v>101</v>
      </c>
      <c r="B653" s="121" t="s">
        <v>102</v>
      </c>
      <c r="C653" s="121" t="s">
        <v>19</v>
      </c>
      <c r="D653" s="121" t="s">
        <v>12</v>
      </c>
      <c r="E653" s="122">
        <v>42740</v>
      </c>
      <c r="F653" s="123">
        <v>17.280480000000001</v>
      </c>
      <c r="G653" s="124" t="s">
        <v>16</v>
      </c>
      <c r="H653" s="121" t="s">
        <v>18</v>
      </c>
      <c r="I653" s="124">
        <v>1</v>
      </c>
      <c r="J653" s="124" t="s">
        <v>15</v>
      </c>
      <c r="K653" s="124" t="s">
        <v>103</v>
      </c>
      <c r="L653" s="121" t="s">
        <v>104</v>
      </c>
    </row>
    <row r="654" spans="1:12" x14ac:dyDescent="0.2">
      <c r="A654" s="121" t="s">
        <v>101</v>
      </c>
      <c r="B654" s="121" t="s">
        <v>102</v>
      </c>
      <c r="C654" s="121" t="s">
        <v>19</v>
      </c>
      <c r="D654" s="121" t="s">
        <v>12</v>
      </c>
      <c r="E654" s="122">
        <v>42732</v>
      </c>
      <c r="F654" s="123">
        <v>2.2200000000000002</v>
      </c>
      <c r="G654" s="124" t="s">
        <v>13</v>
      </c>
      <c r="H654" s="121" t="s">
        <v>14</v>
      </c>
      <c r="I654" s="124">
        <v>1</v>
      </c>
      <c r="J654" s="124" t="s">
        <v>15</v>
      </c>
      <c r="K654" s="124" t="s">
        <v>103</v>
      </c>
      <c r="L654" s="121" t="s">
        <v>104</v>
      </c>
    </row>
    <row r="655" spans="1:12" x14ac:dyDescent="0.2">
      <c r="A655" s="121" t="s">
        <v>101</v>
      </c>
      <c r="B655" s="121" t="s">
        <v>102</v>
      </c>
      <c r="C655" s="121" t="s">
        <v>19</v>
      </c>
      <c r="D655" s="121" t="s">
        <v>12</v>
      </c>
      <c r="E655" s="122">
        <v>42732</v>
      </c>
      <c r="F655" s="123">
        <v>36.862966800000002</v>
      </c>
      <c r="G655" s="124" t="s">
        <v>16</v>
      </c>
      <c r="H655" s="121" t="s">
        <v>14</v>
      </c>
      <c r="I655" s="124">
        <v>1</v>
      </c>
      <c r="J655" s="124" t="s">
        <v>15</v>
      </c>
      <c r="K655" s="124" t="s">
        <v>103</v>
      </c>
      <c r="L655" s="121" t="s">
        <v>104</v>
      </c>
    </row>
    <row r="656" spans="1:12" x14ac:dyDescent="0.2">
      <c r="A656" s="121" t="s">
        <v>101</v>
      </c>
      <c r="B656" s="121" t="s">
        <v>102</v>
      </c>
      <c r="C656" s="121" t="s">
        <v>19</v>
      </c>
      <c r="D656" s="121" t="s">
        <v>12</v>
      </c>
      <c r="E656" s="122">
        <v>42732</v>
      </c>
      <c r="F656" s="123">
        <v>0.94899999999999995</v>
      </c>
      <c r="G656" s="124" t="s">
        <v>13</v>
      </c>
      <c r="H656" s="121" t="s">
        <v>18</v>
      </c>
      <c r="I656" s="124">
        <v>1</v>
      </c>
      <c r="J656" s="124" t="s">
        <v>15</v>
      </c>
      <c r="K656" s="124" t="s">
        <v>103</v>
      </c>
      <c r="L656" s="121" t="s">
        <v>104</v>
      </c>
    </row>
    <row r="657" spans="1:12" x14ac:dyDescent="0.2">
      <c r="A657" s="121" t="s">
        <v>101</v>
      </c>
      <c r="B657" s="121" t="s">
        <v>102</v>
      </c>
      <c r="C657" s="121" t="s">
        <v>19</v>
      </c>
      <c r="D657" s="121" t="s">
        <v>12</v>
      </c>
      <c r="E657" s="122">
        <v>42732</v>
      </c>
      <c r="F657" s="123">
        <v>16.225052999999999</v>
      </c>
      <c r="G657" s="124" t="s">
        <v>16</v>
      </c>
      <c r="H657" s="121" t="s">
        <v>18</v>
      </c>
      <c r="I657" s="124">
        <v>1</v>
      </c>
      <c r="J657" s="124" t="s">
        <v>15</v>
      </c>
      <c r="K657" s="124" t="s">
        <v>103</v>
      </c>
      <c r="L657" s="121" t="s">
        <v>104</v>
      </c>
    </row>
    <row r="658" spans="1:12" x14ac:dyDescent="0.2">
      <c r="A658" s="121" t="s">
        <v>101</v>
      </c>
      <c r="B658" s="121" t="s">
        <v>102</v>
      </c>
      <c r="C658" s="121" t="s">
        <v>19</v>
      </c>
      <c r="D658" s="121" t="s">
        <v>12</v>
      </c>
      <c r="E658" s="122">
        <v>42723</v>
      </c>
      <c r="F658" s="123">
        <v>2.77</v>
      </c>
      <c r="G658" s="124" t="s">
        <v>13</v>
      </c>
      <c r="H658" s="121" t="s">
        <v>14</v>
      </c>
      <c r="I658" s="124">
        <v>1</v>
      </c>
      <c r="J658" s="124" t="s">
        <v>15</v>
      </c>
      <c r="K658" s="124" t="s">
        <v>103</v>
      </c>
      <c r="L658" s="121" t="s">
        <v>104</v>
      </c>
    </row>
    <row r="659" spans="1:12" x14ac:dyDescent="0.2">
      <c r="A659" s="121" t="s">
        <v>101</v>
      </c>
      <c r="B659" s="121" t="s">
        <v>102</v>
      </c>
      <c r="C659" s="121" t="s">
        <v>19</v>
      </c>
      <c r="D659" s="121" t="s">
        <v>12</v>
      </c>
      <c r="E659" s="122">
        <v>42723</v>
      </c>
      <c r="F659" s="123">
        <v>40.890186</v>
      </c>
      <c r="G659" s="124" t="s">
        <v>16</v>
      </c>
      <c r="H659" s="121" t="s">
        <v>14</v>
      </c>
      <c r="I659" s="124">
        <v>1</v>
      </c>
      <c r="J659" s="124" t="s">
        <v>15</v>
      </c>
      <c r="K659" s="124" t="s">
        <v>103</v>
      </c>
      <c r="L659" s="121" t="s">
        <v>104</v>
      </c>
    </row>
    <row r="660" spans="1:12" x14ac:dyDescent="0.2">
      <c r="A660" s="121" t="s">
        <v>101</v>
      </c>
      <c r="B660" s="121" t="s">
        <v>102</v>
      </c>
      <c r="C660" s="121" t="s">
        <v>19</v>
      </c>
      <c r="D660" s="121" t="s">
        <v>12</v>
      </c>
      <c r="E660" s="122">
        <v>42723</v>
      </c>
      <c r="F660" s="123">
        <v>0.98199999999999998</v>
      </c>
      <c r="G660" s="124" t="s">
        <v>13</v>
      </c>
      <c r="H660" s="121" t="s">
        <v>18</v>
      </c>
      <c r="I660" s="124">
        <v>1</v>
      </c>
      <c r="J660" s="124" t="s">
        <v>15</v>
      </c>
      <c r="K660" s="124" t="s">
        <v>103</v>
      </c>
      <c r="L660" s="121" t="s">
        <v>104</v>
      </c>
    </row>
    <row r="661" spans="1:12" x14ac:dyDescent="0.2">
      <c r="A661" s="121" t="s">
        <v>101</v>
      </c>
      <c r="B661" s="121" t="s">
        <v>102</v>
      </c>
      <c r="C661" s="121" t="s">
        <v>19</v>
      </c>
      <c r="D661" s="121" t="s">
        <v>12</v>
      </c>
      <c r="E661" s="122">
        <v>42723</v>
      </c>
      <c r="F661" s="123">
        <v>16.0521648</v>
      </c>
      <c r="G661" s="124" t="s">
        <v>16</v>
      </c>
      <c r="H661" s="121" t="s">
        <v>18</v>
      </c>
      <c r="I661" s="124">
        <v>1</v>
      </c>
      <c r="J661" s="124" t="s">
        <v>15</v>
      </c>
      <c r="K661" s="124" t="s">
        <v>103</v>
      </c>
      <c r="L661" s="121" t="s">
        <v>104</v>
      </c>
    </row>
    <row r="662" spans="1:12" x14ac:dyDescent="0.2">
      <c r="A662" s="121" t="s">
        <v>101</v>
      </c>
      <c r="B662" s="121" t="s">
        <v>102</v>
      </c>
      <c r="C662" s="121" t="s">
        <v>19</v>
      </c>
      <c r="D662" s="121" t="s">
        <v>12</v>
      </c>
      <c r="E662" s="122">
        <v>42717</v>
      </c>
      <c r="F662" s="123">
        <v>2.77</v>
      </c>
      <c r="G662" s="124" t="s">
        <v>13</v>
      </c>
      <c r="H662" s="121" t="s">
        <v>14</v>
      </c>
      <c r="I662" s="124">
        <v>1</v>
      </c>
      <c r="J662" s="124" t="s">
        <v>15</v>
      </c>
      <c r="K662" s="124" t="s">
        <v>103</v>
      </c>
      <c r="L662" s="121" t="s">
        <v>104</v>
      </c>
    </row>
    <row r="663" spans="1:12" x14ac:dyDescent="0.2">
      <c r="A663" s="121" t="s">
        <v>101</v>
      </c>
      <c r="B663" s="121" t="s">
        <v>102</v>
      </c>
      <c r="C663" s="121" t="s">
        <v>19</v>
      </c>
      <c r="D663" s="121" t="s">
        <v>12</v>
      </c>
      <c r="E663" s="122">
        <v>42717</v>
      </c>
      <c r="F663" s="123">
        <v>41.121203999999999</v>
      </c>
      <c r="G663" s="124" t="s">
        <v>16</v>
      </c>
      <c r="H663" s="121" t="s">
        <v>14</v>
      </c>
      <c r="I663" s="124">
        <v>1</v>
      </c>
      <c r="J663" s="124" t="s">
        <v>15</v>
      </c>
      <c r="K663" s="124" t="s">
        <v>103</v>
      </c>
      <c r="L663" s="121" t="s">
        <v>104</v>
      </c>
    </row>
    <row r="664" spans="1:12" x14ac:dyDescent="0.2">
      <c r="A664" s="121" t="s">
        <v>101</v>
      </c>
      <c r="B664" s="121" t="s">
        <v>102</v>
      </c>
      <c r="C664" s="121" t="s">
        <v>19</v>
      </c>
      <c r="D664" s="121" t="s">
        <v>12</v>
      </c>
      <c r="E664" s="122">
        <v>42717</v>
      </c>
      <c r="F664" s="123">
        <v>1.34</v>
      </c>
      <c r="G664" s="124" t="s">
        <v>13</v>
      </c>
      <c r="H664" s="121" t="s">
        <v>18</v>
      </c>
      <c r="I664" s="124">
        <v>1</v>
      </c>
      <c r="J664" s="124" t="s">
        <v>15</v>
      </c>
      <c r="K664" s="124" t="s">
        <v>103</v>
      </c>
      <c r="L664" s="121" t="s">
        <v>104</v>
      </c>
    </row>
    <row r="665" spans="1:12" x14ac:dyDescent="0.2">
      <c r="A665" s="121" t="s">
        <v>101</v>
      </c>
      <c r="B665" s="121" t="s">
        <v>102</v>
      </c>
      <c r="C665" s="121" t="s">
        <v>19</v>
      </c>
      <c r="D665" s="121" t="s">
        <v>12</v>
      </c>
      <c r="E665" s="122">
        <v>42717</v>
      </c>
      <c r="F665" s="123">
        <v>19.892568000000001</v>
      </c>
      <c r="G665" s="124" t="s">
        <v>16</v>
      </c>
      <c r="H665" s="121" t="s">
        <v>18</v>
      </c>
      <c r="I665" s="124">
        <v>1</v>
      </c>
      <c r="J665" s="124" t="s">
        <v>15</v>
      </c>
      <c r="K665" s="124" t="s">
        <v>103</v>
      </c>
      <c r="L665" s="121" t="s">
        <v>104</v>
      </c>
    </row>
    <row r="666" spans="1:12" x14ac:dyDescent="0.2">
      <c r="A666" s="121" t="s">
        <v>101</v>
      </c>
      <c r="B666" s="121" t="s">
        <v>102</v>
      </c>
      <c r="C666" s="121" t="s">
        <v>19</v>
      </c>
      <c r="D666" s="121" t="s">
        <v>12</v>
      </c>
      <c r="E666" s="122">
        <v>42712</v>
      </c>
      <c r="F666" s="123">
        <v>2.79</v>
      </c>
      <c r="G666" s="124" t="s">
        <v>13</v>
      </c>
      <c r="H666" s="121" t="s">
        <v>14</v>
      </c>
      <c r="I666" s="124">
        <v>1</v>
      </c>
      <c r="J666" s="124" t="s">
        <v>15</v>
      </c>
      <c r="K666" s="124" t="s">
        <v>103</v>
      </c>
      <c r="L666" s="121" t="s">
        <v>104</v>
      </c>
    </row>
    <row r="667" spans="1:12" x14ac:dyDescent="0.2">
      <c r="A667" s="121" t="s">
        <v>101</v>
      </c>
      <c r="B667" s="121" t="s">
        <v>102</v>
      </c>
      <c r="C667" s="121" t="s">
        <v>19</v>
      </c>
      <c r="D667" s="121" t="s">
        <v>12</v>
      </c>
      <c r="E667" s="122">
        <v>42712</v>
      </c>
      <c r="F667" s="123">
        <v>44.024191199999997</v>
      </c>
      <c r="G667" s="124" t="s">
        <v>16</v>
      </c>
      <c r="H667" s="121" t="s">
        <v>14</v>
      </c>
      <c r="I667" s="124">
        <v>1</v>
      </c>
      <c r="J667" s="124" t="s">
        <v>15</v>
      </c>
      <c r="K667" s="124" t="s">
        <v>103</v>
      </c>
      <c r="L667" s="121" t="s">
        <v>104</v>
      </c>
    </row>
    <row r="668" spans="1:12" x14ac:dyDescent="0.2">
      <c r="A668" s="121" t="s">
        <v>101</v>
      </c>
      <c r="B668" s="121" t="s">
        <v>102</v>
      </c>
      <c r="C668" s="121" t="s">
        <v>19</v>
      </c>
      <c r="D668" s="121" t="s">
        <v>12</v>
      </c>
      <c r="E668" s="122">
        <v>42712</v>
      </c>
      <c r="F668" s="123">
        <v>1.04</v>
      </c>
      <c r="G668" s="124" t="s">
        <v>13</v>
      </c>
      <c r="H668" s="121" t="s">
        <v>18</v>
      </c>
      <c r="I668" s="124">
        <v>1</v>
      </c>
      <c r="J668" s="124" t="s">
        <v>15</v>
      </c>
      <c r="K668" s="124" t="s">
        <v>103</v>
      </c>
      <c r="L668" s="121" t="s">
        <v>104</v>
      </c>
    </row>
    <row r="669" spans="1:12" x14ac:dyDescent="0.2">
      <c r="A669" s="121" t="s">
        <v>101</v>
      </c>
      <c r="B669" s="121" t="s">
        <v>102</v>
      </c>
      <c r="C669" s="121" t="s">
        <v>19</v>
      </c>
      <c r="D669" s="121" t="s">
        <v>12</v>
      </c>
      <c r="E669" s="122">
        <v>42712</v>
      </c>
      <c r="F669" s="123">
        <v>17.086991999999999</v>
      </c>
      <c r="G669" s="124" t="s">
        <v>16</v>
      </c>
      <c r="H669" s="121" t="s">
        <v>18</v>
      </c>
      <c r="I669" s="124">
        <v>1</v>
      </c>
      <c r="J669" s="124" t="s">
        <v>15</v>
      </c>
      <c r="K669" s="124" t="s">
        <v>103</v>
      </c>
      <c r="L669" s="121" t="s">
        <v>104</v>
      </c>
    </row>
    <row r="670" spans="1:12" x14ac:dyDescent="0.2">
      <c r="A670" s="121" t="s">
        <v>101</v>
      </c>
      <c r="B670" s="121" t="s">
        <v>102</v>
      </c>
      <c r="C670" s="121" t="s">
        <v>19</v>
      </c>
      <c r="D670" s="121" t="s">
        <v>12</v>
      </c>
      <c r="E670" s="122">
        <v>42696</v>
      </c>
      <c r="F670" s="123">
        <v>3.39</v>
      </c>
      <c r="G670" s="124" t="s">
        <v>13</v>
      </c>
      <c r="H670" s="121" t="s">
        <v>14</v>
      </c>
      <c r="I670" s="124">
        <v>1</v>
      </c>
      <c r="J670" s="124" t="s">
        <v>15</v>
      </c>
      <c r="K670" s="124" t="s">
        <v>103</v>
      </c>
      <c r="L670" s="121" t="s">
        <v>104</v>
      </c>
    </row>
    <row r="671" spans="1:12" x14ac:dyDescent="0.2">
      <c r="A671" s="121" t="s">
        <v>101</v>
      </c>
      <c r="B671" s="121" t="s">
        <v>102</v>
      </c>
      <c r="C671" s="121" t="s">
        <v>19</v>
      </c>
      <c r="D671" s="121" t="s">
        <v>12</v>
      </c>
      <c r="E671" s="122">
        <v>42696</v>
      </c>
      <c r="F671" s="123">
        <v>54.028938599999996</v>
      </c>
      <c r="G671" s="124" t="s">
        <v>16</v>
      </c>
      <c r="H671" s="121" t="s">
        <v>14</v>
      </c>
      <c r="I671" s="124">
        <v>1</v>
      </c>
      <c r="J671" s="124" t="s">
        <v>15</v>
      </c>
      <c r="K671" s="124" t="s">
        <v>103</v>
      </c>
      <c r="L671" s="121" t="s">
        <v>104</v>
      </c>
    </row>
    <row r="672" spans="1:12" x14ac:dyDescent="0.2">
      <c r="A672" s="121" t="s">
        <v>101</v>
      </c>
      <c r="B672" s="121" t="s">
        <v>102</v>
      </c>
      <c r="C672" s="121" t="s">
        <v>19</v>
      </c>
      <c r="D672" s="121" t="s">
        <v>12</v>
      </c>
      <c r="E672" s="122">
        <v>42696</v>
      </c>
      <c r="F672" s="123">
        <v>1.53</v>
      </c>
      <c r="G672" s="124" t="s">
        <v>13</v>
      </c>
      <c r="H672" s="121" t="s">
        <v>18</v>
      </c>
      <c r="I672" s="124">
        <v>1</v>
      </c>
      <c r="J672" s="124" t="s">
        <v>15</v>
      </c>
      <c r="K672" s="124" t="s">
        <v>103</v>
      </c>
      <c r="L672" s="121" t="s">
        <v>104</v>
      </c>
    </row>
    <row r="673" spans="1:12" x14ac:dyDescent="0.2">
      <c r="A673" s="121" t="s">
        <v>101</v>
      </c>
      <c r="B673" s="121" t="s">
        <v>102</v>
      </c>
      <c r="C673" s="121" t="s">
        <v>19</v>
      </c>
      <c r="D673" s="121" t="s">
        <v>12</v>
      </c>
      <c r="E673" s="122">
        <v>42696</v>
      </c>
      <c r="F673" s="123">
        <v>26.15841</v>
      </c>
      <c r="G673" s="124" t="s">
        <v>16</v>
      </c>
      <c r="H673" s="121" t="s">
        <v>18</v>
      </c>
      <c r="I673" s="124">
        <v>1</v>
      </c>
      <c r="J673" s="124" t="s">
        <v>15</v>
      </c>
      <c r="K673" s="124" t="s">
        <v>103</v>
      </c>
      <c r="L673" s="121" t="s">
        <v>104</v>
      </c>
    </row>
    <row r="674" spans="1:12" x14ac:dyDescent="0.2">
      <c r="A674" s="121" t="s">
        <v>101</v>
      </c>
      <c r="B674" s="121" t="s">
        <v>102</v>
      </c>
      <c r="C674" s="121" t="s">
        <v>19</v>
      </c>
      <c r="D674" s="121" t="s">
        <v>12</v>
      </c>
      <c r="E674" s="122">
        <v>42689</v>
      </c>
      <c r="F674" s="123">
        <v>2.78</v>
      </c>
      <c r="G674" s="124" t="s">
        <v>13</v>
      </c>
      <c r="H674" s="121" t="s">
        <v>14</v>
      </c>
      <c r="I674" s="124">
        <v>1</v>
      </c>
      <c r="J674" s="124" t="s">
        <v>15</v>
      </c>
      <c r="K674" s="124" t="s">
        <v>103</v>
      </c>
      <c r="L674" s="121" t="s">
        <v>104</v>
      </c>
    </row>
    <row r="675" spans="1:12" x14ac:dyDescent="0.2">
      <c r="A675" s="121" t="s">
        <v>101</v>
      </c>
      <c r="B675" s="121" t="s">
        <v>102</v>
      </c>
      <c r="C675" s="121" t="s">
        <v>19</v>
      </c>
      <c r="D675" s="121" t="s">
        <v>12</v>
      </c>
      <c r="E675" s="122">
        <v>42689</v>
      </c>
      <c r="F675" s="123">
        <v>42.660767999999997</v>
      </c>
      <c r="G675" s="124" t="s">
        <v>16</v>
      </c>
      <c r="H675" s="121" t="s">
        <v>14</v>
      </c>
      <c r="I675" s="124">
        <v>1</v>
      </c>
      <c r="J675" s="124" t="s">
        <v>15</v>
      </c>
      <c r="K675" s="124" t="s">
        <v>103</v>
      </c>
      <c r="L675" s="121" t="s">
        <v>104</v>
      </c>
    </row>
    <row r="676" spans="1:12" x14ac:dyDescent="0.2">
      <c r="A676" s="121" t="s">
        <v>101</v>
      </c>
      <c r="B676" s="121" t="s">
        <v>102</v>
      </c>
      <c r="C676" s="121" t="s">
        <v>19</v>
      </c>
      <c r="D676" s="121" t="s">
        <v>12</v>
      </c>
      <c r="E676" s="122">
        <v>42689</v>
      </c>
      <c r="F676" s="123">
        <v>1.42</v>
      </c>
      <c r="G676" s="124" t="s">
        <v>13</v>
      </c>
      <c r="H676" s="121" t="s">
        <v>18</v>
      </c>
      <c r="I676" s="124">
        <v>1</v>
      </c>
      <c r="J676" s="124" t="s">
        <v>15</v>
      </c>
      <c r="K676" s="124" t="s">
        <v>103</v>
      </c>
      <c r="L676" s="121" t="s">
        <v>104</v>
      </c>
    </row>
    <row r="677" spans="1:12" x14ac:dyDescent="0.2">
      <c r="A677" s="121" t="s">
        <v>101</v>
      </c>
      <c r="B677" s="121" t="s">
        <v>102</v>
      </c>
      <c r="C677" s="121" t="s">
        <v>19</v>
      </c>
      <c r="D677" s="121" t="s">
        <v>12</v>
      </c>
      <c r="E677" s="122">
        <v>42689</v>
      </c>
      <c r="F677" s="123">
        <v>24.514596000000001</v>
      </c>
      <c r="G677" s="124" t="s">
        <v>16</v>
      </c>
      <c r="H677" s="121" t="s">
        <v>18</v>
      </c>
      <c r="I677" s="124">
        <v>1</v>
      </c>
      <c r="J677" s="124" t="s">
        <v>15</v>
      </c>
      <c r="K677" s="124" t="s">
        <v>103</v>
      </c>
      <c r="L677" s="121" t="s">
        <v>104</v>
      </c>
    </row>
    <row r="678" spans="1:12" x14ac:dyDescent="0.2">
      <c r="A678" s="121" t="s">
        <v>101</v>
      </c>
      <c r="B678" s="121" t="s">
        <v>102</v>
      </c>
      <c r="C678" s="121" t="s">
        <v>19</v>
      </c>
      <c r="D678" s="121" t="s">
        <v>12</v>
      </c>
      <c r="E678" s="122">
        <v>42682</v>
      </c>
      <c r="F678" s="123">
        <v>2.77</v>
      </c>
      <c r="G678" s="124" t="s">
        <v>13</v>
      </c>
      <c r="H678" s="121" t="s">
        <v>14</v>
      </c>
      <c r="I678" s="124">
        <v>1</v>
      </c>
      <c r="J678" s="124" t="s">
        <v>15</v>
      </c>
      <c r="K678" s="124" t="s">
        <v>103</v>
      </c>
      <c r="L678" s="121" t="s">
        <v>104</v>
      </c>
    </row>
    <row r="679" spans="1:12" x14ac:dyDescent="0.2">
      <c r="A679" s="121" t="s">
        <v>101</v>
      </c>
      <c r="B679" s="121" t="s">
        <v>102</v>
      </c>
      <c r="C679" s="121" t="s">
        <v>19</v>
      </c>
      <c r="D679" s="121" t="s">
        <v>12</v>
      </c>
      <c r="E679" s="122">
        <v>42682</v>
      </c>
      <c r="F679" s="123">
        <v>46.6425342</v>
      </c>
      <c r="G679" s="124" t="s">
        <v>16</v>
      </c>
      <c r="H679" s="121" t="s">
        <v>14</v>
      </c>
      <c r="I679" s="124">
        <v>1</v>
      </c>
      <c r="J679" s="124" t="s">
        <v>15</v>
      </c>
      <c r="K679" s="124" t="s">
        <v>103</v>
      </c>
      <c r="L679" s="121" t="s">
        <v>104</v>
      </c>
    </row>
    <row r="680" spans="1:12" x14ac:dyDescent="0.2">
      <c r="A680" s="121" t="s">
        <v>101</v>
      </c>
      <c r="B680" s="121" t="s">
        <v>102</v>
      </c>
      <c r="C680" s="121" t="s">
        <v>19</v>
      </c>
      <c r="D680" s="121" t="s">
        <v>12</v>
      </c>
      <c r="E680" s="122">
        <v>42682</v>
      </c>
      <c r="F680" s="123">
        <v>0.99399999999999999</v>
      </c>
      <c r="G680" s="124" t="s">
        <v>13</v>
      </c>
      <c r="H680" s="121" t="s">
        <v>18</v>
      </c>
      <c r="I680" s="124">
        <v>1</v>
      </c>
      <c r="J680" s="124" t="s">
        <v>15</v>
      </c>
      <c r="K680" s="124" t="s">
        <v>103</v>
      </c>
      <c r="L680" s="121" t="s">
        <v>104</v>
      </c>
    </row>
    <row r="681" spans="1:12" x14ac:dyDescent="0.2">
      <c r="A681" s="121" t="s">
        <v>101</v>
      </c>
      <c r="B681" s="121" t="s">
        <v>102</v>
      </c>
      <c r="C681" s="121" t="s">
        <v>19</v>
      </c>
      <c r="D681" s="121" t="s">
        <v>12</v>
      </c>
      <c r="E681" s="122">
        <v>42682</v>
      </c>
      <c r="F681" s="123">
        <v>17.243116799999999</v>
      </c>
      <c r="G681" s="124" t="s">
        <v>16</v>
      </c>
      <c r="H681" s="121" t="s">
        <v>18</v>
      </c>
      <c r="I681" s="124">
        <v>1</v>
      </c>
      <c r="J681" s="124" t="s">
        <v>15</v>
      </c>
      <c r="K681" s="124" t="s">
        <v>103</v>
      </c>
      <c r="L681" s="121" t="s">
        <v>104</v>
      </c>
    </row>
    <row r="682" spans="1:12" x14ac:dyDescent="0.2">
      <c r="A682" s="121" t="s">
        <v>101</v>
      </c>
      <c r="B682" s="121" t="s">
        <v>102</v>
      </c>
      <c r="C682" s="121" t="s">
        <v>19</v>
      </c>
      <c r="D682" s="121" t="s">
        <v>12</v>
      </c>
      <c r="E682" s="122">
        <v>42675</v>
      </c>
      <c r="F682" s="123">
        <v>2.4900000000000002</v>
      </c>
      <c r="G682" s="124" t="s">
        <v>13</v>
      </c>
      <c r="H682" s="121" t="s">
        <v>14</v>
      </c>
      <c r="I682" s="124">
        <v>1</v>
      </c>
      <c r="J682" s="124" t="s">
        <v>15</v>
      </c>
      <c r="K682" s="124" t="s">
        <v>103</v>
      </c>
      <c r="L682" s="121" t="s">
        <v>104</v>
      </c>
    </row>
    <row r="683" spans="1:12" x14ac:dyDescent="0.2">
      <c r="A683" s="121" t="s">
        <v>101</v>
      </c>
      <c r="B683" s="121" t="s">
        <v>102</v>
      </c>
      <c r="C683" s="121" t="s">
        <v>19</v>
      </c>
      <c r="D683" s="121" t="s">
        <v>12</v>
      </c>
      <c r="E683" s="122">
        <v>42675</v>
      </c>
      <c r="F683" s="123">
        <v>44.357457599999996</v>
      </c>
      <c r="G683" s="124" t="s">
        <v>16</v>
      </c>
      <c r="H683" s="121" t="s">
        <v>14</v>
      </c>
      <c r="I683" s="124">
        <v>1</v>
      </c>
      <c r="J683" s="124" t="s">
        <v>15</v>
      </c>
      <c r="K683" s="124" t="s">
        <v>103</v>
      </c>
      <c r="L683" s="121" t="s">
        <v>104</v>
      </c>
    </row>
    <row r="684" spans="1:12" x14ac:dyDescent="0.2">
      <c r="A684" s="121" t="s">
        <v>101</v>
      </c>
      <c r="B684" s="121" t="s">
        <v>102</v>
      </c>
      <c r="C684" s="121" t="s">
        <v>19</v>
      </c>
      <c r="D684" s="121" t="s">
        <v>12</v>
      </c>
      <c r="E684" s="122">
        <v>42675</v>
      </c>
      <c r="F684" s="123">
        <v>0.996</v>
      </c>
      <c r="G684" s="124" t="s">
        <v>13</v>
      </c>
      <c r="H684" s="121" t="s">
        <v>18</v>
      </c>
      <c r="I684" s="124">
        <v>1</v>
      </c>
      <c r="J684" s="124" t="s">
        <v>15</v>
      </c>
      <c r="K684" s="124" t="s">
        <v>103</v>
      </c>
      <c r="L684" s="121" t="s">
        <v>104</v>
      </c>
    </row>
    <row r="685" spans="1:12" x14ac:dyDescent="0.2">
      <c r="A685" s="121" t="s">
        <v>101</v>
      </c>
      <c r="B685" s="121" t="s">
        <v>102</v>
      </c>
      <c r="C685" s="121" t="s">
        <v>19</v>
      </c>
      <c r="D685" s="121" t="s">
        <v>12</v>
      </c>
      <c r="E685" s="122">
        <v>42675</v>
      </c>
      <c r="F685" s="123">
        <v>19.022205599999999</v>
      </c>
      <c r="G685" s="124" t="s">
        <v>16</v>
      </c>
      <c r="H685" s="121" t="s">
        <v>18</v>
      </c>
      <c r="I685" s="124">
        <v>1</v>
      </c>
      <c r="J685" s="124" t="s">
        <v>15</v>
      </c>
      <c r="K685" s="124" t="s">
        <v>103</v>
      </c>
      <c r="L685" s="121" t="s">
        <v>104</v>
      </c>
    </row>
    <row r="686" spans="1:12" x14ac:dyDescent="0.2">
      <c r="A686" s="121" t="s">
        <v>101</v>
      </c>
      <c r="B686" s="121" t="s">
        <v>102</v>
      </c>
      <c r="C686" s="121" t="s">
        <v>19</v>
      </c>
      <c r="D686" s="121" t="s">
        <v>12</v>
      </c>
      <c r="E686" s="122">
        <v>42670</v>
      </c>
      <c r="F686" s="123">
        <v>1.96</v>
      </c>
      <c r="G686" s="124" t="s">
        <v>13</v>
      </c>
      <c r="H686" s="121" t="s">
        <v>14</v>
      </c>
      <c r="I686" s="124">
        <v>1</v>
      </c>
      <c r="J686" s="124" t="s">
        <v>15</v>
      </c>
      <c r="K686" s="124" t="s">
        <v>103</v>
      </c>
      <c r="L686" s="121" t="s">
        <v>104</v>
      </c>
    </row>
    <row r="687" spans="1:12" x14ac:dyDescent="0.2">
      <c r="A687" s="121" t="s">
        <v>101</v>
      </c>
      <c r="B687" s="121" t="s">
        <v>102</v>
      </c>
      <c r="C687" s="121" t="s">
        <v>19</v>
      </c>
      <c r="D687" s="121" t="s">
        <v>12</v>
      </c>
      <c r="E687" s="122">
        <v>42670</v>
      </c>
      <c r="F687" s="123">
        <v>40.457340000000002</v>
      </c>
      <c r="G687" s="124" t="s">
        <v>16</v>
      </c>
      <c r="H687" s="121" t="s">
        <v>14</v>
      </c>
      <c r="I687" s="124">
        <v>1</v>
      </c>
      <c r="J687" s="124" t="s">
        <v>15</v>
      </c>
      <c r="K687" s="124" t="s">
        <v>103</v>
      </c>
      <c r="L687" s="121" t="s">
        <v>104</v>
      </c>
    </row>
    <row r="688" spans="1:12" x14ac:dyDescent="0.2">
      <c r="A688" s="121" t="s">
        <v>101</v>
      </c>
      <c r="B688" s="121" t="s">
        <v>102</v>
      </c>
      <c r="C688" s="121" t="s">
        <v>19</v>
      </c>
      <c r="D688" s="121" t="s">
        <v>12</v>
      </c>
      <c r="E688" s="122">
        <v>42670</v>
      </c>
      <c r="F688" s="123">
        <v>0.74199999999999999</v>
      </c>
      <c r="G688" s="124" t="s">
        <v>13</v>
      </c>
      <c r="H688" s="121" t="s">
        <v>18</v>
      </c>
      <c r="I688" s="124">
        <v>1</v>
      </c>
      <c r="J688" s="124" t="s">
        <v>15</v>
      </c>
      <c r="K688" s="124" t="s">
        <v>103</v>
      </c>
      <c r="L688" s="121" t="s">
        <v>104</v>
      </c>
    </row>
    <row r="689" spans="1:12" x14ac:dyDescent="0.2">
      <c r="A689" s="121" t="s">
        <v>101</v>
      </c>
      <c r="B689" s="121" t="s">
        <v>102</v>
      </c>
      <c r="C689" s="121" t="s">
        <v>19</v>
      </c>
      <c r="D689" s="121" t="s">
        <v>12</v>
      </c>
      <c r="E689" s="122">
        <v>42670</v>
      </c>
      <c r="F689" s="123">
        <v>16.2132936</v>
      </c>
      <c r="G689" s="124" t="s">
        <v>16</v>
      </c>
      <c r="H689" s="121" t="s">
        <v>18</v>
      </c>
      <c r="I689" s="124">
        <v>1</v>
      </c>
      <c r="J689" s="124" t="s">
        <v>15</v>
      </c>
      <c r="K689" s="124" t="s">
        <v>103</v>
      </c>
      <c r="L689" s="121" t="s">
        <v>104</v>
      </c>
    </row>
    <row r="690" spans="1:12" x14ac:dyDescent="0.2">
      <c r="A690" s="121" t="s">
        <v>101</v>
      </c>
      <c r="B690" s="121" t="s">
        <v>102</v>
      </c>
      <c r="C690" s="121" t="s">
        <v>19</v>
      </c>
      <c r="D690" s="121" t="s">
        <v>12</v>
      </c>
      <c r="E690" s="122">
        <v>42660</v>
      </c>
      <c r="F690" s="123">
        <v>2.63</v>
      </c>
      <c r="G690" s="124" t="s">
        <v>13</v>
      </c>
      <c r="H690" s="121" t="s">
        <v>14</v>
      </c>
      <c r="I690" s="124">
        <v>1</v>
      </c>
      <c r="J690" s="124" t="s">
        <v>15</v>
      </c>
      <c r="K690" s="124" t="s">
        <v>103</v>
      </c>
      <c r="L690" s="121" t="s">
        <v>104</v>
      </c>
    </row>
    <row r="691" spans="1:12" x14ac:dyDescent="0.2">
      <c r="A691" s="121" t="s">
        <v>101</v>
      </c>
      <c r="B691" s="121" t="s">
        <v>102</v>
      </c>
      <c r="C691" s="121" t="s">
        <v>19</v>
      </c>
      <c r="D691" s="121" t="s">
        <v>12</v>
      </c>
      <c r="E691" s="122">
        <v>42660</v>
      </c>
      <c r="F691" s="123">
        <v>50.360923200000002</v>
      </c>
      <c r="G691" s="124" t="s">
        <v>16</v>
      </c>
      <c r="H691" s="121" t="s">
        <v>14</v>
      </c>
      <c r="I691" s="124">
        <v>1</v>
      </c>
      <c r="J691" s="124" t="s">
        <v>15</v>
      </c>
      <c r="K691" s="124" t="s">
        <v>103</v>
      </c>
      <c r="L691" s="121" t="s">
        <v>104</v>
      </c>
    </row>
    <row r="692" spans="1:12" x14ac:dyDescent="0.2">
      <c r="A692" s="121" t="s">
        <v>101</v>
      </c>
      <c r="B692" s="121" t="s">
        <v>102</v>
      </c>
      <c r="C692" s="121" t="s">
        <v>19</v>
      </c>
      <c r="D692" s="121" t="s">
        <v>12</v>
      </c>
      <c r="E692" s="122">
        <v>42660</v>
      </c>
      <c r="F692" s="123">
        <v>0.74299999999999999</v>
      </c>
      <c r="G692" s="124" t="s">
        <v>13</v>
      </c>
      <c r="H692" s="121" t="s">
        <v>18</v>
      </c>
      <c r="I692" s="124">
        <v>1</v>
      </c>
      <c r="J692" s="124" t="s">
        <v>15</v>
      </c>
      <c r="K692" s="124" t="s">
        <v>103</v>
      </c>
      <c r="L692" s="121" t="s">
        <v>104</v>
      </c>
    </row>
    <row r="693" spans="1:12" x14ac:dyDescent="0.2">
      <c r="A693" s="121" t="s">
        <v>101</v>
      </c>
      <c r="B693" s="121" t="s">
        <v>102</v>
      </c>
      <c r="C693" s="121" t="s">
        <v>19</v>
      </c>
      <c r="D693" s="121" t="s">
        <v>12</v>
      </c>
      <c r="E693" s="122">
        <v>42660</v>
      </c>
      <c r="F693" s="123">
        <v>14.933854200000001</v>
      </c>
      <c r="G693" s="124" t="s">
        <v>16</v>
      </c>
      <c r="H693" s="121" t="s">
        <v>18</v>
      </c>
      <c r="I693" s="124">
        <v>1</v>
      </c>
      <c r="J693" s="124" t="s">
        <v>15</v>
      </c>
      <c r="K693" s="124" t="s">
        <v>103</v>
      </c>
      <c r="L693" s="121" t="s">
        <v>104</v>
      </c>
    </row>
    <row r="694" spans="1:12" x14ac:dyDescent="0.2">
      <c r="A694" s="121" t="s">
        <v>101</v>
      </c>
      <c r="B694" s="121" t="s">
        <v>102</v>
      </c>
      <c r="C694" s="121" t="s">
        <v>19</v>
      </c>
      <c r="D694" s="121" t="s">
        <v>12</v>
      </c>
      <c r="E694" s="122">
        <v>42655</v>
      </c>
      <c r="F694" s="123">
        <v>2.0699999999999998</v>
      </c>
      <c r="G694" s="124" t="s">
        <v>13</v>
      </c>
      <c r="H694" s="121" t="s">
        <v>14</v>
      </c>
      <c r="I694" s="124">
        <v>1</v>
      </c>
      <c r="J694" s="124" t="s">
        <v>15</v>
      </c>
      <c r="K694" s="124" t="s">
        <v>103</v>
      </c>
      <c r="L694" s="121" t="s">
        <v>104</v>
      </c>
    </row>
    <row r="695" spans="1:12" x14ac:dyDescent="0.2">
      <c r="A695" s="121" t="s">
        <v>101</v>
      </c>
      <c r="B695" s="121" t="s">
        <v>102</v>
      </c>
      <c r="C695" s="121" t="s">
        <v>19</v>
      </c>
      <c r="D695" s="121" t="s">
        <v>12</v>
      </c>
      <c r="E695" s="122">
        <v>42655</v>
      </c>
      <c r="F695" s="123">
        <v>42.1927272</v>
      </c>
      <c r="G695" s="124" t="s">
        <v>16</v>
      </c>
      <c r="H695" s="121" t="s">
        <v>14</v>
      </c>
      <c r="I695" s="124">
        <v>1</v>
      </c>
      <c r="J695" s="124" t="s">
        <v>15</v>
      </c>
      <c r="K695" s="124" t="s">
        <v>103</v>
      </c>
      <c r="L695" s="121" t="s">
        <v>104</v>
      </c>
    </row>
    <row r="696" spans="1:12" x14ac:dyDescent="0.2">
      <c r="A696" s="121" t="s">
        <v>101</v>
      </c>
      <c r="B696" s="121" t="s">
        <v>102</v>
      </c>
      <c r="C696" s="121" t="s">
        <v>19</v>
      </c>
      <c r="D696" s="121" t="s">
        <v>12</v>
      </c>
      <c r="E696" s="122">
        <v>42655</v>
      </c>
      <c r="F696" s="123">
        <v>0.63500000000000001</v>
      </c>
      <c r="G696" s="124" t="s">
        <v>13</v>
      </c>
      <c r="H696" s="121" t="s">
        <v>18</v>
      </c>
      <c r="I696" s="124">
        <v>1</v>
      </c>
      <c r="J696" s="124" t="s">
        <v>15</v>
      </c>
      <c r="K696" s="124" t="s">
        <v>103</v>
      </c>
      <c r="L696" s="121" t="s">
        <v>104</v>
      </c>
    </row>
    <row r="697" spans="1:12" x14ac:dyDescent="0.2">
      <c r="A697" s="121" t="s">
        <v>101</v>
      </c>
      <c r="B697" s="121" t="s">
        <v>102</v>
      </c>
      <c r="C697" s="121" t="s">
        <v>19</v>
      </c>
      <c r="D697" s="121" t="s">
        <v>12</v>
      </c>
      <c r="E697" s="122">
        <v>42655</v>
      </c>
      <c r="F697" s="123">
        <v>14.828519999999999</v>
      </c>
      <c r="G697" s="124" t="s">
        <v>16</v>
      </c>
      <c r="H697" s="121" t="s">
        <v>18</v>
      </c>
      <c r="I697" s="124">
        <v>1</v>
      </c>
      <c r="J697" s="124" t="s">
        <v>15</v>
      </c>
      <c r="K697" s="124" t="s">
        <v>103</v>
      </c>
      <c r="L697" s="121" t="s">
        <v>104</v>
      </c>
    </row>
    <row r="698" spans="1:12" x14ac:dyDescent="0.2">
      <c r="A698" s="121" t="s">
        <v>101</v>
      </c>
      <c r="B698" s="121" t="s">
        <v>102</v>
      </c>
      <c r="C698" s="121" t="s">
        <v>19</v>
      </c>
      <c r="D698" s="121" t="s">
        <v>12</v>
      </c>
      <c r="E698" s="122">
        <v>42647</v>
      </c>
      <c r="F698" s="123">
        <v>1.87</v>
      </c>
      <c r="G698" s="124" t="s">
        <v>13</v>
      </c>
      <c r="H698" s="121" t="s">
        <v>14</v>
      </c>
      <c r="I698" s="124">
        <v>1</v>
      </c>
      <c r="J698" s="124" t="s">
        <v>15</v>
      </c>
      <c r="K698" s="124" t="s">
        <v>103</v>
      </c>
      <c r="L698" s="121" t="s">
        <v>104</v>
      </c>
    </row>
    <row r="699" spans="1:12" x14ac:dyDescent="0.2">
      <c r="A699" s="121" t="s">
        <v>101</v>
      </c>
      <c r="B699" s="121" t="s">
        <v>102</v>
      </c>
      <c r="C699" s="121" t="s">
        <v>19</v>
      </c>
      <c r="D699" s="121" t="s">
        <v>12</v>
      </c>
      <c r="E699" s="122">
        <v>42647</v>
      </c>
      <c r="F699" s="123">
        <v>44.7443502</v>
      </c>
      <c r="G699" s="124" t="s">
        <v>16</v>
      </c>
      <c r="H699" s="121" t="s">
        <v>14</v>
      </c>
      <c r="I699" s="124">
        <v>1</v>
      </c>
      <c r="J699" s="124" t="s">
        <v>15</v>
      </c>
      <c r="K699" s="124" t="s">
        <v>103</v>
      </c>
      <c r="L699" s="121" t="s">
        <v>104</v>
      </c>
    </row>
    <row r="700" spans="1:12" x14ac:dyDescent="0.2">
      <c r="A700" s="121" t="s">
        <v>101</v>
      </c>
      <c r="B700" s="121" t="s">
        <v>102</v>
      </c>
      <c r="C700" s="121" t="s">
        <v>19</v>
      </c>
      <c r="D700" s="121" t="s">
        <v>12</v>
      </c>
      <c r="E700" s="122">
        <v>42647</v>
      </c>
      <c r="F700" s="123">
        <v>0.56100000000000005</v>
      </c>
      <c r="G700" s="124" t="s">
        <v>13</v>
      </c>
      <c r="H700" s="121" t="s">
        <v>18</v>
      </c>
      <c r="I700" s="124">
        <v>1</v>
      </c>
      <c r="J700" s="124" t="s">
        <v>15</v>
      </c>
      <c r="K700" s="124" t="s">
        <v>103</v>
      </c>
      <c r="L700" s="121" t="s">
        <v>104</v>
      </c>
    </row>
    <row r="701" spans="1:12" x14ac:dyDescent="0.2">
      <c r="A701" s="121" t="s">
        <v>101</v>
      </c>
      <c r="B701" s="121" t="s">
        <v>102</v>
      </c>
      <c r="C701" s="121" t="s">
        <v>19</v>
      </c>
      <c r="D701" s="121" t="s">
        <v>12</v>
      </c>
      <c r="E701" s="122">
        <v>42647</v>
      </c>
      <c r="F701" s="123">
        <v>14.316944400000001</v>
      </c>
      <c r="G701" s="124" t="s">
        <v>16</v>
      </c>
      <c r="H701" s="121" t="s">
        <v>18</v>
      </c>
      <c r="I701" s="124">
        <v>1</v>
      </c>
      <c r="J701" s="124" t="s">
        <v>15</v>
      </c>
      <c r="K701" s="124" t="s">
        <v>103</v>
      </c>
      <c r="L701" s="121" t="s">
        <v>104</v>
      </c>
    </row>
    <row r="702" spans="1:12" x14ac:dyDescent="0.2">
      <c r="A702" s="121" t="s">
        <v>101</v>
      </c>
      <c r="B702" s="121" t="s">
        <v>102</v>
      </c>
      <c r="C702" s="121" t="s">
        <v>19</v>
      </c>
      <c r="D702" s="121" t="s">
        <v>12</v>
      </c>
      <c r="E702" s="122">
        <v>42642</v>
      </c>
      <c r="F702" s="123">
        <v>0.98099999999999998</v>
      </c>
      <c r="G702" s="124" t="s">
        <v>13</v>
      </c>
      <c r="H702" s="121" t="s">
        <v>14</v>
      </c>
      <c r="I702" s="124">
        <v>1</v>
      </c>
      <c r="J702" s="124" t="s">
        <v>15</v>
      </c>
      <c r="K702" s="124" t="s">
        <v>103</v>
      </c>
      <c r="L702" s="121" t="s">
        <v>104</v>
      </c>
    </row>
    <row r="703" spans="1:12" x14ac:dyDescent="0.2">
      <c r="A703" s="121" t="s">
        <v>101</v>
      </c>
      <c r="B703" s="121" t="s">
        <v>102</v>
      </c>
      <c r="C703" s="121" t="s">
        <v>19</v>
      </c>
      <c r="D703" s="121" t="s">
        <v>12</v>
      </c>
      <c r="E703" s="122">
        <v>42642</v>
      </c>
      <c r="F703" s="123">
        <v>35.581517400000003</v>
      </c>
      <c r="G703" s="124" t="s">
        <v>16</v>
      </c>
      <c r="H703" s="121" t="s">
        <v>14</v>
      </c>
      <c r="I703" s="124">
        <v>1</v>
      </c>
      <c r="J703" s="124" t="s">
        <v>15</v>
      </c>
      <c r="K703" s="124" t="s">
        <v>103</v>
      </c>
      <c r="L703" s="121" t="s">
        <v>104</v>
      </c>
    </row>
    <row r="704" spans="1:12" x14ac:dyDescent="0.2">
      <c r="A704" s="121" t="s">
        <v>101</v>
      </c>
      <c r="B704" s="121" t="s">
        <v>102</v>
      </c>
      <c r="C704" s="121" t="s">
        <v>19</v>
      </c>
      <c r="D704" s="121" t="s">
        <v>12</v>
      </c>
      <c r="E704" s="122">
        <v>42642</v>
      </c>
      <c r="F704" s="123">
        <v>0.49399999999999999</v>
      </c>
      <c r="G704" s="124" t="s">
        <v>13</v>
      </c>
      <c r="H704" s="121" t="s">
        <v>18</v>
      </c>
      <c r="I704" s="124">
        <v>1</v>
      </c>
      <c r="J704" s="124" t="s">
        <v>15</v>
      </c>
      <c r="K704" s="124" t="s">
        <v>103</v>
      </c>
      <c r="L704" s="121" t="s">
        <v>104</v>
      </c>
    </row>
    <row r="705" spans="1:12" x14ac:dyDescent="0.2">
      <c r="A705" s="121" t="s">
        <v>101</v>
      </c>
      <c r="B705" s="121" t="s">
        <v>102</v>
      </c>
      <c r="C705" s="121" t="s">
        <v>19</v>
      </c>
      <c r="D705" s="121" t="s">
        <v>12</v>
      </c>
      <c r="E705" s="122">
        <v>42642</v>
      </c>
      <c r="F705" s="123">
        <v>20.187804</v>
      </c>
      <c r="G705" s="124" t="s">
        <v>16</v>
      </c>
      <c r="H705" s="121" t="s">
        <v>18</v>
      </c>
      <c r="I705" s="124">
        <v>1</v>
      </c>
      <c r="J705" s="124" t="s">
        <v>15</v>
      </c>
      <c r="K705" s="124" t="s">
        <v>103</v>
      </c>
      <c r="L705" s="121" t="s">
        <v>104</v>
      </c>
    </row>
    <row r="706" spans="1:12" x14ac:dyDescent="0.2">
      <c r="A706" s="121" t="s">
        <v>101</v>
      </c>
      <c r="B706" s="121" t="s">
        <v>102</v>
      </c>
      <c r="C706" s="121" t="s">
        <v>19</v>
      </c>
      <c r="D706" s="121" t="s">
        <v>12</v>
      </c>
      <c r="E706" s="122">
        <v>42633</v>
      </c>
      <c r="F706" s="123">
        <v>1.64</v>
      </c>
      <c r="G706" s="124" t="s">
        <v>13</v>
      </c>
      <c r="H706" s="121" t="s">
        <v>14</v>
      </c>
      <c r="I706" s="124">
        <v>1</v>
      </c>
      <c r="J706" s="124" t="s">
        <v>15</v>
      </c>
      <c r="K706" s="124" t="s">
        <v>103</v>
      </c>
      <c r="L706" s="121" t="s">
        <v>104</v>
      </c>
    </row>
    <row r="707" spans="1:12" x14ac:dyDescent="0.2">
      <c r="A707" s="121" t="s">
        <v>101</v>
      </c>
      <c r="B707" s="121" t="s">
        <v>102</v>
      </c>
      <c r="C707" s="121" t="s">
        <v>19</v>
      </c>
      <c r="D707" s="121" t="s">
        <v>12</v>
      </c>
      <c r="E707" s="122">
        <v>42633</v>
      </c>
      <c r="F707" s="123">
        <v>45.3002112</v>
      </c>
      <c r="G707" s="124" t="s">
        <v>16</v>
      </c>
      <c r="H707" s="121" t="s">
        <v>14</v>
      </c>
      <c r="I707" s="124">
        <v>1</v>
      </c>
      <c r="J707" s="124" t="s">
        <v>15</v>
      </c>
      <c r="K707" s="124" t="s">
        <v>103</v>
      </c>
      <c r="L707" s="121" t="s">
        <v>104</v>
      </c>
    </row>
    <row r="708" spans="1:12" x14ac:dyDescent="0.2">
      <c r="A708" s="121" t="s">
        <v>101</v>
      </c>
      <c r="B708" s="121" t="s">
        <v>102</v>
      </c>
      <c r="C708" s="121" t="s">
        <v>19</v>
      </c>
      <c r="D708" s="121" t="s">
        <v>12</v>
      </c>
      <c r="E708" s="122">
        <v>42633</v>
      </c>
      <c r="F708" s="123">
        <v>0.55400000000000005</v>
      </c>
      <c r="G708" s="124" t="s">
        <v>13</v>
      </c>
      <c r="H708" s="121" t="s">
        <v>18</v>
      </c>
      <c r="I708" s="124">
        <v>1</v>
      </c>
      <c r="J708" s="124" t="s">
        <v>15</v>
      </c>
      <c r="K708" s="124" t="s">
        <v>103</v>
      </c>
      <c r="L708" s="121" t="s">
        <v>104</v>
      </c>
    </row>
    <row r="709" spans="1:12" x14ac:dyDescent="0.2">
      <c r="A709" s="121" t="s">
        <v>101</v>
      </c>
      <c r="B709" s="121" t="s">
        <v>102</v>
      </c>
      <c r="C709" s="121" t="s">
        <v>19</v>
      </c>
      <c r="D709" s="121" t="s">
        <v>12</v>
      </c>
      <c r="E709" s="122">
        <v>42633</v>
      </c>
      <c r="F709" s="123">
        <v>16.309870799999999</v>
      </c>
      <c r="G709" s="124" t="s">
        <v>16</v>
      </c>
      <c r="H709" s="121" t="s">
        <v>18</v>
      </c>
      <c r="I709" s="124">
        <v>1</v>
      </c>
      <c r="J709" s="124" t="s">
        <v>15</v>
      </c>
      <c r="K709" s="124" t="s">
        <v>103</v>
      </c>
      <c r="L709" s="121" t="s">
        <v>104</v>
      </c>
    </row>
    <row r="710" spans="1:12" x14ac:dyDescent="0.2">
      <c r="A710" s="121" t="s">
        <v>101</v>
      </c>
      <c r="B710" s="121" t="s">
        <v>102</v>
      </c>
      <c r="C710" s="121" t="s">
        <v>19</v>
      </c>
      <c r="D710" s="121" t="s">
        <v>12</v>
      </c>
      <c r="E710" s="122">
        <v>42626</v>
      </c>
      <c r="F710" s="123">
        <v>1.58</v>
      </c>
      <c r="G710" s="124" t="s">
        <v>13</v>
      </c>
      <c r="H710" s="121" t="s">
        <v>14</v>
      </c>
      <c r="I710" s="124">
        <v>1</v>
      </c>
      <c r="J710" s="124" t="s">
        <v>15</v>
      </c>
      <c r="K710" s="124" t="s">
        <v>103</v>
      </c>
      <c r="L710" s="121" t="s">
        <v>104</v>
      </c>
    </row>
    <row r="711" spans="1:12" x14ac:dyDescent="0.2">
      <c r="A711" s="121" t="s">
        <v>101</v>
      </c>
      <c r="B711" s="121" t="s">
        <v>102</v>
      </c>
      <c r="C711" s="121" t="s">
        <v>19</v>
      </c>
      <c r="D711" s="121" t="s">
        <v>12</v>
      </c>
      <c r="E711" s="122">
        <v>42626</v>
      </c>
      <c r="F711" s="123">
        <v>58.295932800000003</v>
      </c>
      <c r="G711" s="124" t="s">
        <v>16</v>
      </c>
      <c r="H711" s="121" t="s">
        <v>14</v>
      </c>
      <c r="I711" s="124">
        <v>1</v>
      </c>
      <c r="J711" s="124" t="s">
        <v>15</v>
      </c>
      <c r="K711" s="124" t="s">
        <v>103</v>
      </c>
      <c r="L711" s="121" t="s">
        <v>104</v>
      </c>
    </row>
    <row r="712" spans="1:12" x14ac:dyDescent="0.2">
      <c r="A712" s="121" t="s">
        <v>101</v>
      </c>
      <c r="B712" s="121" t="s">
        <v>102</v>
      </c>
      <c r="C712" s="121" t="s">
        <v>19</v>
      </c>
      <c r="D712" s="121" t="s">
        <v>12</v>
      </c>
      <c r="E712" s="122">
        <v>42626</v>
      </c>
      <c r="F712" s="123">
        <v>0.63100000000000001</v>
      </c>
      <c r="G712" s="124" t="s">
        <v>13</v>
      </c>
      <c r="H712" s="121" t="s">
        <v>18</v>
      </c>
      <c r="I712" s="124">
        <v>1</v>
      </c>
      <c r="J712" s="124" t="s">
        <v>15</v>
      </c>
      <c r="K712" s="124" t="s">
        <v>103</v>
      </c>
      <c r="L712" s="121" t="s">
        <v>104</v>
      </c>
    </row>
    <row r="713" spans="1:12" x14ac:dyDescent="0.2">
      <c r="A713" s="121" t="s">
        <v>101</v>
      </c>
      <c r="B713" s="121" t="s">
        <v>102</v>
      </c>
      <c r="C713" s="121" t="s">
        <v>19</v>
      </c>
      <c r="D713" s="121" t="s">
        <v>12</v>
      </c>
      <c r="E713" s="122">
        <v>42626</v>
      </c>
      <c r="F713" s="123">
        <v>23.734055399999999</v>
      </c>
      <c r="G713" s="124" t="s">
        <v>16</v>
      </c>
      <c r="H713" s="121" t="s">
        <v>18</v>
      </c>
      <c r="I713" s="124">
        <v>1</v>
      </c>
      <c r="J713" s="124" t="s">
        <v>15</v>
      </c>
      <c r="K713" s="124" t="s">
        <v>103</v>
      </c>
      <c r="L713" s="121" t="s">
        <v>104</v>
      </c>
    </row>
    <row r="714" spans="1:12" x14ac:dyDescent="0.2">
      <c r="A714" s="121" t="s">
        <v>101</v>
      </c>
      <c r="B714" s="121" t="s">
        <v>102</v>
      </c>
      <c r="C714" s="121" t="s">
        <v>19</v>
      </c>
      <c r="D714" s="121" t="s">
        <v>12</v>
      </c>
      <c r="E714" s="122">
        <v>42619</v>
      </c>
      <c r="F714" s="123">
        <v>3.96</v>
      </c>
      <c r="G714" s="124" t="s">
        <v>13</v>
      </c>
      <c r="H714" s="121" t="s">
        <v>14</v>
      </c>
      <c r="I714" s="124">
        <v>1</v>
      </c>
      <c r="J714" s="124" t="s">
        <v>15</v>
      </c>
      <c r="K714" s="124" t="s">
        <v>103</v>
      </c>
      <c r="L714" s="121" t="s">
        <v>104</v>
      </c>
    </row>
    <row r="715" spans="1:12" x14ac:dyDescent="0.2">
      <c r="A715" s="121" t="s">
        <v>101</v>
      </c>
      <c r="B715" s="121" t="s">
        <v>102</v>
      </c>
      <c r="C715" s="121" t="s">
        <v>19</v>
      </c>
      <c r="D715" s="121" t="s">
        <v>12</v>
      </c>
      <c r="E715" s="122">
        <v>42619</v>
      </c>
      <c r="F715" s="123">
        <v>67.671093600000006</v>
      </c>
      <c r="G715" s="124" t="s">
        <v>16</v>
      </c>
      <c r="H715" s="121" t="s">
        <v>14</v>
      </c>
      <c r="I715" s="124">
        <v>1</v>
      </c>
      <c r="J715" s="124" t="s">
        <v>15</v>
      </c>
      <c r="K715" s="124" t="s">
        <v>103</v>
      </c>
      <c r="L715" s="121" t="s">
        <v>104</v>
      </c>
    </row>
    <row r="716" spans="1:12" x14ac:dyDescent="0.2">
      <c r="A716" s="121" t="s">
        <v>101</v>
      </c>
      <c r="B716" s="121" t="s">
        <v>102</v>
      </c>
      <c r="C716" s="121" t="s">
        <v>19</v>
      </c>
      <c r="D716" s="121" t="s">
        <v>12</v>
      </c>
      <c r="E716" s="122">
        <v>42619</v>
      </c>
      <c r="F716" s="123">
        <v>1.5</v>
      </c>
      <c r="G716" s="124" t="s">
        <v>13</v>
      </c>
      <c r="H716" s="121" t="s">
        <v>18</v>
      </c>
      <c r="I716" s="124">
        <v>1</v>
      </c>
      <c r="J716" s="124" t="s">
        <v>15</v>
      </c>
      <c r="K716" s="124" t="s">
        <v>103</v>
      </c>
      <c r="L716" s="121" t="s">
        <v>104</v>
      </c>
    </row>
    <row r="717" spans="1:12" x14ac:dyDescent="0.2">
      <c r="A717" s="121" t="s">
        <v>101</v>
      </c>
      <c r="B717" s="121" t="s">
        <v>102</v>
      </c>
      <c r="C717" s="121" t="s">
        <v>19</v>
      </c>
      <c r="D717" s="121" t="s">
        <v>12</v>
      </c>
      <c r="E717" s="122">
        <v>42619</v>
      </c>
      <c r="F717" s="123">
        <v>27.271799999999999</v>
      </c>
      <c r="G717" s="124" t="s">
        <v>16</v>
      </c>
      <c r="H717" s="121" t="s">
        <v>18</v>
      </c>
      <c r="I717" s="124">
        <v>1</v>
      </c>
      <c r="J717" s="124" t="s">
        <v>15</v>
      </c>
      <c r="K717" s="124" t="s">
        <v>103</v>
      </c>
      <c r="L717" s="121" t="s">
        <v>104</v>
      </c>
    </row>
    <row r="718" spans="1:12" x14ac:dyDescent="0.2">
      <c r="A718" s="121" t="s">
        <v>101</v>
      </c>
      <c r="B718" s="121" t="s">
        <v>102</v>
      </c>
      <c r="C718" s="121" t="s">
        <v>19</v>
      </c>
      <c r="D718" s="121" t="s">
        <v>12</v>
      </c>
      <c r="E718" s="122">
        <v>42605</v>
      </c>
      <c r="F718" s="123">
        <v>2.2000000000000002</v>
      </c>
      <c r="G718" s="124" t="s">
        <v>13</v>
      </c>
      <c r="H718" s="121" t="s">
        <v>14</v>
      </c>
      <c r="I718" s="124">
        <v>1</v>
      </c>
      <c r="J718" s="124" t="s">
        <v>15</v>
      </c>
      <c r="K718" s="124" t="s">
        <v>103</v>
      </c>
      <c r="L718" s="121" t="s">
        <v>104</v>
      </c>
    </row>
    <row r="719" spans="1:12" x14ac:dyDescent="0.2">
      <c r="A719" s="121" t="s">
        <v>101</v>
      </c>
      <c r="B719" s="121" t="s">
        <v>102</v>
      </c>
      <c r="C719" s="121" t="s">
        <v>19</v>
      </c>
      <c r="D719" s="121" t="s">
        <v>12</v>
      </c>
      <c r="E719" s="122">
        <v>42605</v>
      </c>
      <c r="F719" s="123">
        <v>52.878936000000003</v>
      </c>
      <c r="G719" s="124" t="s">
        <v>16</v>
      </c>
      <c r="H719" s="121" t="s">
        <v>14</v>
      </c>
      <c r="I719" s="124">
        <v>1</v>
      </c>
      <c r="J719" s="124" t="s">
        <v>15</v>
      </c>
      <c r="K719" s="124" t="s">
        <v>103</v>
      </c>
      <c r="L719" s="121" t="s">
        <v>104</v>
      </c>
    </row>
    <row r="720" spans="1:12" x14ac:dyDescent="0.2">
      <c r="A720" s="121" t="s">
        <v>101</v>
      </c>
      <c r="B720" s="121" t="s">
        <v>102</v>
      </c>
      <c r="C720" s="121" t="s">
        <v>19</v>
      </c>
      <c r="D720" s="121" t="s">
        <v>12</v>
      </c>
      <c r="E720" s="122">
        <v>42605</v>
      </c>
      <c r="F720" s="123">
        <v>1.27</v>
      </c>
      <c r="G720" s="124" t="s">
        <v>13</v>
      </c>
      <c r="H720" s="121" t="s">
        <v>18</v>
      </c>
      <c r="I720" s="124">
        <v>1</v>
      </c>
      <c r="J720" s="124" t="s">
        <v>15</v>
      </c>
      <c r="K720" s="124" t="s">
        <v>103</v>
      </c>
      <c r="L720" s="121" t="s">
        <v>104</v>
      </c>
    </row>
    <row r="721" spans="1:12" x14ac:dyDescent="0.2">
      <c r="A721" s="121" t="s">
        <v>101</v>
      </c>
      <c r="B721" s="121" t="s">
        <v>102</v>
      </c>
      <c r="C721" s="121" t="s">
        <v>19</v>
      </c>
      <c r="D721" s="121" t="s">
        <v>12</v>
      </c>
      <c r="E721" s="122">
        <v>42605</v>
      </c>
      <c r="F721" s="123">
        <v>28.703778</v>
      </c>
      <c r="G721" s="124" t="s">
        <v>16</v>
      </c>
      <c r="H721" s="121" t="s">
        <v>18</v>
      </c>
      <c r="I721" s="124">
        <v>1</v>
      </c>
      <c r="J721" s="124" t="s">
        <v>15</v>
      </c>
      <c r="K721" s="124" t="s">
        <v>103</v>
      </c>
      <c r="L721" s="121" t="s">
        <v>104</v>
      </c>
    </row>
    <row r="722" spans="1:12" x14ac:dyDescent="0.2">
      <c r="A722" s="121" t="s">
        <v>101</v>
      </c>
      <c r="B722" s="121" t="s">
        <v>102</v>
      </c>
      <c r="C722" s="121" t="s">
        <v>19</v>
      </c>
      <c r="D722" s="121" t="s">
        <v>12</v>
      </c>
      <c r="E722" s="122">
        <v>42597</v>
      </c>
      <c r="F722" s="123">
        <v>3.31</v>
      </c>
      <c r="G722" s="124" t="s">
        <v>13</v>
      </c>
      <c r="H722" s="121" t="s">
        <v>14</v>
      </c>
      <c r="I722" s="124">
        <v>1</v>
      </c>
      <c r="J722" s="124" t="s">
        <v>15</v>
      </c>
      <c r="K722" s="124" t="s">
        <v>103</v>
      </c>
      <c r="L722" s="121" t="s">
        <v>104</v>
      </c>
    </row>
    <row r="723" spans="1:12" x14ac:dyDescent="0.2">
      <c r="A723" s="121" t="s">
        <v>101</v>
      </c>
      <c r="B723" s="121" t="s">
        <v>102</v>
      </c>
      <c r="C723" s="121" t="s">
        <v>19</v>
      </c>
      <c r="D723" s="121" t="s">
        <v>12</v>
      </c>
      <c r="E723" s="122">
        <v>42597</v>
      </c>
      <c r="F723" s="123">
        <v>58.164577800000004</v>
      </c>
      <c r="G723" s="124" t="s">
        <v>16</v>
      </c>
      <c r="H723" s="121" t="s">
        <v>14</v>
      </c>
      <c r="I723" s="124">
        <v>1</v>
      </c>
      <c r="J723" s="124" t="s">
        <v>15</v>
      </c>
      <c r="K723" s="124" t="s">
        <v>103</v>
      </c>
      <c r="L723" s="121" t="s">
        <v>104</v>
      </c>
    </row>
    <row r="724" spans="1:12" x14ac:dyDescent="0.2">
      <c r="A724" s="121" t="s">
        <v>101</v>
      </c>
      <c r="B724" s="121" t="s">
        <v>102</v>
      </c>
      <c r="C724" s="121" t="s">
        <v>19</v>
      </c>
      <c r="D724" s="121" t="s">
        <v>12</v>
      </c>
      <c r="E724" s="122">
        <v>42597</v>
      </c>
      <c r="F724" s="123">
        <v>1.79</v>
      </c>
      <c r="G724" s="124" t="s">
        <v>13</v>
      </c>
      <c r="H724" s="121" t="s">
        <v>18</v>
      </c>
      <c r="I724" s="124">
        <v>1</v>
      </c>
      <c r="J724" s="124" t="s">
        <v>15</v>
      </c>
      <c r="K724" s="124" t="s">
        <v>103</v>
      </c>
      <c r="L724" s="121" t="s">
        <v>104</v>
      </c>
    </row>
    <row r="725" spans="1:12" x14ac:dyDescent="0.2">
      <c r="A725" s="121" t="s">
        <v>101</v>
      </c>
      <c r="B725" s="121" t="s">
        <v>102</v>
      </c>
      <c r="C725" s="121" t="s">
        <v>19</v>
      </c>
      <c r="D725" s="121" t="s">
        <v>12</v>
      </c>
      <c r="E725" s="122">
        <v>42597</v>
      </c>
      <c r="F725" s="123">
        <v>34.634352</v>
      </c>
      <c r="G725" s="124" t="s">
        <v>16</v>
      </c>
      <c r="H725" s="121" t="s">
        <v>18</v>
      </c>
      <c r="I725" s="124">
        <v>1</v>
      </c>
      <c r="J725" s="124" t="s">
        <v>15</v>
      </c>
      <c r="K725" s="124" t="s">
        <v>103</v>
      </c>
      <c r="L725" s="121" t="s">
        <v>104</v>
      </c>
    </row>
    <row r="726" spans="1:12" x14ac:dyDescent="0.2">
      <c r="A726" s="121" t="s">
        <v>101</v>
      </c>
      <c r="B726" s="121" t="s">
        <v>102</v>
      </c>
      <c r="C726" s="121" t="s">
        <v>19</v>
      </c>
      <c r="D726" s="121" t="s">
        <v>12</v>
      </c>
      <c r="E726" s="122">
        <v>42591</v>
      </c>
      <c r="F726" s="123">
        <v>2.8</v>
      </c>
      <c r="G726" s="124" t="s">
        <v>13</v>
      </c>
      <c r="H726" s="121" t="s">
        <v>14</v>
      </c>
      <c r="I726" s="124">
        <v>1</v>
      </c>
      <c r="J726" s="124" t="s">
        <v>15</v>
      </c>
      <c r="K726" s="124" t="s">
        <v>103</v>
      </c>
      <c r="L726" s="121" t="s">
        <v>104</v>
      </c>
    </row>
    <row r="727" spans="1:12" x14ac:dyDescent="0.2">
      <c r="A727" s="121" t="s">
        <v>101</v>
      </c>
      <c r="B727" s="121" t="s">
        <v>102</v>
      </c>
      <c r="C727" s="121" t="s">
        <v>19</v>
      </c>
      <c r="D727" s="121" t="s">
        <v>12</v>
      </c>
      <c r="E727" s="122">
        <v>42591</v>
      </c>
      <c r="F727" s="123">
        <v>43.668239999999997</v>
      </c>
      <c r="G727" s="124" t="s">
        <v>16</v>
      </c>
      <c r="H727" s="121" t="s">
        <v>14</v>
      </c>
      <c r="I727" s="124">
        <v>1</v>
      </c>
      <c r="J727" s="124" t="s">
        <v>15</v>
      </c>
      <c r="K727" s="124" t="s">
        <v>103</v>
      </c>
      <c r="L727" s="121" t="s">
        <v>104</v>
      </c>
    </row>
    <row r="728" spans="1:12" x14ac:dyDescent="0.2">
      <c r="A728" s="121" t="s">
        <v>101</v>
      </c>
      <c r="B728" s="121" t="s">
        <v>102</v>
      </c>
      <c r="C728" s="121" t="s">
        <v>19</v>
      </c>
      <c r="D728" s="121" t="s">
        <v>12</v>
      </c>
      <c r="E728" s="122">
        <v>42591</v>
      </c>
      <c r="F728" s="123">
        <v>1.65</v>
      </c>
      <c r="G728" s="124" t="s">
        <v>13</v>
      </c>
      <c r="H728" s="121" t="s">
        <v>18</v>
      </c>
      <c r="I728" s="124">
        <v>1</v>
      </c>
      <c r="J728" s="124" t="s">
        <v>15</v>
      </c>
      <c r="K728" s="124" t="s">
        <v>103</v>
      </c>
      <c r="L728" s="121" t="s">
        <v>104</v>
      </c>
    </row>
    <row r="729" spans="1:12" x14ac:dyDescent="0.2">
      <c r="A729" s="121" t="s">
        <v>101</v>
      </c>
      <c r="B729" s="121" t="s">
        <v>102</v>
      </c>
      <c r="C729" s="121" t="s">
        <v>19</v>
      </c>
      <c r="D729" s="121" t="s">
        <v>12</v>
      </c>
      <c r="E729" s="122">
        <v>42591</v>
      </c>
      <c r="F729" s="123">
        <v>29.035710000000002</v>
      </c>
      <c r="G729" s="124" t="s">
        <v>16</v>
      </c>
      <c r="H729" s="121" t="s">
        <v>18</v>
      </c>
      <c r="I729" s="124">
        <v>1</v>
      </c>
      <c r="J729" s="124" t="s">
        <v>15</v>
      </c>
      <c r="K729" s="124" t="s">
        <v>103</v>
      </c>
      <c r="L729" s="121" t="s">
        <v>104</v>
      </c>
    </row>
    <row r="730" spans="1:12" x14ac:dyDescent="0.2">
      <c r="A730" s="121" t="s">
        <v>101</v>
      </c>
      <c r="B730" s="121" t="s">
        <v>102</v>
      </c>
      <c r="C730" s="121" t="s">
        <v>19</v>
      </c>
      <c r="D730" s="121" t="s">
        <v>12</v>
      </c>
      <c r="E730" s="122">
        <v>42585</v>
      </c>
      <c r="F730" s="123">
        <v>2.75</v>
      </c>
      <c r="G730" s="124" t="s">
        <v>13</v>
      </c>
      <c r="H730" s="121" t="s">
        <v>14</v>
      </c>
      <c r="I730" s="124">
        <v>1</v>
      </c>
      <c r="J730" s="124" t="s">
        <v>15</v>
      </c>
      <c r="K730" s="124" t="s">
        <v>103</v>
      </c>
      <c r="L730" s="121" t="s">
        <v>104</v>
      </c>
    </row>
    <row r="731" spans="1:12" x14ac:dyDescent="0.2">
      <c r="A731" s="121" t="s">
        <v>101</v>
      </c>
      <c r="B731" s="121" t="s">
        <v>102</v>
      </c>
      <c r="C731" s="121" t="s">
        <v>19</v>
      </c>
      <c r="D731" s="121" t="s">
        <v>12</v>
      </c>
      <c r="E731" s="122">
        <v>42585</v>
      </c>
      <c r="F731" s="123">
        <v>46.030544999999996</v>
      </c>
      <c r="G731" s="124" t="s">
        <v>16</v>
      </c>
      <c r="H731" s="121" t="s">
        <v>14</v>
      </c>
      <c r="I731" s="124">
        <v>1</v>
      </c>
      <c r="J731" s="124" t="s">
        <v>15</v>
      </c>
      <c r="K731" s="124" t="s">
        <v>103</v>
      </c>
      <c r="L731" s="121" t="s">
        <v>104</v>
      </c>
    </row>
    <row r="732" spans="1:12" x14ac:dyDescent="0.2">
      <c r="A732" s="121" t="s">
        <v>101</v>
      </c>
      <c r="B732" s="121" t="s">
        <v>102</v>
      </c>
      <c r="C732" s="121" t="s">
        <v>19</v>
      </c>
      <c r="D732" s="121" t="s">
        <v>12</v>
      </c>
      <c r="E732" s="122">
        <v>42585</v>
      </c>
      <c r="F732" s="123">
        <v>1.7</v>
      </c>
      <c r="G732" s="124" t="s">
        <v>13</v>
      </c>
      <c r="H732" s="121" t="s">
        <v>18</v>
      </c>
      <c r="I732" s="124">
        <v>1</v>
      </c>
      <c r="J732" s="124" t="s">
        <v>15</v>
      </c>
      <c r="K732" s="124" t="s">
        <v>103</v>
      </c>
      <c r="L732" s="121" t="s">
        <v>104</v>
      </c>
    </row>
    <row r="733" spans="1:12" x14ac:dyDescent="0.2">
      <c r="A733" s="121" t="s">
        <v>101</v>
      </c>
      <c r="B733" s="121" t="s">
        <v>102</v>
      </c>
      <c r="C733" s="121" t="s">
        <v>19</v>
      </c>
      <c r="D733" s="121" t="s">
        <v>12</v>
      </c>
      <c r="E733" s="122">
        <v>42585</v>
      </c>
      <c r="F733" s="123">
        <v>28.78134</v>
      </c>
      <c r="G733" s="124" t="s">
        <v>16</v>
      </c>
      <c r="H733" s="121" t="s">
        <v>18</v>
      </c>
      <c r="I733" s="124">
        <v>1</v>
      </c>
      <c r="J733" s="124" t="s">
        <v>15</v>
      </c>
      <c r="K733" s="124" t="s">
        <v>103</v>
      </c>
      <c r="L733" s="121" t="s">
        <v>104</v>
      </c>
    </row>
    <row r="734" spans="1:12" x14ac:dyDescent="0.2">
      <c r="A734" s="121" t="s">
        <v>101</v>
      </c>
      <c r="B734" s="121" t="s">
        <v>102</v>
      </c>
      <c r="C734" s="121" t="s">
        <v>19</v>
      </c>
      <c r="D734" s="121" t="s">
        <v>12</v>
      </c>
      <c r="E734" s="122">
        <v>42577</v>
      </c>
      <c r="F734" s="123">
        <v>2.87</v>
      </c>
      <c r="G734" s="124" t="s">
        <v>13</v>
      </c>
      <c r="H734" s="121" t="s">
        <v>14</v>
      </c>
      <c r="I734" s="124">
        <v>1</v>
      </c>
      <c r="J734" s="124" t="s">
        <v>15</v>
      </c>
      <c r="K734" s="124" t="s">
        <v>103</v>
      </c>
      <c r="L734" s="121" t="s">
        <v>104</v>
      </c>
    </row>
    <row r="735" spans="1:12" x14ac:dyDescent="0.2">
      <c r="A735" s="121" t="s">
        <v>101</v>
      </c>
      <c r="B735" s="121" t="s">
        <v>102</v>
      </c>
      <c r="C735" s="121" t="s">
        <v>19</v>
      </c>
      <c r="D735" s="121" t="s">
        <v>12</v>
      </c>
      <c r="E735" s="122">
        <v>42577</v>
      </c>
      <c r="F735" s="123">
        <v>52.2518514</v>
      </c>
      <c r="G735" s="124" t="s">
        <v>16</v>
      </c>
      <c r="H735" s="121" t="s">
        <v>14</v>
      </c>
      <c r="I735" s="124">
        <v>1</v>
      </c>
      <c r="J735" s="124" t="s">
        <v>15</v>
      </c>
      <c r="K735" s="124" t="s">
        <v>103</v>
      </c>
      <c r="L735" s="121" t="s">
        <v>104</v>
      </c>
    </row>
    <row r="736" spans="1:12" x14ac:dyDescent="0.2">
      <c r="A736" s="121" t="s">
        <v>101</v>
      </c>
      <c r="B736" s="121" t="s">
        <v>102</v>
      </c>
      <c r="C736" s="121" t="s">
        <v>19</v>
      </c>
      <c r="D736" s="121" t="s">
        <v>12</v>
      </c>
      <c r="E736" s="122">
        <v>42577</v>
      </c>
      <c r="F736" s="123">
        <v>1.51</v>
      </c>
      <c r="G736" s="124" t="s">
        <v>13</v>
      </c>
      <c r="H736" s="121" t="s">
        <v>18</v>
      </c>
      <c r="I736" s="124">
        <v>1</v>
      </c>
      <c r="J736" s="124" t="s">
        <v>15</v>
      </c>
      <c r="K736" s="124" t="s">
        <v>103</v>
      </c>
      <c r="L736" s="121" t="s">
        <v>104</v>
      </c>
    </row>
    <row r="737" spans="1:12" x14ac:dyDescent="0.2">
      <c r="A737" s="121" t="s">
        <v>101</v>
      </c>
      <c r="B737" s="121" t="s">
        <v>102</v>
      </c>
      <c r="C737" s="121" t="s">
        <v>19</v>
      </c>
      <c r="D737" s="121" t="s">
        <v>12</v>
      </c>
      <c r="E737" s="122">
        <v>42577</v>
      </c>
      <c r="F737" s="123">
        <v>27.705480000000001</v>
      </c>
      <c r="G737" s="124" t="s">
        <v>16</v>
      </c>
      <c r="H737" s="121" t="s">
        <v>18</v>
      </c>
      <c r="I737" s="124">
        <v>1</v>
      </c>
      <c r="J737" s="124" t="s">
        <v>15</v>
      </c>
      <c r="K737" s="124" t="s">
        <v>103</v>
      </c>
      <c r="L737" s="121" t="s">
        <v>104</v>
      </c>
    </row>
    <row r="738" spans="1:12" x14ac:dyDescent="0.2">
      <c r="A738" s="121" t="s">
        <v>101</v>
      </c>
      <c r="B738" s="121" t="s">
        <v>102</v>
      </c>
      <c r="C738" s="121" t="s">
        <v>19</v>
      </c>
      <c r="D738" s="121" t="s">
        <v>12</v>
      </c>
      <c r="E738" s="122">
        <v>42571</v>
      </c>
      <c r="F738" s="123">
        <v>2.15</v>
      </c>
      <c r="G738" s="124" t="s">
        <v>13</v>
      </c>
      <c r="H738" s="121" t="s">
        <v>14</v>
      </c>
      <c r="I738" s="124">
        <v>1</v>
      </c>
      <c r="J738" s="124" t="s">
        <v>15</v>
      </c>
      <c r="K738" s="124" t="s">
        <v>103</v>
      </c>
      <c r="L738" s="121" t="s">
        <v>104</v>
      </c>
    </row>
    <row r="739" spans="1:12" x14ac:dyDescent="0.2">
      <c r="A739" s="121" t="s">
        <v>101</v>
      </c>
      <c r="B739" s="121" t="s">
        <v>102</v>
      </c>
      <c r="C739" s="121" t="s">
        <v>19</v>
      </c>
      <c r="D739" s="121" t="s">
        <v>12</v>
      </c>
      <c r="E739" s="122">
        <v>42571</v>
      </c>
      <c r="F739" s="123">
        <v>57.002648999999998</v>
      </c>
      <c r="G739" s="124" t="s">
        <v>16</v>
      </c>
      <c r="H739" s="121" t="s">
        <v>14</v>
      </c>
      <c r="I739" s="124">
        <v>1</v>
      </c>
      <c r="J739" s="124" t="s">
        <v>15</v>
      </c>
      <c r="K739" s="124" t="s">
        <v>103</v>
      </c>
      <c r="L739" s="121" t="s">
        <v>104</v>
      </c>
    </row>
    <row r="740" spans="1:12" x14ac:dyDescent="0.2">
      <c r="A740" s="121" t="s">
        <v>101</v>
      </c>
      <c r="B740" s="121" t="s">
        <v>102</v>
      </c>
      <c r="C740" s="121" t="s">
        <v>19</v>
      </c>
      <c r="D740" s="121" t="s">
        <v>12</v>
      </c>
      <c r="E740" s="122">
        <v>42571</v>
      </c>
      <c r="F740" s="123">
        <v>1.33</v>
      </c>
      <c r="G740" s="124" t="s">
        <v>13</v>
      </c>
      <c r="H740" s="121" t="s">
        <v>18</v>
      </c>
      <c r="I740" s="124">
        <v>1</v>
      </c>
      <c r="J740" s="124" t="s">
        <v>15</v>
      </c>
      <c r="K740" s="124" t="s">
        <v>103</v>
      </c>
      <c r="L740" s="121" t="s">
        <v>104</v>
      </c>
    </row>
    <row r="741" spans="1:12" x14ac:dyDescent="0.2">
      <c r="A741" s="121" t="s">
        <v>101</v>
      </c>
      <c r="B741" s="121" t="s">
        <v>102</v>
      </c>
      <c r="C741" s="121" t="s">
        <v>19</v>
      </c>
      <c r="D741" s="121" t="s">
        <v>12</v>
      </c>
      <c r="E741" s="122">
        <v>42571</v>
      </c>
      <c r="F741" s="123">
        <v>37.047947999999998</v>
      </c>
      <c r="G741" s="124" t="s">
        <v>16</v>
      </c>
      <c r="H741" s="121" t="s">
        <v>18</v>
      </c>
      <c r="I741" s="124">
        <v>1</v>
      </c>
      <c r="J741" s="124" t="s">
        <v>15</v>
      </c>
      <c r="K741" s="124" t="s">
        <v>103</v>
      </c>
      <c r="L741" s="121" t="s">
        <v>104</v>
      </c>
    </row>
    <row r="742" spans="1:12" x14ac:dyDescent="0.2">
      <c r="A742" s="121" t="s">
        <v>101</v>
      </c>
      <c r="B742" s="121" t="s">
        <v>102</v>
      </c>
      <c r="C742" s="121" t="s">
        <v>19</v>
      </c>
      <c r="D742" s="121" t="s">
        <v>12</v>
      </c>
      <c r="E742" s="122">
        <v>42569</v>
      </c>
      <c r="F742" s="123">
        <v>2.77</v>
      </c>
      <c r="G742" s="124" t="s">
        <v>13</v>
      </c>
      <c r="H742" s="121" t="s">
        <v>14</v>
      </c>
      <c r="I742" s="124">
        <v>1</v>
      </c>
      <c r="J742" s="124" t="s">
        <v>15</v>
      </c>
      <c r="K742" s="124" t="s">
        <v>103</v>
      </c>
      <c r="L742" s="121" t="s">
        <v>104</v>
      </c>
    </row>
    <row r="743" spans="1:12" x14ac:dyDescent="0.2">
      <c r="A743" s="121" t="s">
        <v>101</v>
      </c>
      <c r="B743" s="121" t="s">
        <v>102</v>
      </c>
      <c r="C743" s="121" t="s">
        <v>19</v>
      </c>
      <c r="D743" s="121" t="s">
        <v>12</v>
      </c>
      <c r="E743" s="122">
        <v>42569</v>
      </c>
      <c r="F743" s="123">
        <v>72.331735800000004</v>
      </c>
      <c r="G743" s="124" t="s">
        <v>16</v>
      </c>
      <c r="H743" s="121" t="s">
        <v>14</v>
      </c>
      <c r="I743" s="124">
        <v>1</v>
      </c>
      <c r="J743" s="124" t="s">
        <v>15</v>
      </c>
      <c r="K743" s="124" t="s">
        <v>103</v>
      </c>
      <c r="L743" s="121" t="s">
        <v>104</v>
      </c>
    </row>
    <row r="744" spans="1:12" x14ac:dyDescent="0.2">
      <c r="A744" s="121" t="s">
        <v>101</v>
      </c>
      <c r="B744" s="121" t="s">
        <v>102</v>
      </c>
      <c r="C744" s="121" t="s">
        <v>19</v>
      </c>
      <c r="D744" s="121" t="s">
        <v>12</v>
      </c>
      <c r="E744" s="122">
        <v>42569</v>
      </c>
      <c r="F744" s="123">
        <v>1.71</v>
      </c>
      <c r="G744" s="124" t="s">
        <v>13</v>
      </c>
      <c r="H744" s="121" t="s">
        <v>18</v>
      </c>
      <c r="I744" s="124">
        <v>1</v>
      </c>
      <c r="J744" s="124" t="s">
        <v>15</v>
      </c>
      <c r="K744" s="124" t="s">
        <v>103</v>
      </c>
      <c r="L744" s="121" t="s">
        <v>104</v>
      </c>
    </row>
    <row r="745" spans="1:12" x14ac:dyDescent="0.2">
      <c r="A745" s="121" t="s">
        <v>101</v>
      </c>
      <c r="B745" s="121" t="s">
        <v>102</v>
      </c>
      <c r="C745" s="121" t="s">
        <v>19</v>
      </c>
      <c r="D745" s="121" t="s">
        <v>12</v>
      </c>
      <c r="E745" s="122">
        <v>42569</v>
      </c>
      <c r="F745" s="123">
        <v>47.347847999999999</v>
      </c>
      <c r="G745" s="124" t="s">
        <v>16</v>
      </c>
      <c r="H745" s="121" t="s">
        <v>18</v>
      </c>
      <c r="I745" s="124">
        <v>1</v>
      </c>
      <c r="J745" s="124" t="s">
        <v>15</v>
      </c>
      <c r="K745" s="124" t="s">
        <v>103</v>
      </c>
      <c r="L745" s="121" t="s">
        <v>104</v>
      </c>
    </row>
    <row r="746" spans="1:12" x14ac:dyDescent="0.2">
      <c r="A746" s="121" t="s">
        <v>101</v>
      </c>
      <c r="B746" s="121" t="s">
        <v>102</v>
      </c>
      <c r="C746" s="121" t="s">
        <v>19</v>
      </c>
      <c r="D746" s="121" t="s">
        <v>12</v>
      </c>
      <c r="E746" s="122">
        <v>42563</v>
      </c>
      <c r="F746" s="123">
        <v>2.65</v>
      </c>
      <c r="G746" s="124" t="s">
        <v>13</v>
      </c>
      <c r="H746" s="121" t="s">
        <v>14</v>
      </c>
      <c r="I746" s="124">
        <v>1</v>
      </c>
      <c r="J746" s="124" t="s">
        <v>15</v>
      </c>
      <c r="K746" s="124" t="s">
        <v>103</v>
      </c>
      <c r="L746" s="121" t="s">
        <v>104</v>
      </c>
    </row>
    <row r="747" spans="1:12" x14ac:dyDescent="0.2">
      <c r="A747" s="121" t="s">
        <v>101</v>
      </c>
      <c r="B747" s="121" t="s">
        <v>102</v>
      </c>
      <c r="C747" s="121" t="s">
        <v>19</v>
      </c>
      <c r="D747" s="121" t="s">
        <v>12</v>
      </c>
      <c r="E747" s="122">
        <v>42563</v>
      </c>
      <c r="F747" s="123">
        <v>59.429589</v>
      </c>
      <c r="G747" s="124" t="s">
        <v>16</v>
      </c>
      <c r="H747" s="121" t="s">
        <v>14</v>
      </c>
      <c r="I747" s="124">
        <v>1</v>
      </c>
      <c r="J747" s="124" t="s">
        <v>15</v>
      </c>
      <c r="K747" s="124" t="s">
        <v>103</v>
      </c>
      <c r="L747" s="121" t="s">
        <v>104</v>
      </c>
    </row>
    <row r="748" spans="1:12" x14ac:dyDescent="0.2">
      <c r="A748" s="121" t="s">
        <v>101</v>
      </c>
      <c r="B748" s="121" t="s">
        <v>102</v>
      </c>
      <c r="C748" s="121" t="s">
        <v>19</v>
      </c>
      <c r="D748" s="121" t="s">
        <v>12</v>
      </c>
      <c r="E748" s="122">
        <v>42563</v>
      </c>
      <c r="F748" s="123">
        <v>1.52</v>
      </c>
      <c r="G748" s="124" t="s">
        <v>13</v>
      </c>
      <c r="H748" s="121" t="s">
        <v>18</v>
      </c>
      <c r="I748" s="124">
        <v>1</v>
      </c>
      <c r="J748" s="124" t="s">
        <v>15</v>
      </c>
      <c r="K748" s="124" t="s">
        <v>103</v>
      </c>
      <c r="L748" s="121" t="s">
        <v>104</v>
      </c>
    </row>
    <row r="749" spans="1:12" x14ac:dyDescent="0.2">
      <c r="A749" s="121" t="s">
        <v>101</v>
      </c>
      <c r="B749" s="121" t="s">
        <v>102</v>
      </c>
      <c r="C749" s="121" t="s">
        <v>19</v>
      </c>
      <c r="D749" s="121" t="s">
        <v>12</v>
      </c>
      <c r="E749" s="122">
        <v>42563</v>
      </c>
      <c r="F749" s="123">
        <v>33.973824</v>
      </c>
      <c r="G749" s="124" t="s">
        <v>16</v>
      </c>
      <c r="H749" s="121" t="s">
        <v>18</v>
      </c>
      <c r="I749" s="124">
        <v>1</v>
      </c>
      <c r="J749" s="124" t="s">
        <v>15</v>
      </c>
      <c r="K749" s="124" t="s">
        <v>103</v>
      </c>
      <c r="L749" s="121" t="s">
        <v>104</v>
      </c>
    </row>
    <row r="750" spans="1:12" x14ac:dyDescent="0.2">
      <c r="A750" s="121" t="s">
        <v>101</v>
      </c>
      <c r="B750" s="121" t="s">
        <v>102</v>
      </c>
      <c r="C750" s="121" t="s">
        <v>19</v>
      </c>
      <c r="D750" s="121" t="s">
        <v>12</v>
      </c>
      <c r="E750" s="122">
        <v>42556</v>
      </c>
      <c r="F750" s="133">
        <v>4.9800000000000004</v>
      </c>
      <c r="G750" s="124" t="s">
        <v>13</v>
      </c>
      <c r="H750" s="121" t="s">
        <v>14</v>
      </c>
      <c r="I750" s="124">
        <v>1</v>
      </c>
      <c r="J750" s="124" t="s">
        <v>15</v>
      </c>
      <c r="K750" s="124" t="s">
        <v>103</v>
      </c>
      <c r="L750" s="121" t="s">
        <v>104</v>
      </c>
    </row>
    <row r="751" spans="1:12" x14ac:dyDescent="0.2">
      <c r="A751" s="121" t="s">
        <v>101</v>
      </c>
      <c r="B751" s="121" t="s">
        <v>102</v>
      </c>
      <c r="C751" s="121" t="s">
        <v>19</v>
      </c>
      <c r="D751" s="121" t="s">
        <v>12</v>
      </c>
      <c r="E751" s="122">
        <v>42556</v>
      </c>
      <c r="F751" s="133">
        <v>89.753245199999995</v>
      </c>
      <c r="G751" s="125" t="s">
        <v>16</v>
      </c>
      <c r="H751" s="126" t="s">
        <v>14</v>
      </c>
      <c r="I751" s="124">
        <v>1</v>
      </c>
      <c r="J751" s="124" t="s">
        <v>15</v>
      </c>
      <c r="K751" s="124" t="s">
        <v>103</v>
      </c>
      <c r="L751" s="121" t="s">
        <v>104</v>
      </c>
    </row>
    <row r="752" spans="1:12" x14ac:dyDescent="0.2">
      <c r="A752" s="121" t="s">
        <v>101</v>
      </c>
      <c r="B752" s="121" t="s">
        <v>102</v>
      </c>
      <c r="C752" s="121" t="s">
        <v>19</v>
      </c>
      <c r="D752" s="121" t="s">
        <v>12</v>
      </c>
      <c r="E752" s="122">
        <v>42556</v>
      </c>
      <c r="F752" s="133">
        <v>1.68</v>
      </c>
      <c r="G752" s="124" t="s">
        <v>13</v>
      </c>
      <c r="H752" s="121" t="s">
        <v>18</v>
      </c>
      <c r="I752" s="124">
        <v>1</v>
      </c>
      <c r="J752" s="124" t="s">
        <v>15</v>
      </c>
      <c r="K752" s="124" t="s">
        <v>103</v>
      </c>
      <c r="L752" s="121" t="s">
        <v>104</v>
      </c>
    </row>
    <row r="753" spans="1:12" x14ac:dyDescent="0.2">
      <c r="A753" s="121" t="s">
        <v>101</v>
      </c>
      <c r="B753" s="121" t="s">
        <v>102</v>
      </c>
      <c r="C753" s="121" t="s">
        <v>19</v>
      </c>
      <c r="D753" s="121" t="s">
        <v>12</v>
      </c>
      <c r="E753" s="122">
        <v>42556</v>
      </c>
      <c r="F753" s="133">
        <v>30.824639999999999</v>
      </c>
      <c r="G753" s="124" t="s">
        <v>16</v>
      </c>
      <c r="H753" s="121" t="s">
        <v>18</v>
      </c>
      <c r="I753" s="124">
        <v>1</v>
      </c>
      <c r="J753" s="124" t="s">
        <v>15</v>
      </c>
      <c r="K753" s="124" t="s">
        <v>103</v>
      </c>
      <c r="L753" s="121" t="s">
        <v>104</v>
      </c>
    </row>
    <row r="754" spans="1:12" x14ac:dyDescent="0.2">
      <c r="A754" s="121" t="s">
        <v>101</v>
      </c>
      <c r="B754" s="121" t="s">
        <v>102</v>
      </c>
      <c r="C754" s="121" t="s">
        <v>19</v>
      </c>
      <c r="D754" s="121" t="s">
        <v>12</v>
      </c>
      <c r="E754" s="122">
        <v>42548</v>
      </c>
      <c r="F754" s="123">
        <v>3.05</v>
      </c>
      <c r="G754" s="124" t="s">
        <v>13</v>
      </c>
      <c r="H754" s="121" t="s">
        <v>14</v>
      </c>
      <c r="I754" s="124">
        <v>1</v>
      </c>
      <c r="J754" s="124" t="s">
        <v>15</v>
      </c>
      <c r="K754" s="124" t="s">
        <v>103</v>
      </c>
      <c r="L754" s="121" t="s">
        <v>104</v>
      </c>
    </row>
    <row r="755" spans="1:12" x14ac:dyDescent="0.2">
      <c r="A755" s="121" t="s">
        <v>101</v>
      </c>
      <c r="B755" s="121" t="s">
        <v>102</v>
      </c>
      <c r="C755" s="121" t="s">
        <v>19</v>
      </c>
      <c r="D755" s="121" t="s">
        <v>12</v>
      </c>
      <c r="E755" s="122">
        <v>42548</v>
      </c>
      <c r="F755" s="123">
        <v>52.247598000000004</v>
      </c>
      <c r="G755" s="124" t="s">
        <v>16</v>
      </c>
      <c r="H755" s="121" t="s">
        <v>14</v>
      </c>
      <c r="I755" s="124">
        <v>1</v>
      </c>
      <c r="J755" s="124" t="s">
        <v>15</v>
      </c>
      <c r="K755" s="124" t="s">
        <v>103</v>
      </c>
      <c r="L755" s="121" t="s">
        <v>104</v>
      </c>
    </row>
    <row r="756" spans="1:12" x14ac:dyDescent="0.2">
      <c r="A756" s="121" t="s">
        <v>101</v>
      </c>
      <c r="B756" s="121" t="s">
        <v>102</v>
      </c>
      <c r="C756" s="121" t="s">
        <v>19</v>
      </c>
      <c r="D756" s="121" t="s">
        <v>12</v>
      </c>
      <c r="E756" s="122">
        <v>42548</v>
      </c>
      <c r="F756" s="123">
        <v>1.45</v>
      </c>
      <c r="G756" s="124" t="s">
        <v>13</v>
      </c>
      <c r="H756" s="121" t="s">
        <v>18</v>
      </c>
      <c r="I756" s="124">
        <v>1</v>
      </c>
      <c r="J756" s="124" t="s">
        <v>15</v>
      </c>
      <c r="K756" s="124" t="s">
        <v>103</v>
      </c>
      <c r="L756" s="121" t="s">
        <v>104</v>
      </c>
    </row>
    <row r="757" spans="1:12" x14ac:dyDescent="0.2">
      <c r="A757" s="121" t="s">
        <v>101</v>
      </c>
      <c r="B757" s="121" t="s">
        <v>102</v>
      </c>
      <c r="C757" s="121" t="s">
        <v>19</v>
      </c>
      <c r="D757" s="121" t="s">
        <v>12</v>
      </c>
      <c r="E757" s="122">
        <v>42548</v>
      </c>
      <c r="F757" s="123">
        <v>23.58135</v>
      </c>
      <c r="G757" s="124" t="s">
        <v>16</v>
      </c>
      <c r="H757" s="121" t="s">
        <v>18</v>
      </c>
      <c r="I757" s="124">
        <v>1</v>
      </c>
      <c r="J757" s="124" t="s">
        <v>15</v>
      </c>
      <c r="K757" s="124" t="s">
        <v>103</v>
      </c>
      <c r="L757" s="121" t="s">
        <v>104</v>
      </c>
    </row>
    <row r="758" spans="1:12" x14ac:dyDescent="0.2">
      <c r="A758" s="121" t="s">
        <v>101</v>
      </c>
      <c r="B758" s="121" t="s">
        <v>102</v>
      </c>
      <c r="C758" s="121" t="s">
        <v>19</v>
      </c>
      <c r="D758" s="121" t="s">
        <v>12</v>
      </c>
      <c r="E758" s="122">
        <v>42542</v>
      </c>
      <c r="F758" s="123">
        <v>2.65</v>
      </c>
      <c r="G758" s="124" t="s">
        <v>13</v>
      </c>
      <c r="H758" s="121" t="s">
        <v>14</v>
      </c>
      <c r="I758" s="124">
        <v>1</v>
      </c>
      <c r="J758" s="124" t="s">
        <v>15</v>
      </c>
      <c r="K758" s="124" t="s">
        <v>103</v>
      </c>
      <c r="L758" s="121" t="s">
        <v>104</v>
      </c>
    </row>
    <row r="759" spans="1:12" x14ac:dyDescent="0.2">
      <c r="A759" s="121" t="s">
        <v>101</v>
      </c>
      <c r="B759" s="121" t="s">
        <v>102</v>
      </c>
      <c r="C759" s="121" t="s">
        <v>19</v>
      </c>
      <c r="D759" s="121" t="s">
        <v>12</v>
      </c>
      <c r="E759" s="122">
        <v>42542</v>
      </c>
      <c r="F759" s="123">
        <v>43.826282999999997</v>
      </c>
      <c r="G759" s="124" t="s">
        <v>16</v>
      </c>
      <c r="H759" s="121" t="s">
        <v>14</v>
      </c>
      <c r="I759" s="124">
        <v>1</v>
      </c>
      <c r="J759" s="124" t="s">
        <v>15</v>
      </c>
      <c r="K759" s="124" t="s">
        <v>103</v>
      </c>
      <c r="L759" s="121" t="s">
        <v>104</v>
      </c>
    </row>
    <row r="760" spans="1:12" x14ac:dyDescent="0.2">
      <c r="A760" s="121" t="s">
        <v>101</v>
      </c>
      <c r="B760" s="121" t="s">
        <v>102</v>
      </c>
      <c r="C760" s="121" t="s">
        <v>19</v>
      </c>
      <c r="D760" s="121" t="s">
        <v>12</v>
      </c>
      <c r="E760" s="122">
        <v>42542</v>
      </c>
      <c r="F760" s="123">
        <v>1.31</v>
      </c>
      <c r="G760" s="124" t="s">
        <v>13</v>
      </c>
      <c r="H760" s="121" t="s">
        <v>18</v>
      </c>
      <c r="I760" s="124">
        <v>1</v>
      </c>
      <c r="J760" s="124" t="s">
        <v>15</v>
      </c>
      <c r="K760" s="124" t="s">
        <v>103</v>
      </c>
      <c r="L760" s="121" t="s">
        <v>104</v>
      </c>
    </row>
    <row r="761" spans="1:12" x14ac:dyDescent="0.2">
      <c r="A761" s="121" t="s">
        <v>101</v>
      </c>
      <c r="B761" s="121" t="s">
        <v>102</v>
      </c>
      <c r="C761" s="121" t="s">
        <v>19</v>
      </c>
      <c r="D761" s="121" t="s">
        <v>12</v>
      </c>
      <c r="E761" s="122">
        <v>42542</v>
      </c>
      <c r="F761" s="123">
        <v>25.783944000000002</v>
      </c>
      <c r="G761" s="124" t="s">
        <v>16</v>
      </c>
      <c r="H761" s="121" t="s">
        <v>18</v>
      </c>
      <c r="I761" s="124">
        <v>1</v>
      </c>
      <c r="J761" s="124" t="s">
        <v>15</v>
      </c>
      <c r="K761" s="124" t="s">
        <v>103</v>
      </c>
      <c r="L761" s="121" t="s">
        <v>104</v>
      </c>
    </row>
    <row r="762" spans="1:12" x14ac:dyDescent="0.2">
      <c r="A762" s="121" t="s">
        <v>101</v>
      </c>
      <c r="B762" s="121" t="s">
        <v>102</v>
      </c>
      <c r="C762" s="121" t="s">
        <v>19</v>
      </c>
      <c r="D762" s="121" t="s">
        <v>12</v>
      </c>
      <c r="E762" s="122">
        <v>42534</v>
      </c>
      <c r="F762" s="123">
        <v>2.85</v>
      </c>
      <c r="G762" s="124" t="s">
        <v>13</v>
      </c>
      <c r="H762" s="121" t="s">
        <v>14</v>
      </c>
      <c r="I762" s="124">
        <v>1</v>
      </c>
      <c r="J762" s="124" t="s">
        <v>15</v>
      </c>
      <c r="K762" s="124" t="s">
        <v>103</v>
      </c>
      <c r="L762" s="121" t="s">
        <v>104</v>
      </c>
    </row>
    <row r="763" spans="1:12" x14ac:dyDescent="0.2">
      <c r="A763" s="121" t="s">
        <v>101</v>
      </c>
      <c r="B763" s="121" t="s">
        <v>102</v>
      </c>
      <c r="C763" s="121" t="s">
        <v>19</v>
      </c>
      <c r="D763" s="121" t="s">
        <v>12</v>
      </c>
      <c r="E763" s="122">
        <v>42534</v>
      </c>
      <c r="F763" s="123">
        <v>49.534596000000001</v>
      </c>
      <c r="G763" s="124" t="s">
        <v>16</v>
      </c>
      <c r="H763" s="121" t="s">
        <v>14</v>
      </c>
      <c r="I763" s="124">
        <v>1</v>
      </c>
      <c r="J763" s="124" t="s">
        <v>15</v>
      </c>
      <c r="K763" s="124" t="s">
        <v>103</v>
      </c>
      <c r="L763" s="121" t="s">
        <v>104</v>
      </c>
    </row>
    <row r="764" spans="1:12" x14ac:dyDescent="0.2">
      <c r="A764" s="121" t="s">
        <v>101</v>
      </c>
      <c r="B764" s="121" t="s">
        <v>102</v>
      </c>
      <c r="C764" s="121" t="s">
        <v>19</v>
      </c>
      <c r="D764" s="121" t="s">
        <v>12</v>
      </c>
      <c r="E764" s="122">
        <v>42534</v>
      </c>
      <c r="F764" s="123">
        <v>1.29</v>
      </c>
      <c r="G764" s="124" t="s">
        <v>13</v>
      </c>
      <c r="H764" s="121" t="s">
        <v>18</v>
      </c>
      <c r="I764" s="124">
        <v>1</v>
      </c>
      <c r="J764" s="124" t="s">
        <v>15</v>
      </c>
      <c r="K764" s="124" t="s">
        <v>103</v>
      </c>
      <c r="L764" s="121" t="s">
        <v>104</v>
      </c>
    </row>
    <row r="765" spans="1:12" x14ac:dyDescent="0.2">
      <c r="A765" s="121" t="s">
        <v>101</v>
      </c>
      <c r="B765" s="121" t="s">
        <v>102</v>
      </c>
      <c r="C765" s="121" t="s">
        <v>19</v>
      </c>
      <c r="D765" s="121" t="s">
        <v>12</v>
      </c>
      <c r="E765" s="122">
        <v>42534</v>
      </c>
      <c r="F765" s="123">
        <v>30.231666000000001</v>
      </c>
      <c r="G765" s="124" t="s">
        <v>16</v>
      </c>
      <c r="H765" s="121" t="s">
        <v>18</v>
      </c>
      <c r="I765" s="124">
        <v>1</v>
      </c>
      <c r="J765" s="124" t="s">
        <v>15</v>
      </c>
      <c r="K765" s="124" t="s">
        <v>103</v>
      </c>
      <c r="L765" s="121" t="s">
        <v>104</v>
      </c>
    </row>
    <row r="766" spans="1:12" x14ac:dyDescent="0.2">
      <c r="A766" s="121" t="s">
        <v>101</v>
      </c>
      <c r="B766" s="121" t="s">
        <v>102</v>
      </c>
      <c r="C766" s="121" t="s">
        <v>19</v>
      </c>
      <c r="D766" s="121" t="s">
        <v>12</v>
      </c>
      <c r="E766" s="122">
        <v>42529</v>
      </c>
      <c r="F766" s="123">
        <v>2.4300000000000002</v>
      </c>
      <c r="G766" s="124" t="s">
        <v>13</v>
      </c>
      <c r="H766" s="121" t="s">
        <v>14</v>
      </c>
      <c r="I766" s="124">
        <v>1</v>
      </c>
      <c r="J766" s="124" t="s">
        <v>15</v>
      </c>
      <c r="K766" s="124" t="s">
        <v>103</v>
      </c>
      <c r="L766" s="121" t="s">
        <v>104</v>
      </c>
    </row>
    <row r="767" spans="1:12" x14ac:dyDescent="0.2">
      <c r="A767" s="121" t="s">
        <v>101</v>
      </c>
      <c r="B767" s="121" t="s">
        <v>102</v>
      </c>
      <c r="C767" s="121" t="s">
        <v>19</v>
      </c>
      <c r="D767" s="121" t="s">
        <v>12</v>
      </c>
      <c r="E767" s="122">
        <v>42529</v>
      </c>
      <c r="F767" s="123">
        <v>44.078985000000003</v>
      </c>
      <c r="G767" s="124" t="s">
        <v>16</v>
      </c>
      <c r="H767" s="121" t="s">
        <v>14</v>
      </c>
      <c r="I767" s="124">
        <v>1</v>
      </c>
      <c r="J767" s="124" t="s">
        <v>15</v>
      </c>
      <c r="K767" s="124" t="s">
        <v>103</v>
      </c>
      <c r="L767" s="121" t="s">
        <v>104</v>
      </c>
    </row>
    <row r="768" spans="1:12" x14ac:dyDescent="0.2">
      <c r="A768" s="121" t="s">
        <v>101</v>
      </c>
      <c r="B768" s="121" t="s">
        <v>102</v>
      </c>
      <c r="C768" s="121" t="s">
        <v>19</v>
      </c>
      <c r="D768" s="121" t="s">
        <v>12</v>
      </c>
      <c r="E768" s="122">
        <v>42529</v>
      </c>
      <c r="F768" s="123">
        <v>1.05</v>
      </c>
      <c r="G768" s="124" t="s">
        <v>13</v>
      </c>
      <c r="H768" s="121" t="s">
        <v>18</v>
      </c>
      <c r="I768" s="124">
        <v>1</v>
      </c>
      <c r="J768" s="124" t="s">
        <v>15</v>
      </c>
      <c r="K768" s="124" t="s">
        <v>103</v>
      </c>
      <c r="L768" s="121" t="s">
        <v>104</v>
      </c>
    </row>
    <row r="769" spans="1:12" x14ac:dyDescent="0.2">
      <c r="A769" s="121" t="s">
        <v>101</v>
      </c>
      <c r="B769" s="121" t="s">
        <v>102</v>
      </c>
      <c r="C769" s="121" t="s">
        <v>19</v>
      </c>
      <c r="D769" s="121" t="s">
        <v>12</v>
      </c>
      <c r="E769" s="122">
        <v>42529</v>
      </c>
      <c r="F769" s="123">
        <v>23.38119</v>
      </c>
      <c r="G769" s="124" t="s">
        <v>16</v>
      </c>
      <c r="H769" s="121" t="s">
        <v>18</v>
      </c>
      <c r="I769" s="124">
        <v>1</v>
      </c>
      <c r="J769" s="124" t="s">
        <v>15</v>
      </c>
      <c r="K769" s="124" t="s">
        <v>103</v>
      </c>
      <c r="L769" s="121" t="s">
        <v>104</v>
      </c>
    </row>
    <row r="770" spans="1:12" x14ac:dyDescent="0.2">
      <c r="A770" s="121" t="s">
        <v>101</v>
      </c>
      <c r="B770" s="121" t="s">
        <v>102</v>
      </c>
      <c r="C770" s="121" t="s">
        <v>19</v>
      </c>
      <c r="D770" s="121" t="s">
        <v>12</v>
      </c>
      <c r="E770" s="122">
        <v>42522</v>
      </c>
      <c r="F770" s="123">
        <v>2.94</v>
      </c>
      <c r="G770" s="124" t="s">
        <v>13</v>
      </c>
      <c r="H770" s="121" t="s">
        <v>14</v>
      </c>
      <c r="I770" s="124">
        <v>1</v>
      </c>
      <c r="J770" s="124" t="s">
        <v>15</v>
      </c>
      <c r="K770" s="124" t="s">
        <v>103</v>
      </c>
      <c r="L770" s="121" t="s">
        <v>104</v>
      </c>
    </row>
    <row r="771" spans="1:12" x14ac:dyDescent="0.2">
      <c r="A771" s="121" t="s">
        <v>101</v>
      </c>
      <c r="B771" s="121" t="s">
        <v>102</v>
      </c>
      <c r="C771" s="121" t="s">
        <v>19</v>
      </c>
      <c r="D771" s="121" t="s">
        <v>12</v>
      </c>
      <c r="E771" s="122">
        <v>42522</v>
      </c>
      <c r="F771" s="123">
        <v>65.369253599999993</v>
      </c>
      <c r="G771" s="124" t="s">
        <v>16</v>
      </c>
      <c r="H771" s="121" t="s">
        <v>14</v>
      </c>
      <c r="I771" s="124">
        <v>1</v>
      </c>
      <c r="J771" s="124" t="s">
        <v>15</v>
      </c>
      <c r="K771" s="124" t="s">
        <v>103</v>
      </c>
      <c r="L771" s="121" t="s">
        <v>104</v>
      </c>
    </row>
    <row r="772" spans="1:12" x14ac:dyDescent="0.2">
      <c r="A772" s="121" t="s">
        <v>101</v>
      </c>
      <c r="B772" s="121" t="s">
        <v>102</v>
      </c>
      <c r="C772" s="121" t="s">
        <v>19</v>
      </c>
      <c r="D772" s="121" t="s">
        <v>12</v>
      </c>
      <c r="E772" s="122">
        <v>42522</v>
      </c>
      <c r="F772" s="123">
        <v>0.91500000000000004</v>
      </c>
      <c r="G772" s="124" t="s">
        <v>13</v>
      </c>
      <c r="H772" s="121" t="s">
        <v>18</v>
      </c>
      <c r="I772" s="124">
        <v>1</v>
      </c>
      <c r="J772" s="124" t="s">
        <v>15</v>
      </c>
      <c r="K772" s="124" t="s">
        <v>103</v>
      </c>
      <c r="L772" s="121" t="s">
        <v>104</v>
      </c>
    </row>
    <row r="773" spans="1:12" x14ac:dyDescent="0.2">
      <c r="A773" s="121" t="s">
        <v>101</v>
      </c>
      <c r="B773" s="121" t="s">
        <v>102</v>
      </c>
      <c r="C773" s="121" t="s">
        <v>19</v>
      </c>
      <c r="D773" s="121" t="s">
        <v>12</v>
      </c>
      <c r="E773" s="122">
        <v>42522</v>
      </c>
      <c r="F773" s="123">
        <v>25.030007999999999</v>
      </c>
      <c r="G773" s="124" t="s">
        <v>16</v>
      </c>
      <c r="H773" s="121" t="s">
        <v>18</v>
      </c>
      <c r="I773" s="124">
        <v>1</v>
      </c>
      <c r="J773" s="124" t="s">
        <v>15</v>
      </c>
      <c r="K773" s="124" t="s">
        <v>103</v>
      </c>
      <c r="L773" s="12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H2" sqref="H2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5703125" style="4" customWidth="1"/>
    <col min="7" max="8" width="9" style="4" customWidth="1"/>
    <col min="9" max="11" width="6" style="4" customWidth="1"/>
    <col min="12" max="12" width="6.570312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42578125" style="4" customWidth="1"/>
    <col min="19" max="19" width="8.42578125" style="4" bestFit="1" customWidth="1"/>
    <col min="20" max="20" width="6" style="4" bestFit="1" customWidth="1"/>
    <col min="21" max="21" width="4" style="4" bestFit="1" customWidth="1"/>
    <col min="22" max="22" width="6" style="4" bestFit="1" customWidth="1"/>
    <col min="23" max="23" width="4.42578125" style="4" bestFit="1" customWidth="1"/>
    <col min="24" max="24" width="9" style="4" bestFit="1" customWidth="1"/>
    <col min="25" max="25" width="8.7109375" style="4" bestFit="1" customWidth="1"/>
    <col min="26" max="26" width="8.42578125" style="4" bestFit="1" customWidth="1"/>
    <col min="27" max="28" width="6.85546875" style="4" bestFit="1" customWidth="1"/>
    <col min="29" max="29" width="8.85546875" style="4" bestFit="1" customWidth="1"/>
    <col min="30" max="30" width="8.5703125" style="4" bestFit="1" customWidth="1"/>
    <col min="31" max="16384" width="9.140625" style="4"/>
  </cols>
  <sheetData>
    <row r="1" spans="1:17" ht="12.75" x14ac:dyDescent="0.2">
      <c r="A1" s="245" t="s">
        <v>106</v>
      </c>
      <c r="B1" s="246"/>
      <c r="C1" s="247" t="s">
        <v>21</v>
      </c>
      <c r="D1" s="247"/>
      <c r="E1" s="248">
        <v>42522</v>
      </c>
      <c r="F1" s="249"/>
      <c r="G1" s="2"/>
      <c r="L1" s="4" t="s">
        <v>107</v>
      </c>
    </row>
    <row r="2" spans="1:17" x14ac:dyDescent="0.2">
      <c r="A2" s="27" t="s">
        <v>22</v>
      </c>
      <c r="B2" s="5">
        <f>MIN(CLSD_NDD!E:E)</f>
        <v>42522</v>
      </c>
      <c r="C2" s="250" t="s">
        <v>41</v>
      </c>
      <c r="D2" s="250"/>
      <c r="E2" s="251">
        <f>(B3-B2)/30</f>
        <v>23.066666666666666</v>
      </c>
      <c r="F2" s="252"/>
    </row>
    <row r="3" spans="1:17" x14ac:dyDescent="0.2">
      <c r="A3" s="28" t="s">
        <v>23</v>
      </c>
      <c r="B3" s="29">
        <f>MAX(CLSD_NDD!E:E)</f>
        <v>43214</v>
      </c>
      <c r="C3" s="237"/>
      <c r="D3" s="237"/>
      <c r="E3" s="237"/>
      <c r="F3" s="238"/>
    </row>
    <row r="4" spans="1:17" ht="12" thickBot="1" x14ac:dyDescent="0.25"/>
    <row r="5" spans="1:17" ht="11.25" customHeight="1" x14ac:dyDescent="0.2">
      <c r="A5" s="253" t="s">
        <v>24</v>
      </c>
      <c r="B5" s="239" t="s">
        <v>24</v>
      </c>
      <c r="C5" s="242" t="s">
        <v>25</v>
      </c>
      <c r="D5" s="243"/>
      <c r="E5" s="243"/>
      <c r="F5" s="243"/>
      <c r="G5" s="243"/>
      <c r="H5" s="243"/>
      <c r="I5" s="244" t="s">
        <v>42</v>
      </c>
      <c r="J5" s="244"/>
      <c r="K5" s="244"/>
      <c r="L5" s="244"/>
      <c r="M5" s="244"/>
      <c r="N5" s="244"/>
      <c r="O5" s="259" t="s">
        <v>26</v>
      </c>
      <c r="P5" s="260"/>
      <c r="Q5" s="263" t="s">
        <v>27</v>
      </c>
    </row>
    <row r="6" spans="1:17" ht="11.25" customHeight="1" x14ac:dyDescent="0.2">
      <c r="A6" s="254"/>
      <c r="B6" s="240"/>
      <c r="C6" s="256" t="s">
        <v>28</v>
      </c>
      <c r="D6" s="257"/>
      <c r="E6" s="256" t="s">
        <v>29</v>
      </c>
      <c r="F6" s="258"/>
      <c r="G6" s="258"/>
      <c r="H6" s="257"/>
      <c r="I6" s="256" t="s">
        <v>28</v>
      </c>
      <c r="J6" s="257"/>
      <c r="K6" s="256" t="s">
        <v>29</v>
      </c>
      <c r="L6" s="258"/>
      <c r="M6" s="258"/>
      <c r="N6" s="258"/>
      <c r="O6" s="261"/>
      <c r="P6" s="262"/>
      <c r="Q6" s="264"/>
    </row>
    <row r="7" spans="1:17" ht="26.25" customHeight="1" x14ac:dyDescent="0.2">
      <c r="A7" s="254"/>
      <c r="B7" s="241"/>
      <c r="C7" s="6" t="s">
        <v>30</v>
      </c>
      <c r="D7" s="7" t="s">
        <v>31</v>
      </c>
      <c r="E7" s="6" t="s">
        <v>30</v>
      </c>
      <c r="F7" s="176" t="s">
        <v>32</v>
      </c>
      <c r="G7" s="8" t="s">
        <v>33</v>
      </c>
      <c r="H7" s="9" t="s">
        <v>43</v>
      </c>
      <c r="I7" s="6" t="s">
        <v>30</v>
      </c>
      <c r="J7" s="7" t="s">
        <v>31</v>
      </c>
      <c r="K7" s="6" t="s">
        <v>30</v>
      </c>
      <c r="L7" s="176" t="s">
        <v>32</v>
      </c>
      <c r="M7" s="177" t="s">
        <v>34</v>
      </c>
      <c r="N7" s="9" t="s">
        <v>44</v>
      </c>
      <c r="O7" s="10" t="s">
        <v>35</v>
      </c>
      <c r="P7" s="165" t="s">
        <v>36</v>
      </c>
      <c r="Q7" s="30" t="s">
        <v>45</v>
      </c>
    </row>
    <row r="8" spans="1:17" s="18" customFormat="1" ht="11.25" customHeight="1" x14ac:dyDescent="0.2">
      <c r="A8" s="254"/>
      <c r="B8" s="69" t="s">
        <v>37</v>
      </c>
      <c r="C8" s="31">
        <f>COUNTIFS(CLSD_NDD!C:C,"NITROGEN, TOTAL (AS N)",CLSD_NDD!G:G,"MG/L",CLSD_NDD!H:H,"RAW WASTE")</f>
        <v>96</v>
      </c>
      <c r="D8" s="32">
        <f>AVERAGEIFS(CLSD_NDD!F:F,(CLSD_NDD!C:C),("NITROGEN, TOTAL (AS N)"),(CLSD_NDD!H:H),("RAW WASTE"),(CLSD_NDD!G:G),("MG/L"))</f>
        <v>23.90886458333334</v>
      </c>
      <c r="E8" s="33">
        <f>COUNTIFS(CLSD_NDD!C:C,"NITROGEN, TOTAL (AS N)",CLSD_NDD!G:G,"LBS/DAY",CLSD_NDD!H:H,"RAW WASTE")</f>
        <v>96</v>
      </c>
      <c r="F8" s="178">
        <f>AVERAGEIFS(CLSD_NDD!F:F,(CLSD_NDD!C:C),("NITROGEN, TOTAL (AS N)"),(CLSD_NDD!H:H),("RAW WASTE"),(CLSD_NDD!G:G),("LBS/DAY"))</f>
        <v>363.56662539375003</v>
      </c>
      <c r="G8" s="34">
        <f>(SUMIFS(CLSD_NDD!F:F,(CLSD_NDD!C:C),("NITROGEN, TOTAL (AS N)"),(CLSD_NDD!H:H),("RAW WASTE"),(CLSD_NDD!G:G),("LBS/DAY")))</f>
        <v>34902.396037800005</v>
      </c>
      <c r="H8" s="35">
        <f>F8*365</f>
        <v>132701.81826871875</v>
      </c>
      <c r="I8" s="33">
        <f>COUNTIFS(CLSD_NDD!C:C,"NITROGEN, TOTAL (AS N)",CLSD_NDD!G:G,"MG/L",CLSD_NDD!H:H,"FINAL EFFLUENT")</f>
        <v>96</v>
      </c>
      <c r="J8" s="32">
        <f>(AVERAGEIFS(CLSD_NDD!F:F,(CLSD_NDD!C:C),("NITROGEN, TOTAL (AS N)"),(CLSD_NDD!H:H),("FINAL EFFLUENT"),(CLSD_NDD!G:G),("MG/L")))</f>
        <v>4.6942500000000011</v>
      </c>
      <c r="K8" s="33">
        <f>COUNTIFS(CLSD_NDD!C:C,"NITROGEN, TOTAL (AS N)",CLSD_NDD!G:G,"LBS/DAY",CLSD_NDD!H:H,"FINAL EFFLUENT")</f>
        <v>96</v>
      </c>
      <c r="L8" s="178">
        <f>AVERAGEIFS(CLSD_NDD!F:F,(CLSD_NDD!C:C),("NITROGEN, TOTAL (AS N)"),(CLSD_NDD!H:H),("FINAL EFFLUENT"),(CLSD_NDD!G:G),("LBS/DAY"))</f>
        <v>90.215527925000004</v>
      </c>
      <c r="M8" s="34">
        <f>SUMIFS(CLSD_NDD!F:F,(CLSD_NDD!C:C),("NITROGEN, TOTAL (AS N)"),(CLSD_NDD!H:H),("FINAL EFFLUENT"),(CLSD_NDD!G:G),("LBS/DAY"))</f>
        <v>8660.6906808000003</v>
      </c>
      <c r="N8" s="35">
        <f>L8*365</f>
        <v>32928.667692625</v>
      </c>
      <c r="O8" s="36">
        <f>((D8-J8))/D8</f>
        <v>0.80366068896168663</v>
      </c>
      <c r="P8" s="37">
        <f>((F8-L8))/F8</f>
        <v>0.75185970981991335</v>
      </c>
      <c r="Q8" s="38">
        <f>(F8-L8)*365</f>
        <v>99773.150576093758</v>
      </c>
    </row>
    <row r="9" spans="1:17" s="18" customFormat="1" ht="5.25" customHeight="1" x14ac:dyDescent="0.2">
      <c r="A9" s="254"/>
      <c r="B9" s="69"/>
      <c r="C9" s="11"/>
      <c r="D9" s="12"/>
      <c r="E9" s="13"/>
      <c r="F9" s="179"/>
      <c r="G9" s="14"/>
      <c r="H9" s="15"/>
      <c r="I9" s="13"/>
      <c r="J9" s="12"/>
      <c r="K9" s="13"/>
      <c r="L9" s="179"/>
      <c r="M9" s="179"/>
      <c r="N9" s="15"/>
      <c r="O9" s="16"/>
      <c r="P9" s="17"/>
      <c r="Q9" s="39"/>
    </row>
    <row r="10" spans="1:17" s="40" customFormat="1" ht="11.25" customHeight="1" x14ac:dyDescent="0.2">
      <c r="A10" s="254"/>
      <c r="B10" s="70" t="s">
        <v>49</v>
      </c>
      <c r="C10" s="71">
        <f>COUNTIFS(CLSD_NDD!$E:$E,"&gt;=5/1/2014",CLSD_NDD!$E:$E,"&lt;=4/30/2015",CLSD_NDD!$C:$C,"NITROGEN, TOTAL (AS N)",CLSD_NDD!$G:$G,"MG/L",CLSD_NDD!$H:$H,"RAW WASTE")</f>
        <v>0</v>
      </c>
      <c r="D10" s="72" t="s">
        <v>61</v>
      </c>
      <c r="E10" s="73">
        <f>COUNTIFS(CLSD_NDD!$E:$E,"&gt;=5/1/2014",CLSD_NDD!$E:$E,"&lt;=4/30/2015",CLSD_NDD!$C:$C,"NITROGEN, TOTAL (AS N)",CLSD_NDD!$G:$G,"LBS/DAY",CLSD_NDD!$H:$H,"RAW WASTE")</f>
        <v>0</v>
      </c>
      <c r="F10" s="180" t="s">
        <v>61</v>
      </c>
      <c r="G10" s="74">
        <f>SUMIFS(CLSD_NDD!$F:$F,CLSD_NDD!$E:$E,"&gt;=5/1/2014",CLSD_NDD!$E:$E,"&lt;=4/30/2015",(CLSD_NDD!$C:$C),("NITROGEN, TOTAL (AS N)"),(CLSD_NDD!$H:$H),("RAW WASTE"),(CLSD_NDD!$G:$G),("LBS/DAY"))</f>
        <v>0</v>
      </c>
      <c r="H10" s="75" t="s">
        <v>61</v>
      </c>
      <c r="I10" s="73">
        <f>COUNTIFS(CLSD_NDD!$E:$E,"&gt;=5/1/2014",CLSD_NDD!$E:$E,"&lt;=4/30/2015",CLSD_NDD!$C:$C,"NITROGEN, TOTAL (AS N)",CLSD_NDD!$G:$G,"MG/L",CLSD_NDD!$H:$H,"FINAL EFFLUENT")</f>
        <v>0</v>
      </c>
      <c r="J10" s="72" t="s">
        <v>61</v>
      </c>
      <c r="K10" s="73">
        <f>COUNTIFS(CLSD_NDD!$E:$E,"&gt;=5/1/2014",CLSD_NDD!$E:$E,"&lt;=4/30/2015",CLSD_NDD!$C:$C,"NITROGEN, TOTAL (AS N)",CLSD_NDD!$G:$G,"LBS/DAY",CLSD_NDD!$H:$H,"FINAL EFFLUENT")</f>
        <v>0</v>
      </c>
      <c r="L10" s="180" t="s">
        <v>61</v>
      </c>
      <c r="M10" s="74">
        <f>SUMIFS(CLSD_NDD!$F:$F,CLSD_NDD!$E:$E,"&gt;=5/1/2014",CLSD_NDD!$E:$E,"&lt;=4/30/2015",(CLSD_NDD!$C:$C),("NITROGEN, TOTAL (AS N)"),(CLSD_NDD!$H:$H),("FINAL EFFLUENT"),(CLSD_NDD!$G:$G),("LBS/DAY"))</f>
        <v>0</v>
      </c>
      <c r="N10" s="75" t="s">
        <v>61</v>
      </c>
      <c r="O10" s="76" t="s">
        <v>61</v>
      </c>
      <c r="P10" s="77" t="s">
        <v>61</v>
      </c>
      <c r="Q10" s="78" t="s">
        <v>61</v>
      </c>
    </row>
    <row r="11" spans="1:17" s="18" customFormat="1" ht="6" customHeight="1" x14ac:dyDescent="0.2">
      <c r="A11" s="254"/>
      <c r="B11" s="69"/>
      <c r="C11" s="11"/>
      <c r="D11" s="12"/>
      <c r="E11" s="13"/>
      <c r="F11" s="179"/>
      <c r="G11" s="14"/>
      <c r="H11" s="15"/>
      <c r="I11" s="13"/>
      <c r="J11" s="12"/>
      <c r="K11" s="13"/>
      <c r="L11" s="179"/>
      <c r="M11" s="179"/>
      <c r="N11" s="15"/>
      <c r="O11" s="16"/>
      <c r="P11" s="17"/>
      <c r="Q11" s="39"/>
    </row>
    <row r="12" spans="1:17" s="50" customFormat="1" ht="11.25" customHeight="1" x14ac:dyDescent="0.2">
      <c r="A12" s="254"/>
      <c r="B12" s="79" t="s">
        <v>46</v>
      </c>
      <c r="C12" s="41">
        <f>COUNTIFS(CLSD_NDD!$E:$E,"&gt;=1/1/2015",CLSD_NDD!$E:$E,"&lt;=12/31/2015",CLSD_NDD!$C:$C,"NITROGEN, TOTAL (AS N)",CLSD_NDD!$G:$G,"MG/L",CLSD_NDD!$H:$H,"RAW WASTE")</f>
        <v>0</v>
      </c>
      <c r="D12" s="42" t="s">
        <v>61</v>
      </c>
      <c r="E12" s="41">
        <f>COUNTIFS(CLSD_NDD!$E:$E,"&gt;=1/1/2015",CLSD_NDD!$E:$E,"&lt;=12/31/2015",CLSD_NDD!$C:$C,"NITROGEN, TOTAL (AS N)",CLSD_NDD!$G:$G,"LBS/DAY",CLSD_NDD!$H:$H,"RAW WASTE")</f>
        <v>0</v>
      </c>
      <c r="F12" s="181" t="s">
        <v>61</v>
      </c>
      <c r="G12" s="43">
        <f>SUMIFS(CLSD_NDD!$F:$F,CLSD_NDD!$E:$E,"&gt;=1/1/2015",CLSD_NDD!$E:$E,"&lt;=12/31/2015",(CLSD_NDD!$C:$C),("NITROGEN, TOTAL (AS N)"),(CLSD_NDD!$H:$H),("RAW WASTE"),(CLSD_NDD!$G:$G),("LBS/DAY"))</f>
        <v>0</v>
      </c>
      <c r="H12" s="44" t="s">
        <v>61</v>
      </c>
      <c r="I12" s="41">
        <f>COUNTIFS(CLSD_NDD!$E:$E,"&gt;=1/1/2015",CLSD_NDD!$E:$E,"&lt;=12/31/2015",CLSD_NDD!$C:$C,"NITROGEN, TOTAL (AS N)",CLSD_NDD!$G:$G,"MG/L",CLSD_NDD!$H:$H,"FINAL EFFLUENT")</f>
        <v>0</v>
      </c>
      <c r="J12" s="45" t="s">
        <v>61</v>
      </c>
      <c r="K12" s="41">
        <f>COUNTIFS(CLSD_NDD!$E:$E,"&gt;=1/1/2015",CLSD_NDD!$E:$E,"&lt;=12/31/2015",CLSD_NDD!$C:$C,"NITROGEN, TOTAL (AS N)",CLSD_NDD!$G:$G,"LBS/DAY",CLSD_NDD!$H:$H,"FINAL EFFLUENT")</f>
        <v>0</v>
      </c>
      <c r="L12" s="182" t="s">
        <v>61</v>
      </c>
      <c r="M12" s="43">
        <f>SUMIFS(CLSD_NDD!$F:$F,CLSD_NDD!$E:$E,"&gt;=1/1/2015",CLSD_NDD!$E:$E,"&lt;=12/31/2015",(CLSD_NDD!$C:$C),("NITROGEN, TOTAL (AS N)"),(CLSD_NDD!$H:$H),("FINAL EFFLUENT"),(CLSD_NDD!$G:$G),("LBS/DAY"))</f>
        <v>0</v>
      </c>
      <c r="N12" s="46" t="s">
        <v>61</v>
      </c>
      <c r="O12" s="47" t="s">
        <v>61</v>
      </c>
      <c r="P12" s="48" t="s">
        <v>61</v>
      </c>
      <c r="Q12" s="49" t="s">
        <v>61</v>
      </c>
    </row>
    <row r="13" spans="1:17" s="40" customFormat="1" ht="11.25" customHeight="1" x14ac:dyDescent="0.2">
      <c r="A13" s="254"/>
      <c r="B13" s="80" t="s">
        <v>50</v>
      </c>
      <c r="C13" s="51">
        <f>COUNTIFS(CLSD_NDD!$E:$E,"&gt;=5/1/2015",CLSD_NDD!$E:$E,"&lt;=4/30/2016",CLSD_NDD!$C:$C,"NITROGEN, TOTAL (AS N)",CLSD_NDD!$G:$G,"MG/L",CLSD_NDD!$H:$H,"RAW WASTE")</f>
        <v>0</v>
      </c>
      <c r="D13" s="52" t="s">
        <v>61</v>
      </c>
      <c r="E13" s="51">
        <f>COUNTIFS(CLSD_NDD!$E:$E,"&gt;=5/1/2015",CLSD_NDD!$E:$E,"&lt;=4/30/2016",CLSD_NDD!$C:$C,"NITROGEN, TOTAL (AS N)",CLSD_NDD!$G:$G,"LBS/DAY",CLSD_NDD!$H:$H,"RAW WASTE")</f>
        <v>0</v>
      </c>
      <c r="F13" s="183" t="s">
        <v>61</v>
      </c>
      <c r="G13" s="53">
        <f>SUMIFS(CLSD_NDD!$F:$F,CLSD_NDD!$E:$E,"&gt;=5/1/2015",CLSD_NDD!$E:$E,"&lt;=4/30/2016",(CLSD_NDD!$C:$C),("NITROGEN, TOTAL (AS N)"),(CLSD_NDD!$H:$H),("RAW WASTE"),(CLSD_NDD!$G:$G),("LBS/DAY"))</f>
        <v>0</v>
      </c>
      <c r="H13" s="54" t="s">
        <v>61</v>
      </c>
      <c r="I13" s="51">
        <f>COUNTIFS(CLSD_NDD!$E:$E,"&gt;=5/1/2015",CLSD_NDD!$E:$E,"&lt;=4/30/2016",CLSD_NDD!$C:$C,"NITROGEN, TOTAL (AS N)",CLSD_NDD!$G:$G,"MG/L",CLSD_NDD!$H:$H,"FINAL EFFLUENT")</f>
        <v>0</v>
      </c>
      <c r="J13" s="52" t="s">
        <v>61</v>
      </c>
      <c r="K13" s="51">
        <f>COUNTIFS(CLSD_NDD!$E:$E,"&gt;=5/1/2015",CLSD_NDD!$E:$E,"&lt;=4/30/2016",CLSD_NDD!$C:$C,"NITROGEN, TOTAL (AS N)",CLSD_NDD!$G:$G,"LBS/DAY",CLSD_NDD!$H:$H,"FINAL EFFLUENT")</f>
        <v>0</v>
      </c>
      <c r="L13" s="183" t="s">
        <v>61</v>
      </c>
      <c r="M13" s="53">
        <f>SUMIFS(CLSD_NDD!$F:$F,CLSD_NDD!$E:$E,"&gt;=5/1/2015",CLSD_NDD!$E:$E,"&lt;=4/30/2016",(CLSD_NDD!$C:$C),("NITROGEN, TOTAL (AS N)"),(CLSD_NDD!$H:$H),("FINAL EFFLUENT"),(CLSD_NDD!$G:$G),("LBS/DAY"))</f>
        <v>0</v>
      </c>
      <c r="N13" s="54" t="s">
        <v>61</v>
      </c>
      <c r="O13" s="55" t="s">
        <v>61</v>
      </c>
      <c r="P13" s="56" t="s">
        <v>61</v>
      </c>
      <c r="Q13" s="57" t="s">
        <v>61</v>
      </c>
    </row>
    <row r="14" spans="1:17" s="67" customFormat="1" ht="6" customHeight="1" x14ac:dyDescent="0.2">
      <c r="A14" s="254"/>
      <c r="B14" s="81"/>
      <c r="C14" s="58"/>
      <c r="D14" s="59"/>
      <c r="E14" s="58"/>
      <c r="F14" s="184"/>
      <c r="G14" s="60"/>
      <c r="H14" s="61"/>
      <c r="I14" s="58"/>
      <c r="J14" s="62"/>
      <c r="K14" s="58"/>
      <c r="L14" s="185"/>
      <c r="M14" s="60"/>
      <c r="N14" s="63"/>
      <c r="O14" s="64"/>
      <c r="P14" s="65"/>
      <c r="Q14" s="66"/>
    </row>
    <row r="15" spans="1:17" s="67" customFormat="1" ht="11.25" customHeight="1" x14ac:dyDescent="0.2">
      <c r="A15" s="254"/>
      <c r="B15" s="82" t="s">
        <v>47</v>
      </c>
      <c r="C15" s="19">
        <f>COUNTIFS(CLSD_NDD!$E:$E,"&gt;=1/1/2016",CLSD_NDD!$E:$E,"&lt;=12/31/2016",CLSD_NDD!$C:$C,"NITROGEN, TOTAL (AS N)",CLSD_NDD!$G:$G,"MG/L",CLSD_NDD!$H:$H,"RAW WASTE")</f>
        <v>29</v>
      </c>
      <c r="D15" s="20">
        <f>AVERAGEIFS(CLSD_NDD!$F:$F,CLSD_NDD!$E:$E,"&gt;=1/1/2016",CLSD_NDD!$E:$E,"&lt;=12/31/2016",(CLSD_NDD!$C:$C),("NITROGEN, TOTAL (AS N)"),(CLSD_NDD!$H:$H),("RAW WASTE"),(CLSD_NDD!$G:$G),("MG/L"))</f>
        <v>20.818724137931035</v>
      </c>
      <c r="E15" s="19">
        <f>COUNTIFS(CLSD_NDD!$E:$E,"&gt;=1/1/2016",CLSD_NDD!$E:$E,"&lt;=12/31/2016",CLSD_NDD!$C:$C,"NITROGEN, TOTAL (AS N)",CLSD_NDD!$G:$G,"LBS/DAY",CLSD_NDD!$H:$H,"RAW WASTE")</f>
        <v>29</v>
      </c>
      <c r="F15" s="186">
        <f>AVERAGEIFS(CLSD_NDD!$F:$F,CLSD_NDD!$E:$E,"&gt;=1/1/2016",CLSD_NDD!$E:$E,"&lt;=12/31/2016",(CLSD_NDD!$C:$C),("NITROGEN, TOTAL (AS N)"),(CLSD_NDD!$H:$H),("RAW WASTE"),(CLSD_NDD!$G:$G),("LBS/DAY"))</f>
        <v>394.66756183103445</v>
      </c>
      <c r="G15" s="21">
        <f>SUMIFS(CLSD_NDD!$F:$F,CLSD_NDD!$E:$E,"&gt;=1/1/2016",CLSD_NDD!$E:$E,"&lt;=12/31/2016",(CLSD_NDD!$C:$C),("NITROGEN, TOTAL (AS N)"),(CLSD_NDD!$H:$H),("RAW WASTE"),(CLSD_NDD!$G:$G),("LBS/DAY"))</f>
        <v>11445.359293099998</v>
      </c>
      <c r="H15" s="22">
        <f>F15*365</f>
        <v>144053.66006832756</v>
      </c>
      <c r="I15" s="19">
        <f>COUNTIFS(CLSD_NDD!$E:$E,"&gt;=1/1/2016",CLSD_NDD!$E:$E,"&lt;=12/31/2016",CLSD_NDD!$C:$C,"NITROGEN, TOTAL (AS N)",CLSD_NDD!$G:$G,"MG/L",CLSD_NDD!$H:$H,"FINAL EFFLUENT")</f>
        <v>29</v>
      </c>
      <c r="J15" s="23">
        <f>AVERAGEIFS(CLSD_NDD!$F:$F,CLSD_NDD!$E:$E,"&gt;=1/1/2016",CLSD_NDD!$E:$E,"&lt;=12/31/2016",(CLSD_NDD!$C:$C),("NITROGEN, TOTAL (AS N)"),(CLSD_NDD!$H:$H),("FINAL EFFLUENT"),(CLSD_NDD!$G:$G),("MG/L"))</f>
        <v>5.4165517241379311</v>
      </c>
      <c r="K15" s="19">
        <f>COUNTIFS(CLSD_NDD!$E:$E,"&gt;=1/1/2016",CLSD_NDD!$E:$E,"&lt;=12/31/2016",CLSD_NDD!$C:$C,"NITROGEN, TOTAL (AS N)",CLSD_NDD!$G:$G,"LBS/DAY",CLSD_NDD!$H:$H,"FINAL EFFLUENT")</f>
        <v>29</v>
      </c>
      <c r="L15" s="187">
        <f>AVERAGEIFS((CLSD_NDD!$F:$F),CLSD_NDD!$E:$E,"&gt;=1/1/2016",CLSD_NDD!$E:$E,"&lt;=12/31/2016",(CLSD_NDD!$C:$C),("NITROGEN, TOTAL (AS N)"),(CLSD_NDD!$H:$H),("FINAL EFFLUENT"),(CLSD_NDD!$G:$G),("LBS/DAY"))</f>
        <v>115.25416986206898</v>
      </c>
      <c r="M15" s="21">
        <f>SUMIFS(CLSD_NDD!$F:$F,CLSD_NDD!$E:$E,"&gt;=1/1/2016",CLSD_NDD!$E:$E,"&lt;=12/31/2016",(CLSD_NDD!$C:$C),("NITROGEN, TOTAL (AS N)"),(CLSD_NDD!$H:$H),("FINAL EFFLUENT"),(CLSD_NDD!$G:$G),("LBS/DAY"))</f>
        <v>3342.3709260000005</v>
      </c>
      <c r="N15" s="24">
        <f>L15*365</f>
        <v>42067.771999655175</v>
      </c>
      <c r="O15" s="25">
        <f>((D15-J15))/D15</f>
        <v>0.73982307041241058</v>
      </c>
      <c r="P15" s="26">
        <f>((F15-L15))/F15</f>
        <v>0.7079715157552986</v>
      </c>
      <c r="Q15" s="68">
        <f>(F15-L15)*365</f>
        <v>101985.8880686724</v>
      </c>
    </row>
    <row r="16" spans="1:17" s="40" customFormat="1" ht="11.25" customHeight="1" x14ac:dyDescent="0.2">
      <c r="A16" s="254"/>
      <c r="B16" s="83" t="s">
        <v>51</v>
      </c>
      <c r="C16" s="84">
        <f>COUNTIFS(CLSD_NDD!$E:$E,"&gt;=5/1/2016",CLSD_NDD!$E:$E,"&lt;=4/30/2017",CLSD_NDD!$C:$C,"NITROGEN, TOTAL (AS N)",CLSD_NDD!$G:$G,"MG/L",CLSD_NDD!$H:$H,"RAW WASTE")</f>
        <v>46</v>
      </c>
      <c r="D16" s="85">
        <f>AVERAGEIFS(CLSD_NDD!$F:$F,CLSD_NDD!$E:$E,"&gt;=5/1/2016",CLSD_NDD!$E:$E,"&lt;=4/30/2017",(CLSD_NDD!$C:$C),("NITROGEN, TOTAL (AS N)"),(CLSD_NDD!$H:$H),("RAW WASTE"),(CLSD_NDD!$G:$G),("MG/L"))</f>
        <v>19.127478260869562</v>
      </c>
      <c r="E16" s="84">
        <f>COUNTIFS(CLSD_NDD!$E:$E,"&gt;=5/1/2016",CLSD_NDD!$E:$E,"&lt;=4/30/2017",CLSD_NDD!$C:$C,"NITROGEN, TOTAL (AS N)",CLSD_NDD!$G:$G,"LBS/DAY",CLSD_NDD!$H:$H,"RAW WASTE")</f>
        <v>46</v>
      </c>
      <c r="F16" s="188">
        <f>AVERAGEIFS(CLSD_NDD!$F:$F,CLSD_NDD!$E:$E,"&gt;=5/1/2016",CLSD_NDD!$E:$E,"&lt;=4/30/2017",(CLSD_NDD!$C:$C),("NITROGEN, TOTAL (AS N)"),(CLSD_NDD!$H:$H),("RAW WASTE"),(CLSD_NDD!$G:$G),("LBS/DAY"))</f>
        <v>374.22916556956517</v>
      </c>
      <c r="G16" s="86">
        <f>SUMIFS(CLSD_NDD!$F:$F,CLSD_NDD!$E:$E,"&gt;=5/1/2016",CLSD_NDD!$E:$E,"&lt;=4/30/2017",(CLSD_NDD!$C:$C),("NITROGEN, TOTAL (AS N)"),(CLSD_NDD!$H:$H),("RAW WASTE"),(CLSD_NDD!$G:$G),("LBS/DAY"))</f>
        <v>17214.541616199996</v>
      </c>
      <c r="H16" s="87">
        <f>F16*365</f>
        <v>136593.6454328913</v>
      </c>
      <c r="I16" s="84">
        <f>COUNTIFS(CLSD_NDD!$E:$E,"&gt;=5/1/2016",CLSD_NDD!$E:$E,"&lt;=4/30/2017",CLSD_NDD!$C:$C,"NITROGEN, TOTAL (AS N)",CLSD_NDD!$G:$G,"MG/L",CLSD_NDD!$H:$H,"FINAL EFFLUENT")</f>
        <v>46</v>
      </c>
      <c r="J16" s="85">
        <f>AVERAGEIFS(CLSD_NDD!$F:$F,CLSD_NDD!$E:$E,"&gt;=5/1/2016",CLSD_NDD!$E:$E,"&lt;=4/30/2017",(CLSD_NDD!$C:$C),("NITROGEN, TOTAL (AS N)"),(CLSD_NDD!$H:$H),("FINAL EFFLUENT"),(CLSD_NDD!$G:$G),("MG/L"))</f>
        <v>5.3132608695652159</v>
      </c>
      <c r="K16" s="84">
        <f>COUNTIFS(CLSD_NDD!$E:$E,"&gt;=5/1/2016",CLSD_NDD!$E:$E,"&lt;=4/30/2017",CLSD_NDD!$C:$C,"NITROGEN, TOTAL (AS N)",CLSD_NDD!$G:$G,"LBS/DAY",CLSD_NDD!$H:$H,"FINAL EFFLUENT")</f>
        <v>46</v>
      </c>
      <c r="L16" s="188">
        <f>AVERAGEIFS((CLSD_NDD!$F:$F),CLSD_NDD!$E:$E,"&gt;=5/1/2016",CLSD_NDD!$E:$E,"&lt;=4/30/2017",(CLSD_NDD!$C:$C),("NITROGEN, TOTAL (AS N)"),(CLSD_NDD!$H:$H),("FINAL EFFLUENT"),(CLSD_NDD!$G:$G),("LBS/DAY"))</f>
        <v>115.83862943478262</v>
      </c>
      <c r="M16" s="86">
        <f>SUMIFS(CLSD_NDD!$F:$F,CLSD_NDD!$E:$E,"&gt;=5/1/2016",CLSD_NDD!$E:$E,"&lt;=4/30/2017",(CLSD_NDD!$C:$C),("NITROGEN, TOTAL (AS N)"),(CLSD_NDD!$H:$H),("FINAL EFFLUENT"),(CLSD_NDD!$G:$G),("LBS/DAY"))</f>
        <v>5328.5769540000001</v>
      </c>
      <c r="N16" s="87">
        <f>L16*365</f>
        <v>42281.099743695653</v>
      </c>
      <c r="O16" s="88">
        <f>((D16-J16))/D16</f>
        <v>0.72221843375794448</v>
      </c>
      <c r="P16" s="89">
        <f>((F16-L16))/F16</f>
        <v>0.69046071206534687</v>
      </c>
      <c r="Q16" s="90">
        <f>(F16-L16)*365</f>
        <v>94312.545689195642</v>
      </c>
    </row>
    <row r="17" spans="1:17" s="40" customFormat="1" ht="6" customHeight="1" x14ac:dyDescent="0.2">
      <c r="A17" s="254"/>
      <c r="B17" s="91"/>
      <c r="C17" s="92"/>
      <c r="D17" s="93"/>
      <c r="E17" s="92"/>
      <c r="F17" s="93"/>
      <c r="G17" s="94"/>
      <c r="H17" s="94"/>
      <c r="I17" s="92"/>
      <c r="J17" s="93"/>
      <c r="K17" s="92"/>
      <c r="L17" s="93"/>
      <c r="M17" s="94"/>
      <c r="N17" s="94"/>
      <c r="O17" s="95"/>
      <c r="P17" s="95"/>
      <c r="Q17" s="96"/>
    </row>
    <row r="18" spans="1:17" s="107" customFormat="1" ht="12" customHeight="1" x14ac:dyDescent="0.2">
      <c r="A18" s="254"/>
      <c r="B18" s="97" t="s">
        <v>52</v>
      </c>
      <c r="C18" s="98">
        <f>COUNTIFS(CLSD_NDD!$E:$E,"&gt;=1/1/2017",CLSD_NDD!$E:$E,"&lt;=12/31/2017",CLSD_NDD!$C:$C,"NITROGEN, TOTAL (AS N)",CLSD_NDD!$G:$G,"MG/L",CLSD_NDD!$H:$H,"RAW WASTE")</f>
        <v>51</v>
      </c>
      <c r="D18" s="99">
        <f>AVERAGEIFS(CLSD_NDD!$F:$F,CLSD_NDD!$E:$E,"&gt;=1/1/2017",CLSD_NDD!$E:$E,"&lt;=12/31/2017",(CLSD_NDD!$C:$C),("NITROGEN, TOTAL (AS N)"),(CLSD_NDD!$H:$H),("RAW WASTE"),(CLSD_NDD!$G:$G),("MG/L"))</f>
        <v>24.320392156862752</v>
      </c>
      <c r="E18" s="98">
        <f>COUNTIFS(CLSD_NDD!$E:$E,"&gt;=1/1/2017",CLSD_NDD!$E:$E,"&lt;=12/31/2017",CLSD_NDD!$C:$C,"NITROGEN, TOTAL (AS N)",CLSD_NDD!$G:$G,"LBS/DAY",CLSD_NDD!$H:$H,"RAW WASTE")</f>
        <v>51</v>
      </c>
      <c r="F18" s="189">
        <f>AVERAGEIFS(CLSD_NDD!$F:$F,CLSD_NDD!$E:$E,"&gt;=1/1/2017",CLSD_NDD!$E:$E,"&lt;=12/31/2017",(CLSD_NDD!$C:$C),("NITROGEN, TOTAL (AS N)"),(CLSD_NDD!$H:$H),("RAW WASTE"),(CLSD_NDD!$G:$G),("LBS/DAY"))</f>
        <v>354.93734461764706</v>
      </c>
      <c r="G18" s="100">
        <f>SUMIFS(CLSD_NDD!$F:$F,CLSD_NDD!$E:$E,"&gt;=1/1/2017",CLSD_NDD!$E:$E,"&lt;=12/31/2017",(CLSD_NDD!$C:$C),("NITROGEN, TOTAL (AS N)"),(CLSD_NDD!$H:$H),("RAW WASTE"),(CLSD_NDD!$G:$G),("LBS/DAY"))</f>
        <v>18101.804575499998</v>
      </c>
      <c r="H18" s="101">
        <f>F18*365</f>
        <v>129552.13078544117</v>
      </c>
      <c r="I18" s="98">
        <f>COUNTIFS(CLSD_NDD!$E:$E,"&gt;=1/1/2017",CLSD_NDD!$E:$E,"&lt;=12/31/2017",CLSD_NDD!$C:$C,"NITROGEN, TOTAL (AS N)",CLSD_NDD!$G:$G,"MG/L",CLSD_NDD!$H:$H,"FINAL EFFLUENT")</f>
        <v>51</v>
      </c>
      <c r="J18" s="102">
        <f>AVERAGEIFS(CLSD_NDD!$F:$F,CLSD_NDD!$E:$E,"&gt;=1/1/2017",CLSD_NDD!$E:$E,"&lt;=12/31/2017",(CLSD_NDD!$C:$C),("NITROGEN, TOTAL (AS N)"),(CLSD_NDD!$H:$H),("FINAL EFFLUENT"),(CLSD_NDD!$G:$G),("MG/L"))</f>
        <v>4.3683921568627442</v>
      </c>
      <c r="K18" s="98">
        <f>COUNTIFS(CLSD_NDD!$E:$E,"&gt;=1/1/2017",CLSD_NDD!$E:$E,"&lt;=12/31/2017",CLSD_NDD!$C:$C,"NITROGEN, TOTAL (AS N)",CLSD_NDD!$G:$G,"LBS/DAY",CLSD_NDD!$H:$H,"FINAL EFFLUENT")</f>
        <v>51</v>
      </c>
      <c r="L18" s="190">
        <f>AVERAGEIFS((CLSD_NDD!$F:$F),CLSD_NDD!$E:$E,"&gt;=1/1/2017",CLSD_NDD!$E:$E,"&lt;=12/31/2017",(CLSD_NDD!$C:$C),("NITROGEN, TOTAL (AS N)"),(CLSD_NDD!$H:$H),("FINAL EFFLUENT"),(CLSD_NDD!$G:$G),("LBS/DAY"))</f>
        <v>84.921677152941157</v>
      </c>
      <c r="M18" s="100">
        <f>SUMIFS(CLSD_NDD!$F:$F,CLSD_NDD!$E:$E,"&gt;=1/1/2017",CLSD_NDD!$E:$E,"&lt;=12/31/2017",(CLSD_NDD!$C:$C),("NITROGEN, TOTAL (AS N)"),(CLSD_NDD!$H:$H),("FINAL EFFLUENT"),(CLSD_NDD!$G:$G),("LBS/DAY"))</f>
        <v>4331.0055347999987</v>
      </c>
      <c r="N18" s="103">
        <f>L18*365</f>
        <v>30996.412160823522</v>
      </c>
      <c r="O18" s="104">
        <f>((D18-J18))/D18</f>
        <v>0.82038150829611245</v>
      </c>
      <c r="P18" s="105">
        <f>((F18-L18))/F18</f>
        <v>0.76074178037134332</v>
      </c>
      <c r="Q18" s="106">
        <f>(F18-L18)*365</f>
        <v>98555.718624617642</v>
      </c>
    </row>
    <row r="19" spans="1:17" s="40" customFormat="1" ht="12.75" customHeight="1" x14ac:dyDescent="0.2">
      <c r="A19" s="254"/>
      <c r="B19" s="195" t="s">
        <v>53</v>
      </c>
      <c r="C19" s="111">
        <f>COUNTIFS(CLSD_NDD!$E:$E,"&gt;=5/1/2017",CLSD_NDD!$E:$E,"&lt;=4/30/2018",CLSD_NDD!$C:$C,"NITROGEN, TOTAL (AS N)",CLSD_NDD!$G:$G,"MG/L",CLSD_NDD!$H:$H,"RAW WASTE")</f>
        <v>50</v>
      </c>
      <c r="D19" s="112">
        <f>AVERAGEIFS(CLSD_NDD!$F:$F,CLSD_NDD!$E:$E,"&gt;=5/1/2017",CLSD_NDD!$E:$E,"&lt;=4/30/2018",(CLSD_NDD!$C:$C),("NITROGEN, TOTAL (AS N)"),(CLSD_NDD!$H:$H),("RAW WASTE"),(CLSD_NDD!$G:$G),("MG/L"))</f>
        <v>28.307739999999999</v>
      </c>
      <c r="E19" s="111">
        <f>COUNTIFS(CLSD_NDD!$E:$E,"&gt;=5/1/2017",CLSD_NDD!$E:$E,"&lt;=4/30/2018",CLSD_NDD!$C:$C,"NITROGEN, TOTAL (AS N)",CLSD_NDD!$G:$G,"LBS/DAY",CLSD_NDD!$H:$H,"RAW WASTE")</f>
        <v>50</v>
      </c>
      <c r="F19" s="191">
        <f>AVERAGEIFS(CLSD_NDD!$F:$F,CLSD_NDD!$E:$E,"&gt;=5/1/2017",CLSD_NDD!$E:$E,"&lt;=4/30/2018",(CLSD_NDD!$C:$C),("NITROGEN, TOTAL (AS N)"),(CLSD_NDD!$H:$H),("RAW WASTE"),(CLSD_NDD!$G:$G),("LBS/DAY"))</f>
        <v>353.75708843199993</v>
      </c>
      <c r="G19" s="113">
        <f>SUMIFS(CLSD_NDD!$F:$F,CLSD_NDD!$E:$E,"&gt;=5/1/2017",CLSD_NDD!$E:$E,"&lt;=4/30/2018",(CLSD_NDD!$C:$C),("NITROGEN, TOTAL (AS N)"),(CLSD_NDD!$H:$H),("RAW WASTE"),(CLSD_NDD!$G:$G),("LBS/DAY"))</f>
        <v>17687.854421599997</v>
      </c>
      <c r="H19" s="114">
        <f>F19*365</f>
        <v>129121.33727767998</v>
      </c>
      <c r="I19" s="111">
        <f>COUNTIFS(CLSD_NDD!$E:$E,"&gt;=5/1/2017",CLSD_NDD!$E:$E,"&lt;=4/30/2018",CLSD_NDD!$C:$C,"NITROGEN, TOTAL (AS N)",CLSD_NDD!$G:$G,"MG/L",CLSD_NDD!$H:$H,"FINAL EFFLUENT")</f>
        <v>50</v>
      </c>
      <c r="J19" s="112">
        <f>AVERAGEIFS(CLSD_NDD!$F:$F,CLSD_NDD!$E:$E,"&gt;=5/1/2017",CLSD_NDD!$E:$E,"&lt;=4/30/2018",(CLSD_NDD!$C:$C),("NITROGEN, TOTAL (AS N)"),(CLSD_NDD!$H:$H),("FINAL EFFLUENT"),(CLSD_NDD!$G:$G),("MG/L"))</f>
        <v>4.1247600000000002</v>
      </c>
      <c r="K19" s="111">
        <f>COUNTIFS(CLSD_NDD!$E:$E,"&gt;=5/1/2017",CLSD_NDD!$E:$E,"&lt;=4/30/2018",CLSD_NDD!$C:$C,"NITROGEN, TOTAL (AS N)",CLSD_NDD!$G:$G,"LBS/DAY",CLSD_NDD!$H:$H,"FINAL EFFLUENT")</f>
        <v>50</v>
      </c>
      <c r="L19" s="191">
        <f>AVERAGEIFS((CLSD_NDD!$F:$F),CLSD_NDD!$E:$E,"&gt;=5/1/2017",CLSD_NDD!$E:$E,"&lt;=4/30/2018",(CLSD_NDD!$C:$C),("NITROGEN, TOTAL (AS N)"),(CLSD_NDD!$H:$H),("FINAL EFFLUENT"),(CLSD_NDD!$G:$G),("LBS/DAY"))</f>
        <v>66.642274536000016</v>
      </c>
      <c r="M19" s="113">
        <f>SUMIFS(CLSD_NDD!$F:$F,CLSD_NDD!$E:$E,"&gt;=5/1/2017",CLSD_NDD!$E:$E,"&lt;=4/30/2018",(CLSD_NDD!$C:$C),("NITROGEN, TOTAL (AS N)"),(CLSD_NDD!$H:$H),("FINAL EFFLUENT"),(CLSD_NDD!$G:$G),("LBS/DAY"))</f>
        <v>3332.1137268000007</v>
      </c>
      <c r="N19" s="114">
        <f>L19*365</f>
        <v>24324.430205640005</v>
      </c>
      <c r="O19" s="115">
        <f>((D19-J19))/D19</f>
        <v>0.85428861505722464</v>
      </c>
      <c r="P19" s="116">
        <f>((F19-L19))/F19</f>
        <v>0.81161571961317702</v>
      </c>
      <c r="Q19" s="117">
        <f>(F19-L19)*365</f>
        <v>104796.90707203998</v>
      </c>
    </row>
    <row r="20" spans="1:17" s="40" customFormat="1" ht="5.25" customHeight="1" x14ac:dyDescent="0.2">
      <c r="A20" s="254"/>
      <c r="B20" s="91"/>
      <c r="C20" s="92"/>
      <c r="D20" s="93"/>
      <c r="E20" s="92"/>
      <c r="F20" s="93"/>
      <c r="G20" s="94"/>
      <c r="H20" s="94"/>
      <c r="I20" s="92"/>
      <c r="J20" s="93"/>
      <c r="K20" s="92"/>
      <c r="L20" s="93"/>
      <c r="M20" s="94"/>
      <c r="N20" s="94"/>
      <c r="O20" s="95"/>
      <c r="P20" s="95"/>
      <c r="Q20" s="96"/>
    </row>
    <row r="21" spans="1:17" s="144" customFormat="1" ht="11.25" customHeight="1" x14ac:dyDescent="0.2">
      <c r="A21" s="254"/>
      <c r="B21" s="134" t="s">
        <v>63</v>
      </c>
      <c r="C21" s="135">
        <f>COUNTIFS(CLSD_NDD!$E:$E,"&gt;=1/1/2018",CLSD_NDD!$E:$E,"&lt;=12/31/2018",CLSD_NDD!$C:$C,"NITROGEN, TOTAL (AS N)",CLSD_NDD!$G:$G,"MG/L",CLSD_NDD!$H:$H,"RAW WASTE")</f>
        <v>16</v>
      </c>
      <c r="D21" s="136">
        <f>AVERAGEIFS(CLSD_NDD!$F:$F,CLSD_NDD!$E:$E,"&gt;=1/1/2018",CLSD_NDD!$E:$E,"&lt;=12/31/2018",(CLSD_NDD!$C:$C),("NITROGEN, TOTAL (AS N)"),(CLSD_NDD!$H:$H),("RAW WASTE"),(CLSD_NDD!$G:$G),("MG/L"))</f>
        <v>28.198</v>
      </c>
      <c r="E21" s="135">
        <f>COUNTIFS(CLSD_NDD!$E:$E,"&gt;=1/1/2018",CLSD_NDD!$E:$E,"&lt;=12/31/2018",CLSD_NDD!$C:$C,"NITROGEN, TOTAL (AS N)",CLSD_NDD!$G:$G,"LBS/DAY",CLSD_NDD!$H:$H,"RAW WASTE")</f>
        <v>16</v>
      </c>
      <c r="F21" s="192">
        <f>AVERAGEIFS(CLSD_NDD!$F:$F,CLSD_NDD!$E:$E,"&gt;=1/1/2018",CLSD_NDD!$E:$E,"&lt;=12/31/2018",(CLSD_NDD!$C:$C),("NITROGEN, TOTAL (AS N)"),(CLSD_NDD!$H:$H),("RAW WASTE"),(CLSD_NDD!$G:$G),("LBS/DAY"))</f>
        <v>334.70201057499997</v>
      </c>
      <c r="G21" s="137">
        <f>SUMIFS(CLSD_NDD!$F:$F,CLSD_NDD!$E:$E,"&gt;=1/1/2018",CLSD_NDD!$E:$E,"&lt;=12/31/2018",(CLSD_NDD!$C:$C),("NITROGEN, TOTAL (AS N)"),(CLSD_NDD!$H:$H),("RAW WASTE"),(CLSD_NDD!$G:$G),("LBS/DAY"))</f>
        <v>5355.2321691999996</v>
      </c>
      <c r="H21" s="138">
        <f>F21*365</f>
        <v>122166.23385987499</v>
      </c>
      <c r="I21" s="135">
        <f>COUNTIFS(CLSD_NDD!$E:$E,"&gt;=1/1/2018",CLSD_NDD!$E:$E,"&lt;=12/31/2018",CLSD_NDD!$C:$C,"NITROGEN, TOTAL (AS N)",CLSD_NDD!$G:$G,"MG/L",CLSD_NDD!$H:$H,"FINAL EFFLUENT")</f>
        <v>16</v>
      </c>
      <c r="J21" s="139">
        <f>AVERAGEIFS(CLSD_NDD!$F:$F,CLSD_NDD!$E:$E,"&gt;=1/1/2018",CLSD_NDD!$E:$E,"&lt;=12/31/2018",(CLSD_NDD!$C:$C),("NITROGEN, TOTAL (AS N)"),(CLSD_NDD!$H:$H),("FINAL EFFLUENT"),(CLSD_NDD!$G:$G),("MG/L"))</f>
        <v>4.4237500000000001</v>
      </c>
      <c r="K21" s="135">
        <f>COUNTIFS(CLSD_NDD!$E:$E,"&gt;=1/1/2018",CLSD_NDD!$E:$E,"&lt;=12/31/2018",CLSD_NDD!$C:$C,"NITROGEN, TOTAL (AS N)",CLSD_NDD!$G:$G,"LBS/DAY",CLSD_NDD!$H:$H,"FINAL EFFLUENT")</f>
        <v>16</v>
      </c>
      <c r="L21" s="193">
        <f>AVERAGEIFS((CLSD_NDD!$F:$F),CLSD_NDD!$E:$E,"&gt;=1/1/2018",CLSD_NDD!$E:$E,"&lt;=12/31/2018",(CLSD_NDD!$C:$C),("NITROGEN, TOTAL (AS N)"),(CLSD_NDD!$H:$H),("FINAL EFFLUENT"),(CLSD_NDD!$G:$G),("LBS/DAY"))</f>
        <v>61.707138749999999</v>
      </c>
      <c r="M21" s="137">
        <f>SUMIFS(CLSD_NDD!$F:$F,CLSD_NDD!$E:$E,"&gt;=1/1/2018",CLSD_NDD!$E:$E,"&lt;=12/31/2018",(CLSD_NDD!$C:$C),("NITROGEN, TOTAL (AS N)"),(CLSD_NDD!$H:$H),("FINAL EFFLUENT"),(CLSD_NDD!$G:$G),("LBS/DAY"))</f>
        <v>987.31421999999998</v>
      </c>
      <c r="N21" s="140">
        <f>L21*365</f>
        <v>22523.105643750001</v>
      </c>
      <c r="O21" s="141">
        <f>((D21-J21))/D21</f>
        <v>0.84311830626285555</v>
      </c>
      <c r="P21" s="142">
        <f>((F21-L21))/F21</f>
        <v>0.81563558986696705</v>
      </c>
      <c r="Q21" s="143">
        <f>(F21-L21)*365</f>
        <v>99643.128216124984</v>
      </c>
    </row>
    <row r="22" spans="1:17" s="40" customFormat="1" ht="11.25" customHeight="1" thickBot="1" x14ac:dyDescent="0.25">
      <c r="A22" s="255"/>
      <c r="B22" s="145" t="s">
        <v>64</v>
      </c>
      <c r="C22" s="146">
        <f>COUNTIFS(CLSD_NDD!$E:$E,"&gt;=5/1/2018",CLSD_NDD!$E:$E,"&lt;=4/30/2019",CLSD_NDD!$C:$C,"NITROGEN, TOTAL (AS N)",CLSD_NDD!$G:$G,"MG/L",CLSD_NDD!$H:$H,"RAW WASTE")</f>
        <v>0</v>
      </c>
      <c r="D22" s="147" t="e">
        <f>AVERAGEIFS(CLSD_NDD!$F:$F,CLSD_NDD!$E:$E,"&gt;=5/1/2018",CLSD_NDD!$E:$E,"&lt;=4/30/2019",(CLSD_NDD!$C:$C),("NITROGEN, TOTAL (AS N)"),(CLSD_NDD!$H:$H),("RAW WASTE"),(CLSD_NDD!$G:$G),("MG/L"))</f>
        <v>#DIV/0!</v>
      </c>
      <c r="E22" s="146">
        <f>COUNTIFS(CLSD_NDD!$E:$E,"&gt;=5/1/2018",CLSD_NDD!$E:$E,"&lt;=4/30/2019",CLSD_NDD!$C:$C,"NITROGEN, TOTAL (AS N)",CLSD_NDD!$G:$G,"LBS/DAY",CLSD_NDD!$H:$H,"RAW WASTE")</f>
        <v>0</v>
      </c>
      <c r="F22" s="194" t="e">
        <f>AVERAGEIFS(CLSD_NDD!$F:$F,CLSD_NDD!$E:$E,"&gt;=5/1/2018",CLSD_NDD!$E:$E,"&lt;=4/30/2019",(CLSD_NDD!$C:$C),("NITROGEN, TOTAL (AS N)"),(CLSD_NDD!$H:$H),("RAW WASTE"),(CLSD_NDD!$G:$G),("LBS/DAY"))</f>
        <v>#DIV/0!</v>
      </c>
      <c r="G22" s="148">
        <f>SUMIFS(CLSD_NDD!$F:$F,CLSD_NDD!$E:$E,"&gt;=5/1/2018",CLSD_NDD!$E:$E,"&lt;=4/30/2019",(CLSD_NDD!$C:$C),("NITROGEN, TOTAL (AS N)"),(CLSD_NDD!$H:$H),("RAW WASTE"),(CLSD_NDD!$G:$G),("LBS/DAY"))</f>
        <v>0</v>
      </c>
      <c r="H22" s="149" t="e">
        <f>F22*365</f>
        <v>#DIV/0!</v>
      </c>
      <c r="I22" s="146">
        <f>COUNTIFS(CLSD_NDD!$E:$E,"&gt;=5/1/2018",CLSD_NDD!$E:$E,"&lt;=4/30/2019",CLSD_NDD!$C:$C,"NITROGEN, TOTAL (AS N)",CLSD_NDD!$G:$G,"MG/L",CLSD_NDD!$H:$H,"FINAL EFFLUENT")</f>
        <v>0</v>
      </c>
      <c r="J22" s="147" t="e">
        <f>AVERAGEIFS(CLSD_NDD!$F:$F,CLSD_NDD!$E:$E,"&gt;=5/1/2018",CLSD_NDD!$E:$E,"&lt;=4/30/2019",(CLSD_NDD!$C:$C),("NITROGEN, TOTAL (AS N)"),(CLSD_NDD!$H:$H),("FINAL EFFLUENT"),(CLSD_NDD!$G:$G),("MG/L"))</f>
        <v>#DIV/0!</v>
      </c>
      <c r="K22" s="146">
        <f>COUNTIFS(CLSD_NDD!$E:$E,"&gt;=5/1/2018",CLSD_NDD!$E:$E,"&lt;=4/30/2019",CLSD_NDD!$C:$C,"NITROGEN, TOTAL (AS N)",CLSD_NDD!$G:$G,"LBS/DAY",CLSD_NDD!$H:$H,"FINAL EFFLUENT")</f>
        <v>0</v>
      </c>
      <c r="L22" s="194" t="e">
        <f>AVERAGEIFS((CLSD_NDD!$F:$F),CLSD_NDD!$E:$E,"&gt;=5/1/2018",CLSD_NDD!$E:$E,"&lt;=4/30/2019",(CLSD_NDD!$C:$C),("NITROGEN, TOTAL (AS N)"),(CLSD_NDD!$H:$H),("FINAL EFFLUENT"),(CLSD_NDD!$G:$G),("LBS/DAY"))</f>
        <v>#DIV/0!</v>
      </c>
      <c r="M22" s="148">
        <f>SUMIFS(CLSD_NDD!$F:$F,CLSD_NDD!$E:$E,"&gt;=5/1/2018",CLSD_NDD!$E:$E,"&lt;=4/30/2019",(CLSD_NDD!$C:$C),("NITROGEN, TOTAL (AS N)"),(CLSD_NDD!$H:$H),("FINAL EFFLUENT"),(CLSD_NDD!$G:$G),("LBS/DAY"))</f>
        <v>0</v>
      </c>
      <c r="N22" s="149" t="e">
        <f>L22*365</f>
        <v>#DIV/0!</v>
      </c>
      <c r="O22" s="150" t="e">
        <f>((D22-J22))/D22</f>
        <v>#DIV/0!</v>
      </c>
      <c r="P22" s="151" t="e">
        <f>((F22-L22))/F22</f>
        <v>#DIV/0!</v>
      </c>
      <c r="Q22" s="152" t="e">
        <f>(F22-L22)*365</f>
        <v>#DIV/0!</v>
      </c>
    </row>
    <row r="23" spans="1:17" s="40" customFormat="1" ht="12" x14ac:dyDescent="0.2">
      <c r="A23" s="110"/>
      <c r="B23" s="91"/>
      <c r="C23" s="92"/>
      <c r="D23" s="93"/>
      <c r="E23" s="92"/>
      <c r="F23" s="196"/>
      <c r="G23" s="94"/>
      <c r="H23" s="94"/>
      <c r="I23" s="92"/>
      <c r="J23" s="93"/>
      <c r="K23" s="92"/>
      <c r="L23" s="196"/>
      <c r="M23" s="94"/>
      <c r="N23" s="94"/>
      <c r="O23" s="95"/>
      <c r="P23" s="153" t="s">
        <v>65</v>
      </c>
      <c r="Q23" s="94">
        <f>_xlfn.STDEV.P(Q16,Q19)</f>
        <v>5242.180691422167</v>
      </c>
    </row>
    <row r="24" spans="1:17" s="40" customFormat="1" ht="12" x14ac:dyDescent="0.2">
      <c r="A24" s="110"/>
      <c r="B24" s="91"/>
      <c r="C24" s="92"/>
      <c r="D24" s="93"/>
      <c r="E24" s="92"/>
      <c r="F24" s="196"/>
      <c r="G24" s="94"/>
      <c r="H24" s="94"/>
      <c r="I24" s="92"/>
      <c r="J24" s="93"/>
      <c r="K24" s="92"/>
      <c r="L24" s="196"/>
      <c r="M24" s="94"/>
      <c r="N24" s="94"/>
      <c r="O24" s="95"/>
      <c r="P24" s="153" t="s">
        <v>66</v>
      </c>
      <c r="Q24" s="154">
        <f>(Q23/(AVERAGE(Q16,Q19)))</f>
        <v>5.2656271399714891E-2</v>
      </c>
    </row>
    <row r="25" spans="1:17" s="40" customFormat="1" ht="12" x14ac:dyDescent="0.2">
      <c r="A25" s="110"/>
      <c r="B25" s="91"/>
      <c r="C25" s="92"/>
      <c r="D25" s="93"/>
      <c r="E25" s="92"/>
      <c r="F25" s="196"/>
      <c r="G25" s="94"/>
      <c r="H25" s="94"/>
      <c r="I25" s="92"/>
      <c r="J25" s="93"/>
      <c r="K25" s="92"/>
      <c r="L25" s="196"/>
      <c r="M25" s="94"/>
      <c r="N25" s="94"/>
      <c r="O25" s="95"/>
      <c r="P25" s="153" t="s">
        <v>67</v>
      </c>
      <c r="Q25" s="94">
        <f>_xlfn.STDEV.P(Q18)</f>
        <v>0</v>
      </c>
    </row>
    <row r="26" spans="1:17" s="40" customFormat="1" ht="12" x14ac:dyDescent="0.2">
      <c r="A26" s="110"/>
      <c r="B26" s="91"/>
      <c r="C26" s="92"/>
      <c r="D26" s="93"/>
      <c r="E26" s="92"/>
      <c r="F26" s="196"/>
      <c r="G26" s="94"/>
      <c r="H26" s="94"/>
      <c r="I26" s="92"/>
      <c r="J26" s="93"/>
      <c r="K26" s="92"/>
      <c r="L26" s="196"/>
      <c r="M26" s="94"/>
      <c r="N26" s="94"/>
      <c r="O26" s="95"/>
      <c r="P26" s="153" t="s">
        <v>68</v>
      </c>
      <c r="Q26" s="154">
        <f>Q25/(AVERAGE(Q18))</f>
        <v>0</v>
      </c>
    </row>
    <row r="27" spans="1:17" s="40" customFormat="1" ht="12" x14ac:dyDescent="0.2">
      <c r="A27" s="110"/>
      <c r="B27" s="91"/>
      <c r="C27" s="92"/>
      <c r="D27" s="93"/>
      <c r="E27" s="92"/>
      <c r="F27" s="196"/>
      <c r="G27" s="94"/>
      <c r="H27" s="94"/>
      <c r="I27" s="92"/>
      <c r="J27" s="93"/>
      <c r="K27" s="92"/>
      <c r="L27" s="196"/>
      <c r="M27" s="94"/>
      <c r="N27" s="94"/>
      <c r="O27" s="95"/>
      <c r="P27" s="153" t="s">
        <v>69</v>
      </c>
      <c r="Q27" s="155">
        <f>_xlfn.STDEV.P(Q16:Q19)</f>
        <v>4306.0523736585419</v>
      </c>
    </row>
    <row r="28" spans="1:17" s="40" customFormat="1" ht="12" x14ac:dyDescent="0.2">
      <c r="A28" s="110"/>
      <c r="B28" s="91"/>
      <c r="C28" s="92"/>
      <c r="D28" s="93"/>
      <c r="E28" s="92"/>
      <c r="F28" s="196"/>
      <c r="G28" s="94"/>
      <c r="H28" s="94"/>
      <c r="I28" s="92"/>
      <c r="J28" s="93"/>
      <c r="K28" s="92"/>
      <c r="L28" s="196"/>
      <c r="M28" s="94"/>
      <c r="N28" s="94"/>
      <c r="O28" s="95"/>
      <c r="P28" s="153" t="s">
        <v>70</v>
      </c>
      <c r="Q28" s="95">
        <f>Q27/(AVERAGE(Q16:Q19))</f>
        <v>4.3398282240518685E-2</v>
      </c>
    </row>
    <row r="29" spans="1:17" s="40" customFormat="1" ht="12.75" customHeight="1" x14ac:dyDescent="0.2">
      <c r="A29" s="110"/>
      <c r="B29" s="91"/>
      <c r="C29" s="92"/>
      <c r="D29" s="93"/>
      <c r="E29" s="92"/>
      <c r="F29" s="196"/>
      <c r="G29" s="94"/>
      <c r="H29" s="94"/>
      <c r="I29" s="92"/>
      <c r="J29" s="93"/>
      <c r="K29" s="92"/>
      <c r="L29" s="196"/>
      <c r="M29" s="94"/>
      <c r="N29" s="94"/>
      <c r="O29" s="95"/>
      <c r="P29" s="95"/>
      <c r="Q29" s="94"/>
    </row>
    <row r="30" spans="1:17" ht="12" thickBot="1" x14ac:dyDescent="0.25"/>
    <row r="31" spans="1:17" ht="11.25" customHeight="1" x14ac:dyDescent="0.2">
      <c r="A31" s="253" t="s">
        <v>38</v>
      </c>
      <c r="B31" s="239" t="s">
        <v>38</v>
      </c>
      <c r="C31" s="242" t="s">
        <v>39</v>
      </c>
      <c r="D31" s="243"/>
      <c r="E31" s="243"/>
      <c r="F31" s="243"/>
      <c r="G31" s="243"/>
      <c r="H31" s="243"/>
      <c r="I31" s="244" t="s">
        <v>48</v>
      </c>
      <c r="J31" s="244"/>
      <c r="K31" s="244"/>
      <c r="L31" s="244"/>
      <c r="M31" s="244"/>
      <c r="N31" s="244"/>
      <c r="O31" s="259" t="s">
        <v>40</v>
      </c>
      <c r="P31" s="260"/>
      <c r="Q31" s="263" t="s">
        <v>62</v>
      </c>
    </row>
    <row r="32" spans="1:17" ht="11.25" customHeight="1" x14ac:dyDescent="0.2">
      <c r="A32" s="254"/>
      <c r="B32" s="240"/>
      <c r="C32" s="256" t="s">
        <v>28</v>
      </c>
      <c r="D32" s="257"/>
      <c r="E32" s="256" t="s">
        <v>29</v>
      </c>
      <c r="F32" s="258"/>
      <c r="G32" s="258"/>
      <c r="H32" s="257"/>
      <c r="I32" s="256" t="s">
        <v>28</v>
      </c>
      <c r="J32" s="257"/>
      <c r="K32" s="256" t="s">
        <v>29</v>
      </c>
      <c r="L32" s="258"/>
      <c r="M32" s="258"/>
      <c r="N32" s="258"/>
      <c r="O32" s="261"/>
      <c r="P32" s="262"/>
      <c r="Q32" s="264"/>
    </row>
    <row r="33" spans="1:17" ht="26.25" customHeight="1" x14ac:dyDescent="0.2">
      <c r="A33" s="254"/>
      <c r="B33" s="241"/>
      <c r="C33" s="6" t="s">
        <v>30</v>
      </c>
      <c r="D33" s="7" t="s">
        <v>31</v>
      </c>
      <c r="E33" s="6" t="s">
        <v>30</v>
      </c>
      <c r="F33" s="176" t="s">
        <v>32</v>
      </c>
      <c r="G33" s="8" t="s">
        <v>33</v>
      </c>
      <c r="H33" s="9" t="s">
        <v>43</v>
      </c>
      <c r="I33" s="6" t="s">
        <v>30</v>
      </c>
      <c r="J33" s="7" t="s">
        <v>31</v>
      </c>
      <c r="K33" s="6" t="s">
        <v>30</v>
      </c>
      <c r="L33" s="176" t="s">
        <v>32</v>
      </c>
      <c r="M33" s="177" t="s">
        <v>34</v>
      </c>
      <c r="N33" s="9" t="s">
        <v>44</v>
      </c>
      <c r="O33" s="10" t="s">
        <v>35</v>
      </c>
      <c r="P33" s="165" t="s">
        <v>36</v>
      </c>
      <c r="Q33" s="30" t="s">
        <v>45</v>
      </c>
    </row>
    <row r="34" spans="1:17" s="18" customFormat="1" ht="11.25" customHeight="1" x14ac:dyDescent="0.2">
      <c r="A34" s="254"/>
      <c r="B34" s="69" t="s">
        <v>37</v>
      </c>
      <c r="C34" s="31">
        <f>COUNTIFS(CLSD_NDD!C:C,"PHOSPHORUS, TOTAL (AS P)",CLSD_NDD!G:G,"MG/L",CLSD_NDD!H:H,"RAW WASTE")</f>
        <v>97</v>
      </c>
      <c r="D34" s="32">
        <f>AVERAGEIFS(CLSD_NDD!F:F,(CLSD_NDD!C:C),("PHOSPHORUS, TOTAL (AS P)"),(CLSD_NDD!H:H),("RAW WASTE"),(CLSD_NDD!G:G),("MG/L"))</f>
        <v>3.0388247422680408</v>
      </c>
      <c r="E34" s="33">
        <f>COUNTIFS(CLSD_NDD!C:C,"PHOSPHORUS, TOTAL (AS P)",CLSD_NDD!G:G,"LBS/DAY",CLSD_NDD!H:H,"RAW WASTE")</f>
        <v>97</v>
      </c>
      <c r="F34" s="178">
        <f>AVERAGEIFS(CLSD_NDD!F:F,(CLSD_NDD!C:C),("PHOSPHORUS, TOTAL (AS P)"),(CLSD_NDD!H:H),("RAW WASTE"),(CLSD_NDD!G:G),("LBS/DAY"))</f>
        <v>46.372720926804128</v>
      </c>
      <c r="G34" s="34">
        <f>(SUMIFS(CLSD_NDD!F:F,(CLSD_NDD!C:C),("PHOSPHORUS, TOTAL (AS P)"),(CLSD_NDD!H:H),("RAW WASTE"),(CLSD_NDD!G:G),("LBS/DAY")))</f>
        <v>4498.1539299000005</v>
      </c>
      <c r="H34" s="35">
        <f>F34*365</f>
        <v>16926.043138283505</v>
      </c>
      <c r="I34" s="33">
        <f>COUNTIFS(CLSD_NDD!C:C,"PHOSPHORUS, TOTAL (AS P)",CLSD_NDD!G:G,"MG/L",CLSD_NDD!H:H,"FINAL EFFLUENT")</f>
        <v>97</v>
      </c>
      <c r="J34" s="32">
        <f>(AVERAGEIFS(CLSD_NDD!F:F,(CLSD_NDD!C:C),("PHOSPHORUS, TOTAL (AS P)"),(CLSD_NDD!H:H),("FINAL EFFLUENT"),(CLSD_NDD!G:G),("MG/L")))</f>
        <v>1.02139175257732</v>
      </c>
      <c r="K34" s="33">
        <f>COUNTIFS(CLSD_NDD!C:C,"PHOSPHORUS, TOTAL (AS P)",CLSD_NDD!G:G,"LBS/DAY",CLSD_NDD!H:H,"FINAL EFFLUENT")</f>
        <v>97</v>
      </c>
      <c r="L34" s="178">
        <f>AVERAGEIFS(CLSD_NDD!F:F,(CLSD_NDD!C:C),("PHOSPHORUS, TOTAL (AS P)"),(CLSD_NDD!H:H),("FINAL EFFLUENT"),(CLSD_NDD!G:G),("LBS/DAY"))</f>
        <v>18.644471523711331</v>
      </c>
      <c r="M34" s="34">
        <f>SUMIFS(CLSD_NDD!F:F,(CLSD_NDD!C:C),("PHOSPHORUS, TOTAL (AS P)"),(CLSD_NDD!H:H),("FINAL EFFLUENT"),(CLSD_NDD!G:G),("LBS/DAY"))</f>
        <v>1808.5137377999993</v>
      </c>
      <c r="N34" s="35">
        <f>L34*365</f>
        <v>6805.2321061546363</v>
      </c>
      <c r="O34" s="36">
        <f>((D34-J34))/D34</f>
        <v>0.66388592985622474</v>
      </c>
      <c r="P34" s="37">
        <f>((F34-L34))/F34</f>
        <v>0.5979431193364686</v>
      </c>
      <c r="Q34" s="38">
        <f>(F34-L34)*365</f>
        <v>10120.811032128871</v>
      </c>
    </row>
    <row r="35" spans="1:17" s="18" customFormat="1" ht="5.25" customHeight="1" x14ac:dyDescent="0.2">
      <c r="A35" s="254"/>
      <c r="B35" s="69"/>
      <c r="C35" s="11"/>
      <c r="D35" s="12"/>
      <c r="E35" s="13"/>
      <c r="F35" s="179"/>
      <c r="G35" s="14"/>
      <c r="H35" s="15"/>
      <c r="I35" s="13"/>
      <c r="J35" s="12"/>
      <c r="K35" s="13"/>
      <c r="L35" s="179"/>
      <c r="M35" s="179"/>
      <c r="N35" s="15"/>
      <c r="O35" s="16"/>
      <c r="P35" s="17"/>
      <c r="Q35" s="39"/>
    </row>
    <row r="36" spans="1:17" s="40" customFormat="1" ht="11.25" customHeight="1" x14ac:dyDescent="0.2">
      <c r="A36" s="254"/>
      <c r="B36" s="70" t="s">
        <v>49</v>
      </c>
      <c r="C36" s="71">
        <f>COUNTIFS(CLSD_NDD!$E:$E,"&gt;=5/1/2014",CLSD_NDD!$E:$E,"&lt;=4/30/2015",CLSD_NDD!$C:$C,"PHOSPHORUS, TOTAL (AS P)",CLSD_NDD!$G:$G,"MG/L",CLSD_NDD!$H:$H,"RAW WASTE")</f>
        <v>0</v>
      </c>
      <c r="D36" s="72" t="s">
        <v>61</v>
      </c>
      <c r="E36" s="73">
        <f>COUNTIFS(CLSD_NDD!$E:$E,"&gt;=5/1/2014",CLSD_NDD!$E:$E,"&lt;=4/30/2015",CLSD_NDD!$C:$C,"PHOSPHORUS, TOTAL (AS P)",CLSD_NDD!$G:$G,"LBS/DAY",CLSD_NDD!$H:$H,"RAW WASTE")</f>
        <v>0</v>
      </c>
      <c r="F36" s="180" t="s">
        <v>61</v>
      </c>
      <c r="G36" s="74">
        <f>SUMIFS(CLSD_NDD!$F:$F,CLSD_NDD!$E:$E,"&gt;=5/1/2014",CLSD_NDD!$E:$E,"&lt;=4/30/2015",(CLSD_NDD!$C:$C),("PHOSPHORUS, TOTAL (AS P)"),(CLSD_NDD!$H:$H),("RAW WASTE"),(CLSD_NDD!$G:$G),("LBS/DAY"))</f>
        <v>0</v>
      </c>
      <c r="H36" s="75" t="s">
        <v>61</v>
      </c>
      <c r="I36" s="73">
        <f>COUNTIFS(CLSD_NDD!$E:$E,"&gt;=5/1/2014",CLSD_NDD!$E:$E,"&lt;=4/30/2015",CLSD_NDD!$C:$C,"PHOSPHORUS, TOTAL (AS P)",CLSD_NDD!$G:$G,"MG/L",CLSD_NDD!$H:$H,"FINAL EFFLUENT")</f>
        <v>0</v>
      </c>
      <c r="J36" s="72" t="s">
        <v>61</v>
      </c>
      <c r="K36" s="73">
        <f>COUNTIFS(CLSD_NDD!$E:$E,"&gt;=5/1/2014",CLSD_NDD!$E:$E,"&lt;=4/30/2015",CLSD_NDD!$C:$C,"PHOSPHORUS, TOTAL (AS P)",CLSD_NDD!$G:$G,"LBS/DAY",CLSD_NDD!$H:$H,"FINAL EFFLUENT")</f>
        <v>0</v>
      </c>
      <c r="L36" s="180" t="s">
        <v>61</v>
      </c>
      <c r="M36" s="74">
        <f>SUMIFS(CLSD_NDD!$F:$F,CLSD_NDD!$E:$E,"&gt;=5/1/2014",CLSD_NDD!$E:$E,"&lt;=4/30/2015",(CLSD_NDD!$C:$C),("PHOSPHORUS, TOTAL (AS P)"),(CLSD_NDD!$H:$H),("FINAL EFFLUENT"),(CLSD_NDD!$G:$G),("LBS/DAY"))</f>
        <v>0</v>
      </c>
      <c r="N36" s="75" t="s">
        <v>61</v>
      </c>
      <c r="O36" s="76" t="s">
        <v>61</v>
      </c>
      <c r="P36" s="77" t="s">
        <v>61</v>
      </c>
      <c r="Q36" s="78" t="s">
        <v>61</v>
      </c>
    </row>
    <row r="37" spans="1:17" s="18" customFormat="1" ht="6" customHeight="1" x14ac:dyDescent="0.2">
      <c r="A37" s="254"/>
      <c r="B37" s="69"/>
      <c r="C37" s="11"/>
      <c r="D37" s="12"/>
      <c r="E37" s="13"/>
      <c r="F37" s="179"/>
      <c r="G37" s="14"/>
      <c r="H37" s="15"/>
      <c r="I37" s="13"/>
      <c r="J37" s="12"/>
      <c r="K37" s="13"/>
      <c r="L37" s="179"/>
      <c r="M37" s="179"/>
      <c r="N37" s="15"/>
      <c r="O37" s="16"/>
      <c r="P37" s="17"/>
      <c r="Q37" s="39"/>
    </row>
    <row r="38" spans="1:17" s="50" customFormat="1" ht="11.25" customHeight="1" x14ac:dyDescent="0.2">
      <c r="A38" s="254"/>
      <c r="B38" s="79" t="s">
        <v>46</v>
      </c>
      <c r="C38" s="41">
        <f>COUNTIFS(CLSD_NDD!$E:$E,"&gt;=1/1/2015",CLSD_NDD!$E:$E,"&lt;=12/31/2015",CLSD_NDD!$C:$C,"PHOSPHORUS, TOTAL (AS P)",CLSD_NDD!$G:$G,"MG/L",CLSD_NDD!$H:$H,"RAW WASTE")</f>
        <v>0</v>
      </c>
      <c r="D38" s="42" t="s">
        <v>61</v>
      </c>
      <c r="E38" s="41">
        <f>COUNTIFS(CLSD_NDD!$E:$E,"&gt;=1/1/2015",CLSD_NDD!$E:$E,"&lt;=12/31/2015",CLSD_NDD!$C:$C,"PHOSPHORUS, TOTAL (AS P)",CLSD_NDD!$G:$G,"LBS/DAY",CLSD_NDD!$H:$H,"RAW WASTE")</f>
        <v>0</v>
      </c>
      <c r="F38" s="181" t="s">
        <v>61</v>
      </c>
      <c r="G38" s="43">
        <f>SUMIFS(CLSD_NDD!$F:$F,CLSD_NDD!$E:$E,"&gt;=1/1/2015",CLSD_NDD!$E:$E,"&lt;=12/31/2015",(CLSD_NDD!$C:$C),("PHOSPHORUS, TOTAL (AS P)"),(CLSD_NDD!$H:$H),("RAW WASTE"),(CLSD_NDD!$G:$G),("LBS/DAY"))</f>
        <v>0</v>
      </c>
      <c r="H38" s="44" t="s">
        <v>61</v>
      </c>
      <c r="I38" s="41">
        <f>COUNTIFS(CLSD_NDD!$E:$E,"&gt;=1/1/2015",CLSD_NDD!$E:$E,"&lt;=12/31/2015",CLSD_NDD!$C:$C,"PHOSPHORUS, TOTAL (AS P)",CLSD_NDD!$G:$G,"MG/L",CLSD_NDD!$H:$H,"FINAL EFFLUENT")</f>
        <v>0</v>
      </c>
      <c r="J38" s="45" t="s">
        <v>61</v>
      </c>
      <c r="K38" s="41">
        <f>COUNTIFS(CLSD_NDD!$E:$E,"&gt;=1/1/2015",CLSD_NDD!$E:$E,"&lt;=12/31/2015",CLSD_NDD!$C:$C,"PHOSPHORUS, TOTAL (AS P)",CLSD_NDD!$G:$G,"LBS/DAY",CLSD_NDD!$H:$H,"FINAL EFFLUENT")</f>
        <v>0</v>
      </c>
      <c r="L38" s="182" t="s">
        <v>61</v>
      </c>
      <c r="M38" s="43">
        <f>SUMIFS(CLSD_NDD!$F:$F,CLSD_NDD!$E:$E,"&gt;=1/1/2015",CLSD_NDD!$E:$E,"&lt;=12/31/2015",(CLSD_NDD!$C:$C),("PHOSPHORUS, TOTAL (AS P)"),(CLSD_NDD!$H:$H),("FINAL EFFLUENT"),(CLSD_NDD!$G:$G),("LBS/DAY"))</f>
        <v>0</v>
      </c>
      <c r="N38" s="46" t="s">
        <v>61</v>
      </c>
      <c r="O38" s="47" t="s">
        <v>61</v>
      </c>
      <c r="P38" s="48" t="s">
        <v>61</v>
      </c>
      <c r="Q38" s="49" t="s">
        <v>61</v>
      </c>
    </row>
    <row r="39" spans="1:17" s="40" customFormat="1" ht="11.25" customHeight="1" x14ac:dyDescent="0.2">
      <c r="A39" s="254"/>
      <c r="B39" s="80" t="s">
        <v>50</v>
      </c>
      <c r="C39" s="51">
        <f>COUNTIFS(CLSD_NDD!$E:$E,"&gt;=5/1/2015",CLSD_NDD!$E:$E,"&lt;=4/30/2016",CLSD_NDD!$C:$C,"PHOSPHORUS, TOTAL (AS P)",CLSD_NDD!$G:$G,"MG/L",CLSD_NDD!$H:$H,"RAW WASTE")</f>
        <v>0</v>
      </c>
      <c r="D39" s="52" t="s">
        <v>61</v>
      </c>
      <c r="E39" s="51">
        <f>COUNTIFS(CLSD_NDD!$E:$E,"&gt;=5/1/2015",CLSD_NDD!$E:$E,"&lt;=4/30/2016",CLSD_NDD!$C:$C,"PHOSPHORUS, TOTAL (AS P)",CLSD_NDD!$G:$G,"LBS/DAY",CLSD_NDD!$H:$H,"RAW WASTE")</f>
        <v>0</v>
      </c>
      <c r="F39" s="183" t="s">
        <v>61</v>
      </c>
      <c r="G39" s="53">
        <f>SUMIFS(CLSD_NDD!$F:$F,CLSD_NDD!$E:$E,"&gt;=5/1/2015",CLSD_NDD!$E:$E,"&lt;=4/30/2016",(CLSD_NDD!$C:$C),("PHOSPHORUS, TOTAL (AS P)"),(CLSD_NDD!$H:$H),("RAW WASTE"),(CLSD_NDD!$G:$G),("LBS/DAY"))</f>
        <v>0</v>
      </c>
      <c r="H39" s="54" t="s">
        <v>61</v>
      </c>
      <c r="I39" s="51">
        <f>COUNTIFS(CLSD_NDD!$E:$E,"&gt;=5/1/2015",CLSD_NDD!$E:$E,"&lt;=4/30/2016",CLSD_NDD!$C:$C,"PHOSPHORUS, TOTAL (AS P)",CLSD_NDD!$G:$G,"MG/L",CLSD_NDD!$H:$H,"FINAL EFFLUENT")</f>
        <v>0</v>
      </c>
      <c r="J39" s="52" t="s">
        <v>61</v>
      </c>
      <c r="K39" s="51">
        <f>COUNTIFS(CLSD_NDD!$E:$E,"&gt;=5/1/2015",CLSD_NDD!$E:$E,"&lt;=4/30/2016",CLSD_NDD!$C:$C,"PHOSPHORUS, TOTAL (AS P)",CLSD_NDD!$G:$G,"LBS/DAY",CLSD_NDD!$H:$H,"FINAL EFFLUENT")</f>
        <v>0</v>
      </c>
      <c r="L39" s="183" t="s">
        <v>61</v>
      </c>
      <c r="M39" s="53">
        <f>SUMIFS(CLSD_NDD!$F:$F,CLSD_NDD!$E:$E,"&gt;=5/1/2015",CLSD_NDD!$E:$E,"&lt;=4/30/2016",(CLSD_NDD!$C:$C),("PHOSPHORUS, TOTAL (AS P)"),(CLSD_NDD!$H:$H),("FINAL EFFLUENT"),(CLSD_NDD!$G:$G),("LBS/DAY"))</f>
        <v>0</v>
      </c>
      <c r="N39" s="54" t="s">
        <v>61</v>
      </c>
      <c r="O39" s="55" t="s">
        <v>61</v>
      </c>
      <c r="P39" s="56" t="s">
        <v>61</v>
      </c>
      <c r="Q39" s="57" t="s">
        <v>61</v>
      </c>
    </row>
    <row r="40" spans="1:17" s="67" customFormat="1" ht="6" customHeight="1" x14ac:dyDescent="0.2">
      <c r="A40" s="254"/>
      <c r="B40" s="81"/>
      <c r="C40" s="58"/>
      <c r="D40" s="59"/>
      <c r="E40" s="58"/>
      <c r="F40" s="184"/>
      <c r="G40" s="60"/>
      <c r="H40" s="61"/>
      <c r="I40" s="58"/>
      <c r="J40" s="62"/>
      <c r="K40" s="58"/>
      <c r="L40" s="185"/>
      <c r="M40" s="60"/>
      <c r="N40" s="63"/>
      <c r="O40" s="64"/>
      <c r="P40" s="65"/>
      <c r="Q40" s="66"/>
    </row>
    <row r="41" spans="1:17" s="67" customFormat="1" ht="11.25" customHeight="1" x14ac:dyDescent="0.2">
      <c r="A41" s="254"/>
      <c r="B41" s="82" t="s">
        <v>47</v>
      </c>
      <c r="C41" s="19">
        <f>COUNTIFS(CLSD_NDD!$E:$E,"&gt;=1/1/2016",CLSD_NDD!$E:$E,"&lt;=12/31/2016",CLSD_NDD!$C:$C,"PHOSPHORUS, TOTAL (AS P)",CLSD_NDD!$G:$G,"MG/L",CLSD_NDD!$H:$H,"RAW WASTE")</f>
        <v>30</v>
      </c>
      <c r="D41" s="20">
        <f>AVERAGEIFS(CLSD_NDD!$F:$F,CLSD_NDD!$E:$E,"&gt;=1/1/2016",CLSD_NDD!$E:$E,"&lt;=12/31/2016",(CLSD_NDD!$C:$C),("PHOSPHORUS, TOTAL (AS P)"),(CLSD_NDD!$H:$H),("RAW WASTE"),(CLSD_NDD!$G:$G),("MG/L"))</f>
        <v>2.6357000000000004</v>
      </c>
      <c r="E41" s="19">
        <f>COUNTIFS(CLSD_NDD!$E:$E,"&gt;=1/1/2016",CLSD_NDD!$E:$E,"&lt;=12/31/2016",CLSD_NDD!$C:$C,"PHOSPHORUS, TOTAL (AS P)",CLSD_NDD!$G:$G,"LBS/DAY",CLSD_NDD!$H:$H,"RAW WASTE")</f>
        <v>30</v>
      </c>
      <c r="F41" s="186">
        <f>AVERAGEIFS(CLSD_NDD!$F:$F,CLSD_NDD!$E:$E,"&gt;=1/1/2016",CLSD_NDD!$E:$E,"&lt;=12/31/2016",(CLSD_NDD!$C:$C),("PHOSPHORUS, TOTAL (AS P)"),(CLSD_NDD!$H:$H),("RAW WASTE"),(CLSD_NDD!$G:$G),("LBS/DAY"))</f>
        <v>50.725347560000003</v>
      </c>
      <c r="G41" s="21">
        <f>SUMIFS(CLSD_NDD!$F:$F,CLSD_NDD!$E:$E,"&gt;=1/1/2016",CLSD_NDD!$E:$E,"&lt;=12/31/2016",(CLSD_NDD!$C:$C),("PHOSPHORUS, TOTAL (AS P)"),(CLSD_NDD!$H:$H),("RAW WASTE"),(CLSD_NDD!$G:$G),("LBS/DAY"))</f>
        <v>1521.7604268</v>
      </c>
      <c r="H41" s="22">
        <f>F41*365</f>
        <v>18514.751859399999</v>
      </c>
      <c r="I41" s="19">
        <f>COUNTIFS(CLSD_NDD!$E:$E,"&gt;=1/1/2016",CLSD_NDD!$E:$E,"&lt;=12/31/2016",CLSD_NDD!$C:$C,"PHOSPHORUS, TOTAL (AS P)",CLSD_NDD!$G:$G,"MG/L",CLSD_NDD!$H:$H,"FINAL EFFLUENT")</f>
        <v>30</v>
      </c>
      <c r="J41" s="23">
        <f>AVERAGEIFS(CLSD_NDD!$F:$F,CLSD_NDD!$E:$E,"&gt;=1/1/2016",CLSD_NDD!$E:$E,"&lt;=12/31/2016",(CLSD_NDD!$C:$C),("PHOSPHORUS, TOTAL (AS P)"),(CLSD_NDD!$H:$H),("FINAL EFFLUENT"),(CLSD_NDD!$G:$G),("MG/L"))</f>
        <v>1.1762000000000001</v>
      </c>
      <c r="K41" s="19">
        <f>COUNTIFS(CLSD_NDD!$E:$E,"&gt;=1/1/2016",CLSD_NDD!$E:$E,"&lt;=12/31/2016",CLSD_NDD!$C:$C,"PHOSPHORUS, TOTAL (AS P)",CLSD_NDD!$G:$G,"LBS/DAY",CLSD_NDD!$H:$H,"FINAL EFFLUENT")</f>
        <v>30</v>
      </c>
      <c r="L41" s="187">
        <f>AVERAGEIFS((CLSD_NDD!$F:$F),CLSD_NDD!$E:$E,"&gt;=1/1/2016",CLSD_NDD!$E:$E,"&lt;=12/31/2016",(CLSD_NDD!$C:$C),("PHOSPHORUS, TOTAL (AS P)"),(CLSD_NDD!$H:$H),("FINAL EFFLUENT"),(CLSD_NDD!$G:$G),("LBS/DAY"))</f>
        <v>24.335144220000004</v>
      </c>
      <c r="M41" s="21">
        <f>SUMIFS(CLSD_NDD!$F:$F,CLSD_NDD!$E:$E,"&gt;=1/1/2016",CLSD_NDD!$E:$E,"&lt;=12/31/2016",(CLSD_NDD!$C:$C),("PHOSPHORUS, TOTAL (AS P)"),(CLSD_NDD!$H:$H),("FINAL EFFLUENT"),(CLSD_NDD!$G:$G),("LBS/DAY"))</f>
        <v>730.05432660000008</v>
      </c>
      <c r="N41" s="24">
        <f>L41*365</f>
        <v>8882.3276403000018</v>
      </c>
      <c r="O41" s="25">
        <f>((D41-J41))/D41</f>
        <v>0.55374283871457297</v>
      </c>
      <c r="P41" s="26">
        <f>((F41-L41))/F41</f>
        <v>0.52025672783778554</v>
      </c>
      <c r="Q41" s="68">
        <f>(F41-L41)*365</f>
        <v>9632.4242190999994</v>
      </c>
    </row>
    <row r="42" spans="1:17" s="40" customFormat="1" ht="11.25" customHeight="1" x14ac:dyDescent="0.2">
      <c r="A42" s="254"/>
      <c r="B42" s="83" t="s">
        <v>51</v>
      </c>
      <c r="C42" s="84">
        <f>COUNTIFS(CLSD_NDD!$E:$E,"&gt;=5/1/2016",CLSD_NDD!$E:$E,"&lt;=4/30/2017",CLSD_NDD!$C:$C,"PHOSPHORUS, TOTAL (AS P)",CLSD_NDD!$G:$G,"MG/L",CLSD_NDD!$H:$H,"RAW WASTE")</f>
        <v>47</v>
      </c>
      <c r="D42" s="85">
        <f>AVERAGEIFS(CLSD_NDD!$F:$F,CLSD_NDD!$E:$E,"&gt;=5/1/2016",CLSD_NDD!$E:$E,"&lt;=4/30/2017",(CLSD_NDD!$C:$C),("PHOSPHORUS, TOTAL (AS P)"),(CLSD_NDD!$H:$H),("RAW WASTE"),(CLSD_NDD!$G:$G),("MG/L"))</f>
        <v>2.4399148936170216</v>
      </c>
      <c r="E42" s="84">
        <f>COUNTIFS(CLSD_NDD!$E:$E,"&gt;=5/1/2016",CLSD_NDD!$E:$E,"&lt;=4/30/2017",CLSD_NDD!$C:$C,"PHOSPHORUS, TOTAL (AS P)",CLSD_NDD!$G:$G,"LBS/DAY",CLSD_NDD!$H:$H,"RAW WASTE")</f>
        <v>47</v>
      </c>
      <c r="F42" s="188">
        <f>AVERAGEIFS(CLSD_NDD!$F:$F,CLSD_NDD!$E:$E,"&gt;=5/1/2016",CLSD_NDD!$E:$E,"&lt;=4/30/2017",(CLSD_NDD!$C:$C),("PHOSPHORUS, TOTAL (AS P)"),(CLSD_NDD!$H:$H),("RAW WASTE"),(CLSD_NDD!$G:$G),("LBS/DAY"))</f>
        <v>47.854816014893615</v>
      </c>
      <c r="G42" s="86">
        <f>SUMIFS(CLSD_NDD!$F:$F,CLSD_NDD!$E:$E,"&gt;=5/1/2016",CLSD_NDD!$E:$E,"&lt;=4/30/2017",(CLSD_NDD!$C:$C),("PHOSPHORUS, TOTAL (AS P)"),(CLSD_NDD!$H:$H),("RAW WASTE"),(CLSD_NDD!$G:$G),("LBS/DAY"))</f>
        <v>2249.1763526999998</v>
      </c>
      <c r="H42" s="87">
        <f>F42*365</f>
        <v>17467.007845436168</v>
      </c>
      <c r="I42" s="84">
        <f>COUNTIFS(CLSD_NDD!$E:$E,"&gt;=5/1/2016",CLSD_NDD!$E:$E,"&lt;=4/30/2017",CLSD_NDD!$C:$C,"PHOSPHORUS, TOTAL (AS P)",CLSD_NDD!$G:$G,"MG/L",CLSD_NDD!$H:$H,"FINAL EFFLUENT")</f>
        <v>47</v>
      </c>
      <c r="J42" s="85">
        <f>AVERAGEIFS(CLSD_NDD!$F:$F,CLSD_NDD!$E:$E,"&gt;=5/1/2016",CLSD_NDD!$E:$E,"&lt;=4/30/2017",(CLSD_NDD!$C:$C),("PHOSPHORUS, TOTAL (AS P)"),(CLSD_NDD!$H:$H),("FINAL EFFLUENT"),(CLSD_NDD!$G:$G),("MG/L"))</f>
        <v>1.0157021276595743</v>
      </c>
      <c r="K42" s="84">
        <f>COUNTIFS(CLSD_NDD!$E:$E,"&gt;=5/1/2016",CLSD_NDD!$E:$E,"&lt;=4/30/2017",CLSD_NDD!$C:$C,"PHOSPHORUS, TOTAL (AS P)",CLSD_NDD!$G:$G,"LBS/DAY",CLSD_NDD!$H:$H,"FINAL EFFLUENT")</f>
        <v>47</v>
      </c>
      <c r="L42" s="188">
        <f>AVERAGEIFS((CLSD_NDD!$F:$F),CLSD_NDD!$E:$E,"&gt;=5/1/2016",CLSD_NDD!$E:$E,"&lt;=4/30/2017",(CLSD_NDD!$C:$C),("PHOSPHORUS, TOTAL (AS P)"),(CLSD_NDD!$H:$H),("FINAL EFFLUENT"),(CLSD_NDD!$G:$G),("LBS/DAY"))</f>
        <v>21.272898331914895</v>
      </c>
      <c r="M42" s="86">
        <f>SUMIFS(CLSD_NDD!$F:$F,CLSD_NDD!$E:$E,"&gt;=5/1/2016",CLSD_NDD!$E:$E,"&lt;=4/30/2017",(CLSD_NDD!$C:$C),("PHOSPHORUS, TOTAL (AS P)"),(CLSD_NDD!$H:$H),("FINAL EFFLUENT"),(CLSD_NDD!$G:$G),("LBS/DAY"))</f>
        <v>999.82622160000005</v>
      </c>
      <c r="N42" s="87">
        <f>L42*365</f>
        <v>7764.6078911489367</v>
      </c>
      <c r="O42" s="88">
        <f>((D42-J42))/D42</f>
        <v>0.58371411629285996</v>
      </c>
      <c r="P42" s="89">
        <f>((F42-L42))/F42</f>
        <v>0.55547006334128968</v>
      </c>
      <c r="Q42" s="90">
        <f>(F42-L42)*365</f>
        <v>9702.3999542872334</v>
      </c>
    </row>
    <row r="43" spans="1:17" ht="6" customHeight="1" x14ac:dyDescent="0.2">
      <c r="A43" s="254"/>
      <c r="F43" s="174"/>
      <c r="L43" s="174"/>
      <c r="Q43" s="108"/>
    </row>
    <row r="44" spans="1:17" s="107" customFormat="1" ht="12" customHeight="1" x14ac:dyDescent="0.2">
      <c r="A44" s="254"/>
      <c r="B44" s="97" t="s">
        <v>52</v>
      </c>
      <c r="C44" s="98">
        <f>COUNTIFS(CLSD_NDD!$E:$E,"&gt;=1/1/2017",CLSD_NDD!$E:$E,"&lt;=12/31/2017",CLSD_NDD!$C:$C,"PHOSPHORUS, TOTAL (AS P)",CLSD_NDD!$G:$G,"MG/L",CLSD_NDD!$H:$H,"RAW WASTE")</f>
        <v>51</v>
      </c>
      <c r="D44" s="99">
        <f>AVERAGEIFS(CLSD_NDD!$F:$F,CLSD_NDD!$E:$E,"&gt;=1/1/2017",CLSD_NDD!$E:$E,"&lt;=12/31/2017",(CLSD_NDD!$C:$C),("PHOSPHORUS, TOTAL (AS P)"),(CLSD_NDD!$H:$H),("RAW WASTE"),(CLSD_NDD!$G:$G),("MG/L"))</f>
        <v>3.1032352941176473</v>
      </c>
      <c r="E44" s="98">
        <f>COUNTIFS(CLSD_NDD!$E:$E,"&gt;=1/1/2017",CLSD_NDD!$E:$E,"&lt;=12/31/2017",CLSD_NDD!$C:$C,"PHOSPHORUS, TOTAL (AS P)",CLSD_NDD!$G:$G,"LBS/DAY",CLSD_NDD!$H:$H,"RAW WASTE")</f>
        <v>51</v>
      </c>
      <c r="F44" s="189">
        <f>AVERAGEIFS(CLSD_NDD!$F:$F,CLSD_NDD!$E:$E,"&gt;=1/1/2017",CLSD_NDD!$E:$E,"&lt;=12/31/2017",(CLSD_NDD!$C:$C),("PHOSPHORUS, TOTAL (AS P)"),(CLSD_NDD!$H:$H),("RAW WASTE"),(CLSD_NDD!$G:$G),("LBS/DAY"))</f>
        <v>45.193494358823536</v>
      </c>
      <c r="G44" s="100">
        <f>SUMIFS(CLSD_NDD!$F:$F,CLSD_NDD!$E:$E,"&gt;=1/1/2017",CLSD_NDD!$E:$E,"&lt;=12/31/2017",(CLSD_NDD!$C:$C),("PHOSPHORUS, TOTAL (AS P)"),(CLSD_NDD!$H:$H),("RAW WASTE"),(CLSD_NDD!$G:$G),("LBS/DAY"))</f>
        <v>2304.8682123000003</v>
      </c>
      <c r="H44" s="101">
        <f>F44*365</f>
        <v>16495.625440970591</v>
      </c>
      <c r="I44" s="98">
        <f>COUNTIFS(CLSD_NDD!$E:$E,"&gt;=1/1/2017",CLSD_NDD!$E:$E,"&lt;=12/31/2017",CLSD_NDD!$C:$C,"PHOSPHORUS, TOTAL (AS P)",CLSD_NDD!$G:$G,"MG/L",CLSD_NDD!$H:$H,"FINAL EFFLUENT")</f>
        <v>51</v>
      </c>
      <c r="J44" s="102">
        <f>AVERAGEIFS(CLSD_NDD!$F:$F,CLSD_NDD!$E:$E,"&gt;=1/1/2017",CLSD_NDD!$E:$E,"&lt;=12/31/2017",(CLSD_NDD!$C:$C),("PHOSPHORUS, TOTAL (AS P)"),(CLSD_NDD!$H:$H),("FINAL EFFLUENT"),(CLSD_NDD!$G:$G),("MG/L"))</f>
        <v>0.99074509803921551</v>
      </c>
      <c r="K44" s="98">
        <f>COUNTIFS(CLSD_NDD!$E:$E,"&gt;=1/1/2017",CLSD_NDD!$E:$E,"&lt;=12/31/2017",CLSD_NDD!$C:$C,"PHOSPHORUS, TOTAL (AS P)",CLSD_NDD!$G:$G,"LBS/DAY",CLSD_NDD!$H:$H,"FINAL EFFLUENT")</f>
        <v>51</v>
      </c>
      <c r="L44" s="190">
        <f>AVERAGEIFS((CLSD_NDD!$F:$F),CLSD_NDD!$E:$E,"&gt;=1/1/2017",CLSD_NDD!$E:$E,"&lt;=12/31/2017",(CLSD_NDD!$C:$C),("PHOSPHORUS, TOTAL (AS P)"),(CLSD_NDD!$H:$H),("FINAL EFFLUENT"),(CLSD_NDD!$G:$G),("LBS/DAY"))</f>
        <v>17.393903999999992</v>
      </c>
      <c r="M44" s="100">
        <f>SUMIFS(CLSD_NDD!$F:$F,CLSD_NDD!$E:$E,"&gt;=1/1/2017",CLSD_NDD!$E:$E,"&lt;=12/31/2017",(CLSD_NDD!$C:$C),("PHOSPHORUS, TOTAL (AS P)"),(CLSD_NDD!$H:$H),("FINAL EFFLUENT"),(CLSD_NDD!$G:$G),("LBS/DAY"))</f>
        <v>887.08910399999968</v>
      </c>
      <c r="N44" s="103">
        <f>L44*365</f>
        <v>6348.774959999997</v>
      </c>
      <c r="O44" s="104">
        <f>((D44-J44))/D44</f>
        <v>0.68073800271696217</v>
      </c>
      <c r="P44" s="105">
        <f>((F44-L44))/F44</f>
        <v>0.61512371975715519</v>
      </c>
      <c r="Q44" s="106">
        <f>(F44-L44)*365</f>
        <v>10146.850480970594</v>
      </c>
    </row>
    <row r="45" spans="1:17" s="40" customFormat="1" ht="12.75" customHeight="1" x14ac:dyDescent="0.2">
      <c r="A45" s="254"/>
      <c r="B45" s="195" t="s">
        <v>53</v>
      </c>
      <c r="C45" s="111">
        <f>COUNTIFS(CLSD_NDD!$E:$E,"&gt;=5/1/2017",CLSD_NDD!$E:$E,"&lt;=4/30/2018",CLSD_NDD!$C:$C,"PHOSPHORUS, TOTAL (AS P)",CLSD_NDD!$G:$G,"MG/L",CLSD_NDD!$H:$H,"RAW WASTE")</f>
        <v>50</v>
      </c>
      <c r="D45" s="112">
        <f>AVERAGEIFS(CLSD_NDD!$F:$F,CLSD_NDD!$E:$E,"&gt;=5/1/2017",CLSD_NDD!$E:$E,"&lt;=4/30/2018",(CLSD_NDD!$C:$C),("PHOSPHORUS, TOTAL (AS P)"),(CLSD_NDD!$H:$H),("RAW WASTE"),(CLSD_NDD!$G:$G),("MG/L"))</f>
        <v>3.601799999999999</v>
      </c>
      <c r="E45" s="111">
        <f>COUNTIFS(CLSD_NDD!$E:$E,"&gt;=5/1/2017",CLSD_NDD!$E:$E,"&lt;=4/30/2018",CLSD_NDD!$C:$C,"PHOSPHORUS, TOTAL (AS P)",CLSD_NDD!$G:$G,"LBS/DAY",CLSD_NDD!$H:$H,"RAW WASTE")</f>
        <v>50</v>
      </c>
      <c r="F45" s="191">
        <f>AVERAGEIFS(CLSD_NDD!$F:$F,CLSD_NDD!$E:$E,"&gt;=5/1/2017",CLSD_NDD!$E:$E,"&lt;=4/30/2018",(CLSD_NDD!$C:$C),("PHOSPHORUS, TOTAL (AS P)"),(CLSD_NDD!$H:$H),("RAW WASTE"),(CLSD_NDD!$G:$G),("LBS/DAY"))</f>
        <v>44.979551544000003</v>
      </c>
      <c r="G45" s="113">
        <f>SUMIFS(CLSD_NDD!$F:$F,CLSD_NDD!$E:$E,"&gt;=5/1/2017",CLSD_NDD!$E:$E,"&lt;=4/30/2018",(CLSD_NDD!$C:$C),("PHOSPHORUS, TOTAL (AS P)"),(CLSD_NDD!$H:$H),("RAW WASTE"),(CLSD_NDD!$G:$G),("LBS/DAY"))</f>
        <v>2248.9775772000003</v>
      </c>
      <c r="H45" s="114">
        <f>F45*365</f>
        <v>16417.536313560002</v>
      </c>
      <c r="I45" s="111">
        <f>COUNTIFS(CLSD_NDD!$E:$E,"&gt;=5/1/2017",CLSD_NDD!$E:$E,"&lt;=4/30/2018",CLSD_NDD!$C:$C,"PHOSPHORUS, TOTAL (AS P)",CLSD_NDD!$G:$G,"MG/L",CLSD_NDD!$H:$H,"FINAL EFFLUENT")</f>
        <v>50</v>
      </c>
      <c r="J45" s="112">
        <f>AVERAGEIFS(CLSD_NDD!$F:$F,CLSD_NDD!$E:$E,"&gt;=5/1/2017",CLSD_NDD!$E:$E,"&lt;=4/30/2018",(CLSD_NDD!$C:$C),("PHOSPHORUS, TOTAL (AS P)"),(CLSD_NDD!$H:$H),("FINAL EFFLUENT"),(CLSD_NDD!$G:$G),("MG/L"))</f>
        <v>1.02674</v>
      </c>
      <c r="K45" s="111">
        <f>COUNTIFS(CLSD_NDD!$E:$E,"&gt;=5/1/2017",CLSD_NDD!$E:$E,"&lt;=4/30/2018",CLSD_NDD!$C:$C,"PHOSPHORUS, TOTAL (AS P)",CLSD_NDD!$G:$G,"LBS/DAY",CLSD_NDD!$H:$H,"FINAL EFFLUENT")</f>
        <v>50</v>
      </c>
      <c r="L45" s="191">
        <f>AVERAGEIFS((CLSD_NDD!$F:$F),CLSD_NDD!$E:$E,"&gt;=5/1/2017",CLSD_NDD!$E:$E,"&lt;=4/30/2018",(CLSD_NDD!$C:$C),("PHOSPHORUS, TOTAL (AS P)"),(CLSD_NDD!$H:$H),("FINAL EFFLUENT"),(CLSD_NDD!$G:$G),("LBS/DAY"))</f>
        <v>16.173750323999997</v>
      </c>
      <c r="M45" s="113">
        <f>SUMIFS(CLSD_NDD!$F:$F,CLSD_NDD!$E:$E,"&gt;=5/1/2017",CLSD_NDD!$E:$E,"&lt;=4/30/2018",(CLSD_NDD!$C:$C),("PHOSPHORUS, TOTAL (AS P)"),(CLSD_NDD!$H:$H),("FINAL EFFLUENT"),(CLSD_NDD!$G:$G),("LBS/DAY"))</f>
        <v>808.68751619999989</v>
      </c>
      <c r="N45" s="114">
        <f>L45*365</f>
        <v>5903.4188682599988</v>
      </c>
      <c r="O45" s="115">
        <f>((D45-J45))/D45</f>
        <v>0.7149369759564661</v>
      </c>
      <c r="P45" s="116">
        <f>((F45-L45))/F45</f>
        <v>0.6404199293054651</v>
      </c>
      <c r="Q45" s="117">
        <f>(F45-L45)*365</f>
        <v>10514.117445300002</v>
      </c>
    </row>
    <row r="46" spans="1:17" s="40" customFormat="1" ht="5.25" customHeight="1" x14ac:dyDescent="0.2">
      <c r="A46" s="254"/>
      <c r="B46" s="91"/>
      <c r="C46" s="92"/>
      <c r="D46" s="93"/>
      <c r="E46" s="92"/>
      <c r="F46" s="93"/>
      <c r="G46" s="94"/>
      <c r="H46" s="94"/>
      <c r="I46" s="92"/>
      <c r="J46" s="93"/>
      <c r="K46" s="92"/>
      <c r="L46" s="93"/>
      <c r="M46" s="94"/>
      <c r="N46" s="94"/>
      <c r="O46" s="95"/>
      <c r="P46" s="95"/>
      <c r="Q46" s="96"/>
    </row>
    <row r="47" spans="1:17" s="144" customFormat="1" ht="11.25" customHeight="1" x14ac:dyDescent="0.2">
      <c r="A47" s="254"/>
      <c r="B47" s="134" t="s">
        <v>63</v>
      </c>
      <c r="C47" s="135">
        <f>COUNTIFS(CLSD_NDD!$E:$E,"&gt;=1/1/2018",CLSD_NDD!$E:$E,"&lt;=12/31/2018",CLSD_NDD!$C:$C,"PHOSPHORUS, TOTAL (AS P)",CLSD_NDD!$G:$G,"MG/L",CLSD_NDD!$H:$H,"RAW WASTE")</f>
        <v>16</v>
      </c>
      <c r="D47" s="136">
        <f>AVERAGEIFS(CLSD_NDD!$F:$F,CLSD_NDD!$E:$E,"&gt;=1/1/2018",CLSD_NDD!$E:$E,"&lt;=12/31/2018",(CLSD_NDD!$C:$C),("PHOSPHORUS, TOTAL (AS P)"),(CLSD_NDD!$H:$H),("RAW WASTE"),(CLSD_NDD!$G:$G),("MG/L"))</f>
        <v>3.5893749999999995</v>
      </c>
      <c r="E47" s="135">
        <f>COUNTIFS(CLSD_NDD!$E:$E,"&gt;=1/1/2018",CLSD_NDD!$E:$E,"&lt;=12/31/2018",CLSD_NDD!$C:$C,"PHOSPHORUS, TOTAL (AS P)",CLSD_NDD!$G:$G,"LBS/DAY",CLSD_NDD!$H:$H,"RAW WASTE")</f>
        <v>16</v>
      </c>
      <c r="F47" s="192">
        <f>AVERAGEIFS(CLSD_NDD!$F:$F,CLSD_NDD!$E:$E,"&gt;=1/1/2018",CLSD_NDD!$E:$E,"&lt;=12/31/2018",(CLSD_NDD!$C:$C),("PHOSPHORUS, TOTAL (AS P)"),(CLSD_NDD!$H:$H),("RAW WASTE"),(CLSD_NDD!$G:$G),("LBS/DAY"))</f>
        <v>41.970330675</v>
      </c>
      <c r="G47" s="137">
        <f>SUMIFS(CLSD_NDD!$F:$F,CLSD_NDD!$E:$E,"&gt;=1/1/2018",CLSD_NDD!$E:$E,"&lt;=12/31/2018",(CLSD_NDD!$C:$C),("PHOSPHORUS, TOTAL (AS P)"),(CLSD_NDD!$H:$H),("RAW WASTE"),(CLSD_NDD!$G:$G),("LBS/DAY"))</f>
        <v>671.52529079999999</v>
      </c>
      <c r="H47" s="138">
        <f>F47*365</f>
        <v>15319.170696375</v>
      </c>
      <c r="I47" s="135">
        <f>COUNTIFS(CLSD_NDD!$E:$E,"&gt;=1/1/2018",CLSD_NDD!$E:$E,"&lt;=12/31/2018",CLSD_NDD!$C:$C,"PHOSPHORUS, TOTAL (AS P)",CLSD_NDD!$G:$G,"MG/L",CLSD_NDD!$H:$H,"FINAL EFFLUENT")</f>
        <v>16</v>
      </c>
      <c r="J47" s="139">
        <f>AVERAGEIFS(CLSD_NDD!$F:$F,CLSD_NDD!$E:$E,"&gt;=1/1/2018",CLSD_NDD!$E:$E,"&lt;=12/31/2018",(CLSD_NDD!$C:$C),("PHOSPHORUS, TOTAL (AS P)"),(CLSD_NDD!$H:$H),("FINAL EFFLUENT"),(CLSD_NDD!$G:$G),("MG/L"))</f>
        <v>0.82881250000000006</v>
      </c>
      <c r="K47" s="135">
        <f>COUNTIFS(CLSD_NDD!$E:$E,"&gt;=1/1/2018",CLSD_NDD!$E:$E,"&lt;=12/31/2018",CLSD_NDD!$C:$C,"PHOSPHORUS, TOTAL (AS P)",CLSD_NDD!$G:$G,"LBS/DAY",CLSD_NDD!$H:$H,"FINAL EFFLUENT")</f>
        <v>16</v>
      </c>
      <c r="L47" s="193">
        <f>AVERAGEIFS((CLSD_NDD!$F:$F),CLSD_NDD!$E:$E,"&gt;=1/1/2018",CLSD_NDD!$E:$E,"&lt;=12/31/2018",(CLSD_NDD!$C:$C),("PHOSPHORUS, TOTAL (AS P)"),(CLSD_NDD!$H:$H),("FINAL EFFLUENT"),(CLSD_NDD!$G:$G),("LBS/DAY"))</f>
        <v>11.960644200000001</v>
      </c>
      <c r="M47" s="137">
        <f>SUMIFS(CLSD_NDD!$F:$F,CLSD_NDD!$E:$E,"&gt;=1/1/2018",CLSD_NDD!$E:$E,"&lt;=12/31/2018",(CLSD_NDD!$C:$C),("PHOSPHORUS, TOTAL (AS P)"),(CLSD_NDD!$H:$H),("FINAL EFFLUENT"),(CLSD_NDD!$G:$G),("LBS/DAY"))</f>
        <v>191.37030720000001</v>
      </c>
      <c r="N47" s="140">
        <f>L47*365</f>
        <v>4365.6351330000007</v>
      </c>
      <c r="O47" s="141">
        <f>((D47-J47))/D47</f>
        <v>0.76909280863660101</v>
      </c>
      <c r="P47" s="142">
        <f>((F47-L47))/F47</f>
        <v>0.71502144472918183</v>
      </c>
      <c r="Q47" s="143">
        <f>(F47-L47)*365</f>
        <v>10953.535563374999</v>
      </c>
    </row>
    <row r="48" spans="1:17" s="40" customFormat="1" ht="11.25" customHeight="1" thickBot="1" x14ac:dyDescent="0.25">
      <c r="A48" s="255"/>
      <c r="B48" s="145" t="s">
        <v>64</v>
      </c>
      <c r="C48" s="146">
        <f>COUNTIFS(CLSD_NDD!$E:$E,"&gt;=5/1/2018",CLSD_NDD!$E:$E,"&lt;=4/30/2019",CLSD_NDD!$C:$C,"PHOSPHORUS, TOTAL (AS P)",CLSD_NDD!$G:$G,"MG/L",CLSD_NDD!$H:$H,"RAW WASTE")</f>
        <v>0</v>
      </c>
      <c r="D48" s="147" t="e">
        <f>AVERAGEIFS(CLSD_NDD!$F:$F,CLSD_NDD!$E:$E,"&gt;=5/1/2018",CLSD_NDD!$E:$E,"&lt;=4/30/2019",(CLSD_NDD!$C:$C),("PHOSPHORUS, TOTAL (AS P)"),(CLSD_NDD!$H:$H),("RAW WASTE"),(CLSD_NDD!$G:$G),("MG/L"))</f>
        <v>#DIV/0!</v>
      </c>
      <c r="E48" s="146">
        <f>COUNTIFS(CLSD_NDD!$E:$E,"&gt;=5/1/2018",CLSD_NDD!$E:$E,"&lt;=4/30/2019",CLSD_NDD!$C:$C,"PHOSPHORUS, TOTAL (AS P)",CLSD_NDD!$G:$G,"LBS/DAY",CLSD_NDD!$H:$H,"RAW WASTE")</f>
        <v>0</v>
      </c>
      <c r="F48" s="194" t="e">
        <f>AVERAGEIFS(CLSD_NDD!$F:$F,CLSD_NDD!$E:$E,"&gt;=5/1/2018",CLSD_NDD!$E:$E,"&lt;=4/30/2019",(CLSD_NDD!$C:$C),("PHOSPHORUS, TOTAL (AS P)"),(CLSD_NDD!$H:$H),("RAW WASTE"),(CLSD_NDD!$G:$G),("LBS/DAY"))</f>
        <v>#DIV/0!</v>
      </c>
      <c r="G48" s="148">
        <f>SUMIFS(CLSD_NDD!$F:$F,CLSD_NDD!$E:$E,"&gt;=5/1/2018",CLSD_NDD!$E:$E,"&lt;=4/30/2019",(CLSD_NDD!$C:$C),("PHOSPHORUS, TOTAL (AS P)"),(CLSD_NDD!$H:$H),("RAW WASTE"),(CLSD_NDD!$G:$G),("LBS/DAY"))</f>
        <v>0</v>
      </c>
      <c r="H48" s="149" t="e">
        <f>F48*365</f>
        <v>#DIV/0!</v>
      </c>
      <c r="I48" s="146">
        <f>COUNTIFS(CLSD_NDD!$E:$E,"&gt;=5/1/2018",CLSD_NDD!$E:$E,"&lt;=4/30/2019",CLSD_NDD!$C:$C,"PHOSPHORUS, TOTAL (AS P)",CLSD_NDD!$G:$G,"MG/L",CLSD_NDD!$H:$H,"FINAL EFFLUENT")</f>
        <v>0</v>
      </c>
      <c r="J48" s="147" t="e">
        <f>AVERAGEIFS(CLSD_NDD!$F:$F,CLSD_NDD!$E:$E,"&gt;=5/1/2018",CLSD_NDD!$E:$E,"&lt;=4/30/2019",(CLSD_NDD!$C:$C),("PHOSPHORUS, TOTAL (AS P)"),(CLSD_NDD!$H:$H),("FINAL EFFLUENT"),(CLSD_NDD!$G:$G),("MG/L"))</f>
        <v>#DIV/0!</v>
      </c>
      <c r="K48" s="146">
        <f>COUNTIFS(CLSD_NDD!$E:$E,"&gt;=5/1/2018",CLSD_NDD!$E:$E,"&lt;=4/30/2019",CLSD_NDD!$C:$C,"PHOSPHORUS, TOTAL (AS P)",CLSD_NDD!$G:$G,"LBS/DAY",CLSD_NDD!$H:$H,"FINAL EFFLUENT")</f>
        <v>0</v>
      </c>
      <c r="L48" s="194" t="e">
        <f>AVERAGEIFS((CLSD_NDD!$F:$F),CLSD_NDD!$E:$E,"&gt;=5/1/2018",CLSD_NDD!$E:$E,"&lt;=4/30/2019",(CLSD_NDD!$C:$C),("PHOSPHORUS, TOTAL (AS P)"),(CLSD_NDD!$H:$H),("FINAL EFFLUENT"),(CLSD_NDD!$G:$G),("LBS/DAY"))</f>
        <v>#DIV/0!</v>
      </c>
      <c r="M48" s="148">
        <f>SUMIFS(CLSD_NDD!$F:$F,CLSD_NDD!$E:$E,"&gt;=5/1/2018",CLSD_NDD!$E:$E,"&lt;=4/30/2019",(CLSD_NDD!$C:$C),("PHOSPHORUS, TOTAL (AS P)"),(CLSD_NDD!$H:$H),("FINAL EFFLUENT"),(CLSD_NDD!$G:$G),("LBS/DAY"))</f>
        <v>0</v>
      </c>
      <c r="N48" s="149" t="e">
        <f>L48*365</f>
        <v>#DIV/0!</v>
      </c>
      <c r="O48" s="150" t="e">
        <f>((D48-J48))/D48</f>
        <v>#DIV/0!</v>
      </c>
      <c r="P48" s="151" t="e">
        <f>((F48-L48))/F48</f>
        <v>#DIV/0!</v>
      </c>
      <c r="Q48" s="152" t="e">
        <f>(F48-L48)*365</f>
        <v>#DIV/0!</v>
      </c>
    </row>
    <row r="49" spans="16:17" x14ac:dyDescent="0.2">
      <c r="P49" s="153" t="s">
        <v>65</v>
      </c>
      <c r="Q49" s="94">
        <f>_xlfn.STDEV.P(Q42,Q45)</f>
        <v>405.85874550638437</v>
      </c>
    </row>
    <row r="50" spans="16:17" x14ac:dyDescent="0.2">
      <c r="P50" s="153" t="s">
        <v>66</v>
      </c>
      <c r="Q50" s="154">
        <f>(Q49/(AVERAGE(Q42,Q45)))</f>
        <v>4.0151202849079325E-2</v>
      </c>
    </row>
    <row r="51" spans="16:17" x14ac:dyDescent="0.2">
      <c r="P51" s="153" t="s">
        <v>67</v>
      </c>
      <c r="Q51" s="94">
        <f>_xlfn.STDEV.P(Q44)</f>
        <v>0</v>
      </c>
    </row>
    <row r="52" spans="16:17" x14ac:dyDescent="0.2">
      <c r="P52" s="153" t="s">
        <v>68</v>
      </c>
      <c r="Q52" s="154">
        <f>Q51/(AVERAGE(Q44))</f>
        <v>0</v>
      </c>
    </row>
    <row r="53" spans="16:17" x14ac:dyDescent="0.2">
      <c r="P53" s="153" t="s">
        <v>69</v>
      </c>
      <c r="Q53" s="155">
        <f>_xlfn.STDEV.P(Q42:Q45)</f>
        <v>331.88126708423226</v>
      </c>
    </row>
    <row r="54" spans="16:17" x14ac:dyDescent="0.2">
      <c r="P54" s="153" t="s">
        <v>70</v>
      </c>
      <c r="Q54" s="95">
        <f>Q53/(AVERAGE(Q42:Q45))</f>
        <v>3.2790954059158377E-2</v>
      </c>
    </row>
  </sheetData>
  <mergeCells count="26"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5:A22"/>
    <mergeCell ref="B5:B7"/>
    <mergeCell ref="C5:H5"/>
    <mergeCell ref="I5:N5"/>
    <mergeCell ref="O5:P6"/>
    <mergeCell ref="C3:F3"/>
    <mergeCell ref="A1:B1"/>
    <mergeCell ref="C1:D1"/>
    <mergeCell ref="E1:F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selection activeCell="A22" sqref="A22"/>
    </sheetView>
  </sheetViews>
  <sheetFormatPr defaultRowHeight="11.25" x14ac:dyDescent="0.2"/>
  <cols>
    <col min="1" max="1" width="7.5703125" style="167" customWidth="1"/>
    <col min="2" max="2" width="17.5703125" style="167" customWidth="1"/>
    <col min="3" max="3" width="22.7109375" style="167" customWidth="1"/>
    <col min="4" max="4" width="16.28515625" style="167" customWidth="1"/>
    <col min="5" max="5" width="10" style="167" customWidth="1"/>
    <col min="6" max="6" width="8.140625" style="167" customWidth="1"/>
    <col min="7" max="7" width="7.85546875" style="167" customWidth="1"/>
    <col min="8" max="8" width="13.85546875" style="167" customWidth="1"/>
    <col min="9" max="9" width="4.42578125" style="167" customWidth="1"/>
    <col min="10" max="10" width="15.28515625" style="167" customWidth="1"/>
    <col min="11" max="11" width="12.85546875" style="167" customWidth="1"/>
    <col min="12" max="12" width="36.7109375" style="167" customWidth="1"/>
    <col min="13" max="13" width="28.85546875" style="167" customWidth="1"/>
    <col min="14" max="16384" width="9.140625" style="167"/>
  </cols>
  <sheetData>
    <row r="1" spans="1:14" s="198" customFormat="1" ht="21" x14ac:dyDescent="0.2">
      <c r="A1" s="166" t="s">
        <v>0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73</v>
      </c>
      <c r="I1" s="197" t="s">
        <v>7</v>
      </c>
      <c r="J1" s="197" t="s">
        <v>8</v>
      </c>
      <c r="K1" s="197" t="s">
        <v>9</v>
      </c>
      <c r="L1" s="166" t="s">
        <v>10</v>
      </c>
      <c r="M1" s="166" t="s">
        <v>71</v>
      </c>
      <c r="N1" s="166" t="s">
        <v>72</v>
      </c>
    </row>
    <row r="2" spans="1:14" s="1" customFormat="1" x14ac:dyDescent="0.2">
      <c r="A2" s="199" t="s">
        <v>108</v>
      </c>
      <c r="B2" s="199" t="s">
        <v>109</v>
      </c>
      <c r="C2" s="199" t="s">
        <v>11</v>
      </c>
      <c r="D2" s="199" t="s">
        <v>12</v>
      </c>
      <c r="E2" s="200">
        <v>43213</v>
      </c>
      <c r="F2" s="201">
        <v>43.5</v>
      </c>
      <c r="G2" s="202" t="s">
        <v>13</v>
      </c>
      <c r="H2" s="199" t="s">
        <v>14</v>
      </c>
      <c r="I2" s="202">
        <v>1</v>
      </c>
      <c r="J2" s="202" t="s">
        <v>15</v>
      </c>
      <c r="K2" s="202" t="s">
        <v>54</v>
      </c>
      <c r="L2" s="199" t="s">
        <v>110</v>
      </c>
      <c r="M2" s="199" t="s">
        <v>14</v>
      </c>
    </row>
    <row r="3" spans="1:14" s="1" customFormat="1" x14ac:dyDescent="0.2">
      <c r="A3" s="199" t="s">
        <v>108</v>
      </c>
      <c r="B3" s="199" t="s">
        <v>109</v>
      </c>
      <c r="C3" s="199" t="s">
        <v>11</v>
      </c>
      <c r="D3" s="199" t="s">
        <v>12</v>
      </c>
      <c r="E3" s="200">
        <v>43213</v>
      </c>
      <c r="F3" s="201">
        <v>1458.0530100000001</v>
      </c>
      <c r="G3" s="202" t="s">
        <v>16</v>
      </c>
      <c r="H3" s="199" t="s">
        <v>14</v>
      </c>
      <c r="I3" s="202">
        <v>1</v>
      </c>
      <c r="J3" s="202" t="s">
        <v>15</v>
      </c>
      <c r="K3" s="202" t="s">
        <v>54</v>
      </c>
      <c r="L3" s="199" t="s">
        <v>110</v>
      </c>
      <c r="M3" s="199" t="s">
        <v>14</v>
      </c>
    </row>
    <row r="4" spans="1:14" s="1" customFormat="1" x14ac:dyDescent="0.2">
      <c r="A4" s="199" t="s">
        <v>108</v>
      </c>
      <c r="B4" s="199" t="s">
        <v>109</v>
      </c>
      <c r="C4" s="199" t="s">
        <v>11</v>
      </c>
      <c r="D4" s="199" t="s">
        <v>12</v>
      </c>
      <c r="E4" s="200">
        <v>43213</v>
      </c>
      <c r="F4" s="201">
        <v>7.84</v>
      </c>
      <c r="G4" s="202" t="s">
        <v>13</v>
      </c>
      <c r="H4" s="199" t="s">
        <v>18</v>
      </c>
      <c r="I4" s="202">
        <v>1</v>
      </c>
      <c r="J4" s="202" t="s">
        <v>15</v>
      </c>
      <c r="K4" s="202" t="s">
        <v>54</v>
      </c>
      <c r="L4" s="199" t="s">
        <v>110</v>
      </c>
      <c r="M4" s="199" t="s">
        <v>17</v>
      </c>
    </row>
    <row r="5" spans="1:14" s="1" customFormat="1" x14ac:dyDescent="0.2">
      <c r="A5" s="199" t="s">
        <v>108</v>
      </c>
      <c r="B5" s="199" t="s">
        <v>109</v>
      </c>
      <c r="C5" s="199" t="s">
        <v>11</v>
      </c>
      <c r="D5" s="199" t="s">
        <v>12</v>
      </c>
      <c r="E5" s="200">
        <v>43213</v>
      </c>
      <c r="F5" s="201">
        <v>262.78472640000001</v>
      </c>
      <c r="G5" s="202" t="s">
        <v>16</v>
      </c>
      <c r="H5" s="199" t="s">
        <v>18</v>
      </c>
      <c r="I5" s="202">
        <v>1</v>
      </c>
      <c r="J5" s="202" t="s">
        <v>15</v>
      </c>
      <c r="K5" s="202" t="s">
        <v>54</v>
      </c>
      <c r="L5" s="199" t="s">
        <v>110</v>
      </c>
      <c r="M5" s="199" t="s">
        <v>17</v>
      </c>
    </row>
    <row r="6" spans="1:14" s="1" customFormat="1" x14ac:dyDescent="0.2">
      <c r="A6" s="199" t="s">
        <v>108</v>
      </c>
      <c r="B6" s="199" t="s">
        <v>109</v>
      </c>
      <c r="C6" s="199" t="s">
        <v>11</v>
      </c>
      <c r="D6" s="199" t="s">
        <v>12</v>
      </c>
      <c r="E6" s="200">
        <v>43205</v>
      </c>
      <c r="F6" s="201">
        <v>25.2</v>
      </c>
      <c r="G6" s="202" t="s">
        <v>13</v>
      </c>
      <c r="H6" s="199" t="s">
        <v>14</v>
      </c>
      <c r="I6" s="202">
        <v>1</v>
      </c>
      <c r="J6" s="202" t="s">
        <v>15</v>
      </c>
      <c r="K6" s="202" t="s">
        <v>54</v>
      </c>
      <c r="L6" s="199" t="s">
        <v>110</v>
      </c>
      <c r="M6" s="199" t="s">
        <v>14</v>
      </c>
    </row>
    <row r="7" spans="1:14" s="1" customFormat="1" x14ac:dyDescent="0.2">
      <c r="A7" s="199" t="s">
        <v>108</v>
      </c>
      <c r="B7" s="199" t="s">
        <v>109</v>
      </c>
      <c r="C7" s="199" t="s">
        <v>11</v>
      </c>
      <c r="D7" s="199" t="s">
        <v>12</v>
      </c>
      <c r="E7" s="200">
        <v>43205</v>
      </c>
      <c r="F7" s="201">
        <v>946.17633599999999</v>
      </c>
      <c r="G7" s="202" t="s">
        <v>16</v>
      </c>
      <c r="H7" s="199" t="s">
        <v>14</v>
      </c>
      <c r="I7" s="202">
        <v>1</v>
      </c>
      <c r="J7" s="202" t="s">
        <v>15</v>
      </c>
      <c r="K7" s="202" t="s">
        <v>54</v>
      </c>
      <c r="L7" s="199" t="s">
        <v>110</v>
      </c>
      <c r="M7" s="199" t="s">
        <v>14</v>
      </c>
    </row>
    <row r="8" spans="1:14" s="1" customFormat="1" x14ac:dyDescent="0.2">
      <c r="A8" s="199" t="s">
        <v>108</v>
      </c>
      <c r="B8" s="199" t="s">
        <v>109</v>
      </c>
      <c r="C8" s="199" t="s">
        <v>11</v>
      </c>
      <c r="D8" s="199" t="s">
        <v>12</v>
      </c>
      <c r="E8" s="200">
        <v>43205</v>
      </c>
      <c r="F8" s="201">
        <v>3.79</v>
      </c>
      <c r="G8" s="202" t="s">
        <v>13</v>
      </c>
      <c r="H8" s="199" t="s">
        <v>18</v>
      </c>
      <c r="I8" s="202">
        <v>1</v>
      </c>
      <c r="J8" s="202" t="s">
        <v>15</v>
      </c>
      <c r="K8" s="202" t="s">
        <v>54</v>
      </c>
      <c r="L8" s="199" t="s">
        <v>110</v>
      </c>
      <c r="M8" s="199" t="s">
        <v>17</v>
      </c>
    </row>
    <row r="9" spans="1:14" s="1" customFormat="1" x14ac:dyDescent="0.2">
      <c r="A9" s="199" t="s">
        <v>108</v>
      </c>
      <c r="B9" s="199" t="s">
        <v>109</v>
      </c>
      <c r="C9" s="199" t="s">
        <v>11</v>
      </c>
      <c r="D9" s="199" t="s">
        <v>12</v>
      </c>
      <c r="E9" s="200">
        <v>43205</v>
      </c>
      <c r="F9" s="201">
        <v>142.30191719999999</v>
      </c>
      <c r="G9" s="202" t="s">
        <v>16</v>
      </c>
      <c r="H9" s="199" t="s">
        <v>18</v>
      </c>
      <c r="I9" s="202">
        <v>1</v>
      </c>
      <c r="J9" s="202" t="s">
        <v>15</v>
      </c>
      <c r="K9" s="202" t="s">
        <v>54</v>
      </c>
      <c r="L9" s="199" t="s">
        <v>110</v>
      </c>
      <c r="M9" s="199" t="s">
        <v>17</v>
      </c>
    </row>
    <row r="10" spans="1:14" s="1" customFormat="1" x14ac:dyDescent="0.2">
      <c r="A10" s="199" t="s">
        <v>108</v>
      </c>
      <c r="B10" s="199" t="s">
        <v>109</v>
      </c>
      <c r="C10" s="199" t="s">
        <v>11</v>
      </c>
      <c r="D10" s="199" t="s">
        <v>12</v>
      </c>
      <c r="E10" s="200">
        <v>43198</v>
      </c>
      <c r="F10" s="201">
        <v>24.8</v>
      </c>
      <c r="G10" s="202" t="s">
        <v>13</v>
      </c>
      <c r="H10" s="199" t="s">
        <v>14</v>
      </c>
      <c r="I10" s="202">
        <v>1</v>
      </c>
      <c r="J10" s="202" t="s">
        <v>15</v>
      </c>
      <c r="K10" s="202" t="s">
        <v>54</v>
      </c>
      <c r="L10" s="199" t="s">
        <v>110</v>
      </c>
      <c r="M10" s="199" t="s">
        <v>14</v>
      </c>
    </row>
    <row r="11" spans="1:14" s="1" customFormat="1" x14ac:dyDescent="0.2">
      <c r="A11" s="199" t="s">
        <v>108</v>
      </c>
      <c r="B11" s="199" t="s">
        <v>109</v>
      </c>
      <c r="C11" s="199" t="s">
        <v>11</v>
      </c>
      <c r="D11" s="199" t="s">
        <v>12</v>
      </c>
      <c r="E11" s="200">
        <v>43198</v>
      </c>
      <c r="F11" s="201">
        <v>823.81185600000003</v>
      </c>
      <c r="G11" s="202" t="s">
        <v>16</v>
      </c>
      <c r="H11" s="199" t="s">
        <v>14</v>
      </c>
      <c r="I11" s="202">
        <v>1</v>
      </c>
      <c r="J11" s="202" t="s">
        <v>15</v>
      </c>
      <c r="K11" s="202" t="s">
        <v>54</v>
      </c>
      <c r="L11" s="199" t="s">
        <v>110</v>
      </c>
      <c r="M11" s="199" t="s">
        <v>14</v>
      </c>
    </row>
    <row r="12" spans="1:14" s="1" customFormat="1" x14ac:dyDescent="0.2">
      <c r="A12" s="199" t="s">
        <v>108</v>
      </c>
      <c r="B12" s="199" t="s">
        <v>109</v>
      </c>
      <c r="C12" s="199" t="s">
        <v>11</v>
      </c>
      <c r="D12" s="199" t="s">
        <v>12</v>
      </c>
      <c r="E12" s="200">
        <v>43198</v>
      </c>
      <c r="F12" s="201">
        <v>8.82</v>
      </c>
      <c r="G12" s="202" t="s">
        <v>13</v>
      </c>
      <c r="H12" s="199" t="s">
        <v>18</v>
      </c>
      <c r="I12" s="202">
        <v>1</v>
      </c>
      <c r="J12" s="202" t="s">
        <v>15</v>
      </c>
      <c r="K12" s="202" t="s">
        <v>54</v>
      </c>
      <c r="L12" s="199" t="s">
        <v>110</v>
      </c>
      <c r="M12" s="199" t="s">
        <v>17</v>
      </c>
    </row>
    <row r="13" spans="1:14" s="1" customFormat="1" x14ac:dyDescent="0.2">
      <c r="A13" s="199" t="s">
        <v>108</v>
      </c>
      <c r="B13" s="199" t="s">
        <v>109</v>
      </c>
      <c r="C13" s="199" t="s">
        <v>11</v>
      </c>
      <c r="D13" s="199" t="s">
        <v>12</v>
      </c>
      <c r="E13" s="200">
        <v>43198</v>
      </c>
      <c r="F13" s="201">
        <v>292.98470040000001</v>
      </c>
      <c r="G13" s="202" t="s">
        <v>16</v>
      </c>
      <c r="H13" s="199" t="s">
        <v>18</v>
      </c>
      <c r="I13" s="202">
        <v>1</v>
      </c>
      <c r="J13" s="202" t="s">
        <v>15</v>
      </c>
      <c r="K13" s="202" t="s">
        <v>54</v>
      </c>
      <c r="L13" s="199" t="s">
        <v>110</v>
      </c>
      <c r="M13" s="199" t="s">
        <v>17</v>
      </c>
    </row>
    <row r="14" spans="1:14" s="1" customFormat="1" x14ac:dyDescent="0.2">
      <c r="A14" s="199" t="s">
        <v>108</v>
      </c>
      <c r="B14" s="199" t="s">
        <v>109</v>
      </c>
      <c r="C14" s="199" t="s">
        <v>11</v>
      </c>
      <c r="D14" s="199" t="s">
        <v>12</v>
      </c>
      <c r="E14" s="200">
        <v>43194</v>
      </c>
      <c r="F14" s="201">
        <v>37.1</v>
      </c>
      <c r="G14" s="202" t="s">
        <v>13</v>
      </c>
      <c r="H14" s="199" t="s">
        <v>14</v>
      </c>
      <c r="I14" s="202">
        <v>1</v>
      </c>
      <c r="J14" s="202" t="s">
        <v>15</v>
      </c>
      <c r="K14" s="202" t="s">
        <v>54</v>
      </c>
      <c r="L14" s="199" t="s">
        <v>110</v>
      </c>
      <c r="M14" s="199" t="s">
        <v>14</v>
      </c>
    </row>
    <row r="15" spans="1:14" s="1" customFormat="1" x14ac:dyDescent="0.2">
      <c r="A15" s="199" t="s">
        <v>108</v>
      </c>
      <c r="B15" s="199" t="s">
        <v>109</v>
      </c>
      <c r="C15" s="199" t="s">
        <v>11</v>
      </c>
      <c r="D15" s="199" t="s">
        <v>12</v>
      </c>
      <c r="E15" s="200">
        <v>43194</v>
      </c>
      <c r="F15" s="201">
        <v>1377.8205419999999</v>
      </c>
      <c r="G15" s="202" t="s">
        <v>16</v>
      </c>
      <c r="H15" s="199" t="s">
        <v>14</v>
      </c>
      <c r="I15" s="202">
        <v>1</v>
      </c>
      <c r="J15" s="202" t="s">
        <v>15</v>
      </c>
      <c r="K15" s="202" t="s">
        <v>54</v>
      </c>
      <c r="L15" s="199" t="s">
        <v>110</v>
      </c>
      <c r="M15" s="199" t="s">
        <v>14</v>
      </c>
    </row>
    <row r="16" spans="1:14" s="1" customFormat="1" x14ac:dyDescent="0.2">
      <c r="A16" s="199" t="s">
        <v>108</v>
      </c>
      <c r="B16" s="199" t="s">
        <v>109</v>
      </c>
      <c r="C16" s="199" t="s">
        <v>11</v>
      </c>
      <c r="D16" s="199" t="s">
        <v>12</v>
      </c>
      <c r="E16" s="200">
        <v>43194</v>
      </c>
      <c r="F16" s="201">
        <v>9.14</v>
      </c>
      <c r="G16" s="202" t="s">
        <v>13</v>
      </c>
      <c r="H16" s="199" t="s">
        <v>18</v>
      </c>
      <c r="I16" s="202">
        <v>1</v>
      </c>
      <c r="J16" s="202" t="s">
        <v>15</v>
      </c>
      <c r="K16" s="202" t="s">
        <v>54</v>
      </c>
      <c r="L16" s="199" t="s">
        <v>110</v>
      </c>
      <c r="M16" s="199" t="s">
        <v>17</v>
      </c>
    </row>
    <row r="17" spans="1:13" s="1" customFormat="1" x14ac:dyDescent="0.2">
      <c r="A17" s="199" t="s">
        <v>108</v>
      </c>
      <c r="B17" s="199" t="s">
        <v>109</v>
      </c>
      <c r="C17" s="199" t="s">
        <v>11</v>
      </c>
      <c r="D17" s="199" t="s">
        <v>12</v>
      </c>
      <c r="E17" s="200">
        <v>43194</v>
      </c>
      <c r="F17" s="201">
        <v>339.44150280000002</v>
      </c>
      <c r="G17" s="202" t="s">
        <v>16</v>
      </c>
      <c r="H17" s="199" t="s">
        <v>18</v>
      </c>
      <c r="I17" s="202">
        <v>1</v>
      </c>
      <c r="J17" s="202" t="s">
        <v>15</v>
      </c>
      <c r="K17" s="202" t="s">
        <v>54</v>
      </c>
      <c r="L17" s="199" t="s">
        <v>110</v>
      </c>
      <c r="M17" s="199" t="s">
        <v>17</v>
      </c>
    </row>
    <row r="18" spans="1:13" s="1" customFormat="1" x14ac:dyDescent="0.2">
      <c r="A18" s="199" t="s">
        <v>108</v>
      </c>
      <c r="B18" s="199" t="s">
        <v>109</v>
      </c>
      <c r="C18" s="199" t="s">
        <v>11</v>
      </c>
      <c r="D18" s="199" t="s">
        <v>12</v>
      </c>
      <c r="E18" s="200">
        <v>43184</v>
      </c>
      <c r="F18" s="201">
        <v>26.1</v>
      </c>
      <c r="G18" s="202" t="s">
        <v>13</v>
      </c>
      <c r="H18" s="199" t="s">
        <v>14</v>
      </c>
      <c r="I18" s="202">
        <v>1</v>
      </c>
      <c r="J18" s="202" t="s">
        <v>15</v>
      </c>
      <c r="K18" s="202" t="s">
        <v>54</v>
      </c>
      <c r="L18" s="199" t="s">
        <v>110</v>
      </c>
      <c r="M18" s="199" t="s">
        <v>14</v>
      </c>
    </row>
    <row r="19" spans="1:13" s="1" customFormat="1" x14ac:dyDescent="0.2">
      <c r="A19" s="199" t="s">
        <v>108</v>
      </c>
      <c r="B19" s="199" t="s">
        <v>109</v>
      </c>
      <c r="C19" s="199" t="s">
        <v>11</v>
      </c>
      <c r="D19" s="199" t="s">
        <v>12</v>
      </c>
      <c r="E19" s="200">
        <v>43184</v>
      </c>
      <c r="F19" s="201">
        <v>992.81111399999998</v>
      </c>
      <c r="G19" s="202" t="s">
        <v>16</v>
      </c>
      <c r="H19" s="199" t="s">
        <v>14</v>
      </c>
      <c r="I19" s="202">
        <v>1</v>
      </c>
      <c r="J19" s="202" t="s">
        <v>15</v>
      </c>
      <c r="K19" s="202" t="s">
        <v>54</v>
      </c>
      <c r="L19" s="199" t="s">
        <v>110</v>
      </c>
      <c r="M19" s="199" t="s">
        <v>14</v>
      </c>
    </row>
    <row r="20" spans="1:13" s="1" customFormat="1" x14ac:dyDescent="0.2">
      <c r="A20" s="199" t="s">
        <v>108</v>
      </c>
      <c r="B20" s="199" t="s">
        <v>109</v>
      </c>
      <c r="C20" s="199" t="s">
        <v>11</v>
      </c>
      <c r="D20" s="199" t="s">
        <v>12</v>
      </c>
      <c r="E20" s="200">
        <v>43184</v>
      </c>
      <c r="F20" s="201">
        <v>15.1</v>
      </c>
      <c r="G20" s="202" t="s">
        <v>13</v>
      </c>
      <c r="H20" s="199" t="s">
        <v>18</v>
      </c>
      <c r="I20" s="202">
        <v>1</v>
      </c>
      <c r="J20" s="202" t="s">
        <v>15</v>
      </c>
      <c r="K20" s="202" t="s">
        <v>54</v>
      </c>
      <c r="L20" s="199" t="s">
        <v>110</v>
      </c>
      <c r="M20" s="199" t="s">
        <v>17</v>
      </c>
    </row>
    <row r="21" spans="1:13" s="1" customFormat="1" x14ac:dyDescent="0.2">
      <c r="A21" s="199" t="s">
        <v>108</v>
      </c>
      <c r="B21" s="199" t="s">
        <v>109</v>
      </c>
      <c r="C21" s="199" t="s">
        <v>11</v>
      </c>
      <c r="D21" s="199" t="s">
        <v>12</v>
      </c>
      <c r="E21" s="200">
        <v>43184</v>
      </c>
      <c r="F21" s="201">
        <v>574.38497400000006</v>
      </c>
      <c r="G21" s="202" t="s">
        <v>16</v>
      </c>
      <c r="H21" s="199" t="s">
        <v>18</v>
      </c>
      <c r="I21" s="202">
        <v>1</v>
      </c>
      <c r="J21" s="202" t="s">
        <v>15</v>
      </c>
      <c r="K21" s="202" t="s">
        <v>54</v>
      </c>
      <c r="L21" s="199" t="s">
        <v>110</v>
      </c>
      <c r="M21" s="199" t="s">
        <v>17</v>
      </c>
    </row>
    <row r="22" spans="1:13" s="1" customFormat="1" x14ac:dyDescent="0.2">
      <c r="A22" s="199" t="s">
        <v>108</v>
      </c>
      <c r="B22" s="199" t="s">
        <v>109</v>
      </c>
      <c r="C22" s="199" t="s">
        <v>11</v>
      </c>
      <c r="D22" s="199" t="s">
        <v>12</v>
      </c>
      <c r="E22" s="200">
        <v>43178</v>
      </c>
      <c r="F22" s="201">
        <v>48.9</v>
      </c>
      <c r="G22" s="202" t="s">
        <v>13</v>
      </c>
      <c r="H22" s="199" t="s">
        <v>14</v>
      </c>
      <c r="I22" s="202">
        <v>1</v>
      </c>
      <c r="J22" s="202" t="s">
        <v>15</v>
      </c>
      <c r="K22" s="202" t="s">
        <v>54</v>
      </c>
      <c r="L22" s="199" t="s">
        <v>110</v>
      </c>
      <c r="M22" s="199" t="s">
        <v>14</v>
      </c>
    </row>
    <row r="23" spans="1:13" s="1" customFormat="1" x14ac:dyDescent="0.2">
      <c r="A23" s="199" t="s">
        <v>108</v>
      </c>
      <c r="B23" s="199" t="s">
        <v>109</v>
      </c>
      <c r="C23" s="199" t="s">
        <v>11</v>
      </c>
      <c r="D23" s="199" t="s">
        <v>12</v>
      </c>
      <c r="E23" s="200">
        <v>43178</v>
      </c>
      <c r="F23" s="201">
        <v>1512.2188080000001</v>
      </c>
      <c r="G23" s="202" t="s">
        <v>16</v>
      </c>
      <c r="H23" s="199" t="s">
        <v>14</v>
      </c>
      <c r="I23" s="202">
        <v>1</v>
      </c>
      <c r="J23" s="202" t="s">
        <v>15</v>
      </c>
      <c r="K23" s="202" t="s">
        <v>54</v>
      </c>
      <c r="L23" s="199" t="s">
        <v>110</v>
      </c>
      <c r="M23" s="199" t="s">
        <v>14</v>
      </c>
    </row>
    <row r="24" spans="1:13" s="1" customFormat="1" x14ac:dyDescent="0.2">
      <c r="A24" s="199" t="s">
        <v>108</v>
      </c>
      <c r="B24" s="199" t="s">
        <v>109</v>
      </c>
      <c r="C24" s="199" t="s">
        <v>11</v>
      </c>
      <c r="D24" s="199" t="s">
        <v>12</v>
      </c>
      <c r="E24" s="200">
        <v>43178</v>
      </c>
      <c r="F24" s="201">
        <v>5.55</v>
      </c>
      <c r="G24" s="202" t="s">
        <v>13</v>
      </c>
      <c r="H24" s="199" t="s">
        <v>18</v>
      </c>
      <c r="I24" s="202">
        <v>1</v>
      </c>
      <c r="J24" s="202" t="s">
        <v>15</v>
      </c>
      <c r="K24" s="202" t="s">
        <v>54</v>
      </c>
      <c r="L24" s="199" t="s">
        <v>110</v>
      </c>
      <c r="M24" s="199" t="s">
        <v>17</v>
      </c>
    </row>
    <row r="25" spans="1:13" s="1" customFormat="1" x14ac:dyDescent="0.2">
      <c r="A25" s="199" t="s">
        <v>108</v>
      </c>
      <c r="B25" s="199" t="s">
        <v>109</v>
      </c>
      <c r="C25" s="199" t="s">
        <v>11</v>
      </c>
      <c r="D25" s="199" t="s">
        <v>12</v>
      </c>
      <c r="E25" s="200">
        <v>43178</v>
      </c>
      <c r="F25" s="201">
        <v>171.63219599999999</v>
      </c>
      <c r="G25" s="202" t="s">
        <v>16</v>
      </c>
      <c r="H25" s="199" t="s">
        <v>18</v>
      </c>
      <c r="I25" s="202">
        <v>1</v>
      </c>
      <c r="J25" s="202" t="s">
        <v>15</v>
      </c>
      <c r="K25" s="202" t="s">
        <v>54</v>
      </c>
      <c r="L25" s="199" t="s">
        <v>110</v>
      </c>
      <c r="M25" s="199" t="s">
        <v>17</v>
      </c>
    </row>
    <row r="26" spans="1:13" s="1" customFormat="1" x14ac:dyDescent="0.2">
      <c r="A26" s="199" t="s">
        <v>108</v>
      </c>
      <c r="B26" s="199" t="s">
        <v>109</v>
      </c>
      <c r="C26" s="199" t="s">
        <v>11</v>
      </c>
      <c r="D26" s="199" t="s">
        <v>12</v>
      </c>
      <c r="E26" s="200">
        <v>43171</v>
      </c>
      <c r="F26" s="201">
        <v>33.6</v>
      </c>
      <c r="G26" s="202" t="s">
        <v>13</v>
      </c>
      <c r="H26" s="199" t="s">
        <v>14</v>
      </c>
      <c r="I26" s="202">
        <v>1</v>
      </c>
      <c r="J26" s="202" t="s">
        <v>15</v>
      </c>
      <c r="K26" s="202" t="s">
        <v>54</v>
      </c>
      <c r="L26" s="199" t="s">
        <v>110</v>
      </c>
      <c r="M26" s="199" t="s">
        <v>14</v>
      </c>
    </row>
    <row r="27" spans="1:13" s="1" customFormat="1" x14ac:dyDescent="0.2">
      <c r="A27" s="199" t="s">
        <v>108</v>
      </c>
      <c r="B27" s="199" t="s">
        <v>109</v>
      </c>
      <c r="C27" s="199" t="s">
        <v>11</v>
      </c>
      <c r="D27" s="199" t="s">
        <v>12</v>
      </c>
      <c r="E27" s="200">
        <v>43171</v>
      </c>
      <c r="F27" s="201">
        <v>1191.792672</v>
      </c>
      <c r="G27" s="202" t="s">
        <v>16</v>
      </c>
      <c r="H27" s="199" t="s">
        <v>14</v>
      </c>
      <c r="I27" s="202">
        <v>1</v>
      </c>
      <c r="J27" s="202" t="s">
        <v>15</v>
      </c>
      <c r="K27" s="202" t="s">
        <v>54</v>
      </c>
      <c r="L27" s="199" t="s">
        <v>110</v>
      </c>
      <c r="M27" s="199" t="s">
        <v>14</v>
      </c>
    </row>
    <row r="28" spans="1:13" s="1" customFormat="1" x14ac:dyDescent="0.2">
      <c r="A28" s="199" t="s">
        <v>108</v>
      </c>
      <c r="B28" s="199" t="s">
        <v>109</v>
      </c>
      <c r="C28" s="199" t="s">
        <v>11</v>
      </c>
      <c r="D28" s="199" t="s">
        <v>12</v>
      </c>
      <c r="E28" s="200">
        <v>43171</v>
      </c>
      <c r="F28" s="201">
        <v>4.33</v>
      </c>
      <c r="G28" s="202" t="s">
        <v>13</v>
      </c>
      <c r="H28" s="199" t="s">
        <v>18</v>
      </c>
      <c r="I28" s="202">
        <v>1</v>
      </c>
      <c r="J28" s="202" t="s">
        <v>15</v>
      </c>
      <c r="K28" s="202" t="s">
        <v>54</v>
      </c>
      <c r="L28" s="199" t="s">
        <v>110</v>
      </c>
      <c r="M28" s="199" t="s">
        <v>17</v>
      </c>
    </row>
    <row r="29" spans="1:13" s="1" customFormat="1" x14ac:dyDescent="0.2">
      <c r="A29" s="199" t="s">
        <v>108</v>
      </c>
      <c r="B29" s="199" t="s">
        <v>109</v>
      </c>
      <c r="C29" s="199" t="s">
        <v>11</v>
      </c>
      <c r="D29" s="199" t="s">
        <v>12</v>
      </c>
      <c r="E29" s="200">
        <v>43171</v>
      </c>
      <c r="F29" s="201">
        <v>153.58518659999999</v>
      </c>
      <c r="G29" s="202" t="s">
        <v>16</v>
      </c>
      <c r="H29" s="199" t="s">
        <v>18</v>
      </c>
      <c r="I29" s="202">
        <v>1</v>
      </c>
      <c r="J29" s="202" t="s">
        <v>15</v>
      </c>
      <c r="K29" s="202" t="s">
        <v>54</v>
      </c>
      <c r="L29" s="199" t="s">
        <v>110</v>
      </c>
      <c r="M29" s="199" t="s">
        <v>17</v>
      </c>
    </row>
    <row r="30" spans="1:13" s="1" customFormat="1" x14ac:dyDescent="0.2">
      <c r="A30" s="199" t="s">
        <v>108</v>
      </c>
      <c r="B30" s="199" t="s">
        <v>109</v>
      </c>
      <c r="C30" s="199" t="s">
        <v>11</v>
      </c>
      <c r="D30" s="199" t="s">
        <v>12</v>
      </c>
      <c r="E30" s="200">
        <v>43165</v>
      </c>
      <c r="F30" s="201">
        <v>27.7</v>
      </c>
      <c r="G30" s="202" t="s">
        <v>13</v>
      </c>
      <c r="H30" s="199" t="s">
        <v>14</v>
      </c>
      <c r="I30" s="202">
        <v>1</v>
      </c>
      <c r="J30" s="202" t="s">
        <v>15</v>
      </c>
      <c r="K30" s="202" t="s">
        <v>54</v>
      </c>
      <c r="L30" s="199" t="s">
        <v>110</v>
      </c>
      <c r="M30" s="199" t="s">
        <v>14</v>
      </c>
    </row>
    <row r="31" spans="1:13" s="1" customFormat="1" x14ac:dyDescent="0.2">
      <c r="A31" s="199" t="s">
        <v>108</v>
      </c>
      <c r="B31" s="199" t="s">
        <v>109</v>
      </c>
      <c r="C31" s="199" t="s">
        <v>11</v>
      </c>
      <c r="D31" s="199" t="s">
        <v>12</v>
      </c>
      <c r="E31" s="200">
        <v>43165</v>
      </c>
      <c r="F31" s="201">
        <v>1266.9027120000001</v>
      </c>
      <c r="G31" s="202" t="s">
        <v>16</v>
      </c>
      <c r="H31" s="199" t="s">
        <v>14</v>
      </c>
      <c r="I31" s="202">
        <v>1</v>
      </c>
      <c r="J31" s="202" t="s">
        <v>15</v>
      </c>
      <c r="K31" s="202" t="s">
        <v>54</v>
      </c>
      <c r="L31" s="199" t="s">
        <v>110</v>
      </c>
      <c r="M31" s="199" t="s">
        <v>14</v>
      </c>
    </row>
    <row r="32" spans="1:13" s="1" customFormat="1" x14ac:dyDescent="0.2">
      <c r="A32" s="199" t="s">
        <v>108</v>
      </c>
      <c r="B32" s="199" t="s">
        <v>109</v>
      </c>
      <c r="C32" s="199" t="s">
        <v>11</v>
      </c>
      <c r="D32" s="199" t="s">
        <v>12</v>
      </c>
      <c r="E32" s="200">
        <v>43165</v>
      </c>
      <c r="F32" s="201">
        <v>5.82</v>
      </c>
      <c r="G32" s="202" t="s">
        <v>13</v>
      </c>
      <c r="H32" s="199" t="s">
        <v>18</v>
      </c>
      <c r="I32" s="202">
        <v>1</v>
      </c>
      <c r="J32" s="202" t="s">
        <v>15</v>
      </c>
      <c r="K32" s="202" t="s">
        <v>54</v>
      </c>
      <c r="L32" s="199" t="s">
        <v>110</v>
      </c>
      <c r="M32" s="199" t="s">
        <v>17</v>
      </c>
    </row>
    <row r="33" spans="1:13" s="1" customFormat="1" x14ac:dyDescent="0.2">
      <c r="A33" s="199" t="s">
        <v>108</v>
      </c>
      <c r="B33" s="199" t="s">
        <v>109</v>
      </c>
      <c r="C33" s="199" t="s">
        <v>11</v>
      </c>
      <c r="D33" s="199" t="s">
        <v>12</v>
      </c>
      <c r="E33" s="200">
        <v>43165</v>
      </c>
      <c r="F33" s="201">
        <v>266.18677919999999</v>
      </c>
      <c r="G33" s="202" t="s">
        <v>16</v>
      </c>
      <c r="H33" s="199" t="s">
        <v>18</v>
      </c>
      <c r="I33" s="202">
        <v>1</v>
      </c>
      <c r="J33" s="202" t="s">
        <v>15</v>
      </c>
      <c r="K33" s="202" t="s">
        <v>54</v>
      </c>
      <c r="L33" s="199" t="s">
        <v>110</v>
      </c>
      <c r="M33" s="199" t="s">
        <v>17</v>
      </c>
    </row>
    <row r="34" spans="1:13" s="1" customFormat="1" x14ac:dyDescent="0.2">
      <c r="A34" s="199" t="s">
        <v>108</v>
      </c>
      <c r="B34" s="199" t="s">
        <v>109</v>
      </c>
      <c r="C34" s="199" t="s">
        <v>11</v>
      </c>
      <c r="D34" s="199" t="s">
        <v>12</v>
      </c>
      <c r="E34" s="200">
        <v>43160</v>
      </c>
      <c r="F34" s="201">
        <v>26.7</v>
      </c>
      <c r="G34" s="202" t="s">
        <v>13</v>
      </c>
      <c r="H34" s="199" t="s">
        <v>14</v>
      </c>
      <c r="I34" s="202">
        <v>1</v>
      </c>
      <c r="J34" s="202" t="s">
        <v>15</v>
      </c>
      <c r="K34" s="202" t="s">
        <v>54</v>
      </c>
      <c r="L34" s="199" t="s">
        <v>110</v>
      </c>
      <c r="M34" s="199" t="s">
        <v>14</v>
      </c>
    </row>
    <row r="35" spans="1:13" s="1" customFormat="1" x14ac:dyDescent="0.2">
      <c r="A35" s="199" t="s">
        <v>108</v>
      </c>
      <c r="B35" s="199" t="s">
        <v>109</v>
      </c>
      <c r="C35" s="199" t="s">
        <v>11</v>
      </c>
      <c r="D35" s="199" t="s">
        <v>12</v>
      </c>
      <c r="E35" s="200">
        <v>43160</v>
      </c>
      <c r="F35" s="201">
        <v>1328.9423039999999</v>
      </c>
      <c r="G35" s="202" t="s">
        <v>16</v>
      </c>
      <c r="H35" s="199" t="s">
        <v>14</v>
      </c>
      <c r="I35" s="202">
        <v>1</v>
      </c>
      <c r="J35" s="202" t="s">
        <v>15</v>
      </c>
      <c r="K35" s="202" t="s">
        <v>54</v>
      </c>
      <c r="L35" s="199" t="s">
        <v>110</v>
      </c>
      <c r="M35" s="199" t="s">
        <v>14</v>
      </c>
    </row>
    <row r="36" spans="1:13" s="1" customFormat="1" x14ac:dyDescent="0.2">
      <c r="A36" s="199" t="s">
        <v>108</v>
      </c>
      <c r="B36" s="199" t="s">
        <v>109</v>
      </c>
      <c r="C36" s="199" t="s">
        <v>11</v>
      </c>
      <c r="D36" s="199" t="s">
        <v>12</v>
      </c>
      <c r="E36" s="200">
        <v>43160</v>
      </c>
      <c r="F36" s="201">
        <v>4.2</v>
      </c>
      <c r="G36" s="202" t="s">
        <v>13</v>
      </c>
      <c r="H36" s="199" t="s">
        <v>18</v>
      </c>
      <c r="I36" s="202">
        <v>1</v>
      </c>
      <c r="J36" s="202" t="s">
        <v>15</v>
      </c>
      <c r="K36" s="202" t="s">
        <v>54</v>
      </c>
      <c r="L36" s="199" t="s">
        <v>110</v>
      </c>
      <c r="M36" s="199" t="s">
        <v>17</v>
      </c>
    </row>
    <row r="37" spans="1:13" s="1" customFormat="1" x14ac:dyDescent="0.2">
      <c r="A37" s="199" t="s">
        <v>108</v>
      </c>
      <c r="B37" s="199" t="s">
        <v>109</v>
      </c>
      <c r="C37" s="199" t="s">
        <v>11</v>
      </c>
      <c r="D37" s="199" t="s">
        <v>12</v>
      </c>
      <c r="E37" s="200">
        <v>43160</v>
      </c>
      <c r="F37" s="201">
        <v>209.04710399999999</v>
      </c>
      <c r="G37" s="202" t="s">
        <v>16</v>
      </c>
      <c r="H37" s="199" t="s">
        <v>18</v>
      </c>
      <c r="I37" s="202">
        <v>1</v>
      </c>
      <c r="J37" s="202" t="s">
        <v>15</v>
      </c>
      <c r="K37" s="202" t="s">
        <v>54</v>
      </c>
      <c r="L37" s="199" t="s">
        <v>110</v>
      </c>
      <c r="M37" s="199" t="s">
        <v>17</v>
      </c>
    </row>
    <row r="38" spans="1:13" s="1" customFormat="1" x14ac:dyDescent="0.2">
      <c r="A38" s="199" t="s">
        <v>108</v>
      </c>
      <c r="B38" s="199" t="s">
        <v>109</v>
      </c>
      <c r="C38" s="199" t="s">
        <v>11</v>
      </c>
      <c r="D38" s="199" t="s">
        <v>12</v>
      </c>
      <c r="E38" s="200">
        <v>43153</v>
      </c>
      <c r="F38" s="201">
        <v>4.2</v>
      </c>
      <c r="G38" s="202" t="s">
        <v>13</v>
      </c>
      <c r="H38" s="199" t="s">
        <v>18</v>
      </c>
      <c r="I38" s="202">
        <v>1</v>
      </c>
      <c r="J38" s="202" t="s">
        <v>111</v>
      </c>
      <c r="K38" s="202" t="s">
        <v>54</v>
      </c>
      <c r="L38" s="199" t="s">
        <v>110</v>
      </c>
      <c r="M38" s="199" t="s">
        <v>18</v>
      </c>
    </row>
    <row r="39" spans="1:13" s="1" customFormat="1" x14ac:dyDescent="0.2">
      <c r="A39" s="199" t="s">
        <v>108</v>
      </c>
      <c r="B39" s="199" t="s">
        <v>109</v>
      </c>
      <c r="C39" s="199" t="s">
        <v>11</v>
      </c>
      <c r="D39" s="199" t="s">
        <v>12</v>
      </c>
      <c r="E39" s="200">
        <v>43153</v>
      </c>
      <c r="F39" s="201">
        <v>172.407816</v>
      </c>
      <c r="G39" s="202" t="s">
        <v>16</v>
      </c>
      <c r="H39" s="199" t="s">
        <v>18</v>
      </c>
      <c r="I39" s="202">
        <v>1</v>
      </c>
      <c r="J39" s="202" t="s">
        <v>111</v>
      </c>
      <c r="K39" s="202" t="s">
        <v>54</v>
      </c>
      <c r="L39" s="199" t="s">
        <v>110</v>
      </c>
      <c r="M39" s="199" t="s">
        <v>18</v>
      </c>
    </row>
    <row r="40" spans="1:13" s="1" customFormat="1" x14ac:dyDescent="0.2">
      <c r="A40" s="199" t="s">
        <v>108</v>
      </c>
      <c r="B40" s="199" t="s">
        <v>109</v>
      </c>
      <c r="C40" s="199" t="s">
        <v>11</v>
      </c>
      <c r="D40" s="199" t="s">
        <v>12</v>
      </c>
      <c r="E40" s="200">
        <v>43082</v>
      </c>
      <c r="F40" s="201">
        <v>8.98</v>
      </c>
      <c r="G40" s="202" t="s">
        <v>13</v>
      </c>
      <c r="H40" s="199" t="s">
        <v>18</v>
      </c>
      <c r="I40" s="202">
        <v>1</v>
      </c>
      <c r="J40" s="202" t="s">
        <v>111</v>
      </c>
      <c r="K40" s="202" t="s">
        <v>54</v>
      </c>
      <c r="L40" s="199" t="s">
        <v>110</v>
      </c>
      <c r="M40" s="199" t="s">
        <v>18</v>
      </c>
    </row>
    <row r="41" spans="1:13" s="1" customFormat="1" x14ac:dyDescent="0.2">
      <c r="A41" s="199" t="s">
        <v>108</v>
      </c>
      <c r="B41" s="199" t="s">
        <v>109</v>
      </c>
      <c r="C41" s="199" t="s">
        <v>11</v>
      </c>
      <c r="D41" s="199" t="s">
        <v>12</v>
      </c>
      <c r="E41" s="200">
        <v>43082</v>
      </c>
      <c r="F41" s="201">
        <v>253.13900000000001</v>
      </c>
      <c r="G41" s="202" t="s">
        <v>16</v>
      </c>
      <c r="H41" s="199" t="s">
        <v>18</v>
      </c>
      <c r="I41" s="202">
        <v>1</v>
      </c>
      <c r="J41" s="202" t="s">
        <v>111</v>
      </c>
      <c r="K41" s="202" t="s">
        <v>54</v>
      </c>
      <c r="L41" s="199" t="s">
        <v>110</v>
      </c>
      <c r="M41" s="199" t="s">
        <v>18</v>
      </c>
    </row>
    <row r="42" spans="1:13" s="1" customFormat="1" x14ac:dyDescent="0.2">
      <c r="A42" s="199" t="s">
        <v>108</v>
      </c>
      <c r="B42" s="199" t="s">
        <v>109</v>
      </c>
      <c r="C42" s="199" t="s">
        <v>11</v>
      </c>
      <c r="D42" s="199" t="s">
        <v>12</v>
      </c>
      <c r="E42" s="200">
        <v>43034</v>
      </c>
      <c r="F42" s="201">
        <v>16</v>
      </c>
      <c r="G42" s="202" t="s">
        <v>13</v>
      </c>
      <c r="H42" s="199" t="s">
        <v>18</v>
      </c>
      <c r="I42" s="202">
        <v>1</v>
      </c>
      <c r="J42" s="202" t="s">
        <v>111</v>
      </c>
      <c r="K42" s="202" t="s">
        <v>54</v>
      </c>
      <c r="L42" s="199" t="s">
        <v>110</v>
      </c>
      <c r="M42" s="199" t="s">
        <v>18</v>
      </c>
    </row>
    <row r="43" spans="1:13" s="1" customFormat="1" x14ac:dyDescent="0.2">
      <c r="A43" s="199" t="s">
        <v>108</v>
      </c>
      <c r="B43" s="199" t="s">
        <v>109</v>
      </c>
      <c r="C43" s="199" t="s">
        <v>11</v>
      </c>
      <c r="D43" s="199" t="s">
        <v>12</v>
      </c>
      <c r="E43" s="200">
        <v>43034</v>
      </c>
      <c r="F43" s="201">
        <v>570.32299999999998</v>
      </c>
      <c r="G43" s="202" t="s">
        <v>16</v>
      </c>
      <c r="H43" s="199" t="s">
        <v>18</v>
      </c>
      <c r="I43" s="202">
        <v>1</v>
      </c>
      <c r="J43" s="202" t="s">
        <v>111</v>
      </c>
      <c r="K43" s="202" t="s">
        <v>54</v>
      </c>
      <c r="L43" s="199" t="s">
        <v>110</v>
      </c>
      <c r="M43" s="199" t="s">
        <v>18</v>
      </c>
    </row>
    <row r="44" spans="1:13" s="1" customFormat="1" x14ac:dyDescent="0.2">
      <c r="A44" s="199" t="s">
        <v>108</v>
      </c>
      <c r="B44" s="199" t="s">
        <v>109</v>
      </c>
      <c r="C44" s="199" t="s">
        <v>11</v>
      </c>
      <c r="D44" s="199" t="s">
        <v>12</v>
      </c>
      <c r="E44" s="200">
        <v>42968</v>
      </c>
      <c r="F44" s="201">
        <v>5.61</v>
      </c>
      <c r="G44" s="202" t="s">
        <v>13</v>
      </c>
      <c r="H44" s="199" t="s">
        <v>18</v>
      </c>
      <c r="I44" s="202">
        <v>1</v>
      </c>
      <c r="J44" s="202" t="s">
        <v>111</v>
      </c>
      <c r="K44" s="202" t="s">
        <v>54</v>
      </c>
      <c r="L44" s="199" t="s">
        <v>110</v>
      </c>
      <c r="M44" s="199" t="s">
        <v>18</v>
      </c>
    </row>
    <row r="45" spans="1:13" s="1" customFormat="1" x14ac:dyDescent="0.2">
      <c r="A45" s="199" t="s">
        <v>108</v>
      </c>
      <c r="B45" s="199" t="s">
        <v>109</v>
      </c>
      <c r="C45" s="199" t="s">
        <v>11</v>
      </c>
      <c r="D45" s="199" t="s">
        <v>12</v>
      </c>
      <c r="E45" s="200">
        <v>42968</v>
      </c>
      <c r="F45" s="201">
        <v>191.501</v>
      </c>
      <c r="G45" s="202" t="s">
        <v>16</v>
      </c>
      <c r="H45" s="199" t="s">
        <v>18</v>
      </c>
      <c r="I45" s="202">
        <v>1</v>
      </c>
      <c r="J45" s="202" t="s">
        <v>111</v>
      </c>
      <c r="K45" s="202" t="s">
        <v>54</v>
      </c>
      <c r="L45" s="199" t="s">
        <v>110</v>
      </c>
      <c r="M45" s="199" t="s">
        <v>18</v>
      </c>
    </row>
    <row r="46" spans="1:13" s="1" customFormat="1" x14ac:dyDescent="0.2">
      <c r="A46" s="199" t="s">
        <v>108</v>
      </c>
      <c r="B46" s="199" t="s">
        <v>109</v>
      </c>
      <c r="C46" s="199" t="s">
        <v>11</v>
      </c>
      <c r="D46" s="199" t="s">
        <v>12</v>
      </c>
      <c r="E46" s="200">
        <v>42905</v>
      </c>
      <c r="F46" s="201">
        <v>10.8</v>
      </c>
      <c r="G46" s="202" t="s">
        <v>13</v>
      </c>
      <c r="H46" s="199" t="s">
        <v>18</v>
      </c>
      <c r="I46" s="202">
        <v>1</v>
      </c>
      <c r="J46" s="202" t="s">
        <v>111</v>
      </c>
      <c r="K46" s="202" t="s">
        <v>54</v>
      </c>
      <c r="L46" s="199" t="s">
        <v>110</v>
      </c>
      <c r="M46" s="199" t="s">
        <v>18</v>
      </c>
    </row>
    <row r="47" spans="1:13" s="1" customFormat="1" x14ac:dyDescent="0.2">
      <c r="A47" s="199" t="s">
        <v>108</v>
      </c>
      <c r="B47" s="199" t="s">
        <v>109</v>
      </c>
      <c r="C47" s="199" t="s">
        <v>11</v>
      </c>
      <c r="D47" s="199" t="s">
        <v>12</v>
      </c>
      <c r="E47" s="200">
        <v>42905</v>
      </c>
      <c r="F47" s="201">
        <v>510.52800000000002</v>
      </c>
      <c r="G47" s="202" t="s">
        <v>16</v>
      </c>
      <c r="H47" s="199" t="s">
        <v>18</v>
      </c>
      <c r="I47" s="202">
        <v>1</v>
      </c>
      <c r="J47" s="202" t="s">
        <v>111</v>
      </c>
      <c r="K47" s="202" t="s">
        <v>54</v>
      </c>
      <c r="L47" s="199" t="s">
        <v>110</v>
      </c>
      <c r="M47" s="199" t="s">
        <v>18</v>
      </c>
    </row>
    <row r="48" spans="1:13" s="1" customFormat="1" x14ac:dyDescent="0.2">
      <c r="A48" s="199" t="s">
        <v>108</v>
      </c>
      <c r="B48" s="199" t="s">
        <v>109</v>
      </c>
      <c r="C48" s="199" t="s">
        <v>11</v>
      </c>
      <c r="D48" s="199" t="s">
        <v>12</v>
      </c>
      <c r="E48" s="200">
        <v>42829</v>
      </c>
      <c r="F48" s="201">
        <v>15.2</v>
      </c>
      <c r="G48" s="202" t="s">
        <v>13</v>
      </c>
      <c r="H48" s="199" t="s">
        <v>18</v>
      </c>
      <c r="I48" s="202">
        <v>1</v>
      </c>
      <c r="J48" s="202" t="s">
        <v>111</v>
      </c>
      <c r="K48" s="202" t="s">
        <v>54</v>
      </c>
      <c r="L48" s="199" t="s">
        <v>110</v>
      </c>
      <c r="M48" s="199" t="s">
        <v>18</v>
      </c>
    </row>
    <row r="49" spans="1:13" s="1" customFormat="1" x14ac:dyDescent="0.2">
      <c r="A49" s="199" t="s">
        <v>108</v>
      </c>
      <c r="B49" s="199" t="s">
        <v>109</v>
      </c>
      <c r="C49" s="199" t="s">
        <v>11</v>
      </c>
      <c r="D49" s="199" t="s">
        <v>12</v>
      </c>
      <c r="E49" s="200">
        <v>42829</v>
      </c>
      <c r="F49" s="201">
        <v>688.85699999999997</v>
      </c>
      <c r="G49" s="202" t="s">
        <v>16</v>
      </c>
      <c r="H49" s="199" t="s">
        <v>18</v>
      </c>
      <c r="I49" s="202">
        <v>1</v>
      </c>
      <c r="J49" s="202" t="s">
        <v>111</v>
      </c>
      <c r="K49" s="202" t="s">
        <v>54</v>
      </c>
      <c r="L49" s="199" t="s">
        <v>110</v>
      </c>
      <c r="M49" s="199" t="s">
        <v>18</v>
      </c>
    </row>
    <row r="50" spans="1:13" s="1" customFormat="1" x14ac:dyDescent="0.2">
      <c r="A50" s="199" t="s">
        <v>108</v>
      </c>
      <c r="B50" s="199" t="s">
        <v>109</v>
      </c>
      <c r="C50" s="199" t="s">
        <v>11</v>
      </c>
      <c r="D50" s="199" t="s">
        <v>12</v>
      </c>
      <c r="E50" s="200">
        <v>42771</v>
      </c>
      <c r="F50" s="201">
        <v>6.39</v>
      </c>
      <c r="G50" s="202" t="s">
        <v>13</v>
      </c>
      <c r="H50" s="199" t="s">
        <v>18</v>
      </c>
      <c r="I50" s="202">
        <v>1</v>
      </c>
      <c r="J50" s="202" t="s">
        <v>111</v>
      </c>
      <c r="K50" s="202" t="s">
        <v>54</v>
      </c>
      <c r="L50" s="199" t="s">
        <v>110</v>
      </c>
      <c r="M50" s="199" t="s">
        <v>18</v>
      </c>
    </row>
    <row r="51" spans="1:13" s="1" customFormat="1" x14ac:dyDescent="0.2">
      <c r="A51" s="199" t="s">
        <v>108</v>
      </c>
      <c r="B51" s="199" t="s">
        <v>109</v>
      </c>
      <c r="C51" s="199" t="s">
        <v>11</v>
      </c>
      <c r="D51" s="199" t="s">
        <v>12</v>
      </c>
      <c r="E51" s="200">
        <v>42771</v>
      </c>
      <c r="F51" s="201">
        <v>195.42400000000001</v>
      </c>
      <c r="G51" s="202" t="s">
        <v>16</v>
      </c>
      <c r="H51" s="199" t="s">
        <v>18</v>
      </c>
      <c r="I51" s="202">
        <v>1</v>
      </c>
      <c r="J51" s="202" t="s">
        <v>111</v>
      </c>
      <c r="K51" s="202" t="s">
        <v>54</v>
      </c>
      <c r="L51" s="199" t="s">
        <v>110</v>
      </c>
      <c r="M51" s="199" t="s">
        <v>18</v>
      </c>
    </row>
    <row r="52" spans="1:13" s="1" customFormat="1" x14ac:dyDescent="0.2">
      <c r="A52" s="199" t="s">
        <v>108</v>
      </c>
      <c r="B52" s="199" t="s">
        <v>109</v>
      </c>
      <c r="C52" s="199" t="s">
        <v>11</v>
      </c>
      <c r="D52" s="199" t="s">
        <v>12</v>
      </c>
      <c r="E52" s="200">
        <v>42709</v>
      </c>
      <c r="F52" s="201">
        <v>10.6</v>
      </c>
      <c r="G52" s="202" t="s">
        <v>13</v>
      </c>
      <c r="H52" s="199" t="s">
        <v>18</v>
      </c>
      <c r="I52" s="202">
        <v>1</v>
      </c>
      <c r="J52" s="202" t="s">
        <v>111</v>
      </c>
      <c r="K52" s="202" t="s">
        <v>54</v>
      </c>
      <c r="L52" s="199" t="s">
        <v>110</v>
      </c>
      <c r="M52" s="199" t="s">
        <v>18</v>
      </c>
    </row>
    <row r="53" spans="1:13" s="1" customFormat="1" x14ac:dyDescent="0.2">
      <c r="A53" s="199" t="s">
        <v>108</v>
      </c>
      <c r="B53" s="199" t="s">
        <v>109</v>
      </c>
      <c r="C53" s="199" t="s">
        <v>11</v>
      </c>
      <c r="D53" s="199" t="s">
        <v>12</v>
      </c>
      <c r="E53" s="200">
        <v>42709</v>
      </c>
      <c r="F53" s="201">
        <v>392.95600000000002</v>
      </c>
      <c r="G53" s="202" t="s">
        <v>16</v>
      </c>
      <c r="H53" s="199" t="s">
        <v>18</v>
      </c>
      <c r="I53" s="202">
        <v>1</v>
      </c>
      <c r="J53" s="202" t="s">
        <v>111</v>
      </c>
      <c r="K53" s="202" t="s">
        <v>54</v>
      </c>
      <c r="L53" s="199" t="s">
        <v>110</v>
      </c>
      <c r="M53" s="199" t="s">
        <v>18</v>
      </c>
    </row>
    <row r="54" spans="1:13" s="1" customFormat="1" x14ac:dyDescent="0.2">
      <c r="A54" s="199" t="s">
        <v>108</v>
      </c>
      <c r="B54" s="199" t="s">
        <v>109</v>
      </c>
      <c r="C54" s="199" t="s">
        <v>11</v>
      </c>
      <c r="D54" s="199" t="s">
        <v>12</v>
      </c>
      <c r="E54" s="200">
        <v>42661</v>
      </c>
      <c r="F54" s="201">
        <v>7.54</v>
      </c>
      <c r="G54" s="202" t="s">
        <v>13</v>
      </c>
      <c r="H54" s="199" t="s">
        <v>18</v>
      </c>
      <c r="I54" s="202">
        <v>1</v>
      </c>
      <c r="J54" s="202" t="s">
        <v>111</v>
      </c>
      <c r="K54" s="202" t="s">
        <v>54</v>
      </c>
      <c r="L54" s="199" t="s">
        <v>110</v>
      </c>
      <c r="M54" s="199" t="s">
        <v>18</v>
      </c>
    </row>
    <row r="55" spans="1:13" s="1" customFormat="1" x14ac:dyDescent="0.2">
      <c r="A55" s="199" t="s">
        <v>108</v>
      </c>
      <c r="B55" s="199" t="s">
        <v>109</v>
      </c>
      <c r="C55" s="199" t="s">
        <v>11</v>
      </c>
      <c r="D55" s="199" t="s">
        <v>12</v>
      </c>
      <c r="E55" s="200">
        <v>42661</v>
      </c>
      <c r="F55" s="201">
        <v>353.65699999999998</v>
      </c>
      <c r="G55" s="202" t="s">
        <v>16</v>
      </c>
      <c r="H55" s="199" t="s">
        <v>18</v>
      </c>
      <c r="I55" s="202">
        <v>1</v>
      </c>
      <c r="J55" s="202" t="s">
        <v>111</v>
      </c>
      <c r="K55" s="202" t="s">
        <v>54</v>
      </c>
      <c r="L55" s="199" t="s">
        <v>110</v>
      </c>
      <c r="M55" s="199" t="s">
        <v>18</v>
      </c>
    </row>
    <row r="56" spans="1:13" s="1" customFormat="1" x14ac:dyDescent="0.2">
      <c r="A56" s="199" t="s">
        <v>108</v>
      </c>
      <c r="B56" s="199" t="s">
        <v>109</v>
      </c>
      <c r="C56" s="199" t="s">
        <v>11</v>
      </c>
      <c r="D56" s="199" t="s">
        <v>12</v>
      </c>
      <c r="E56" s="200">
        <v>42585</v>
      </c>
      <c r="F56" s="201">
        <v>7.69</v>
      </c>
      <c r="G56" s="202" t="s">
        <v>13</v>
      </c>
      <c r="H56" s="199" t="s">
        <v>18</v>
      </c>
      <c r="I56" s="202">
        <v>1</v>
      </c>
      <c r="J56" s="202" t="s">
        <v>111</v>
      </c>
      <c r="K56" s="202" t="s">
        <v>54</v>
      </c>
      <c r="L56" s="199" t="s">
        <v>110</v>
      </c>
      <c r="M56" s="199" t="s">
        <v>18</v>
      </c>
    </row>
    <row r="57" spans="1:13" s="1" customFormat="1" x14ac:dyDescent="0.2">
      <c r="A57" s="199" t="s">
        <v>108</v>
      </c>
      <c r="B57" s="199" t="s">
        <v>109</v>
      </c>
      <c r="C57" s="199" t="s">
        <v>11</v>
      </c>
      <c r="D57" s="199" t="s">
        <v>12</v>
      </c>
      <c r="E57" s="200">
        <v>42585</v>
      </c>
      <c r="F57" s="201">
        <v>340.23399999999998</v>
      </c>
      <c r="G57" s="202" t="s">
        <v>16</v>
      </c>
      <c r="H57" s="199" t="s">
        <v>18</v>
      </c>
      <c r="I57" s="202">
        <v>1</v>
      </c>
      <c r="J57" s="202" t="s">
        <v>111</v>
      </c>
      <c r="K57" s="202" t="s">
        <v>54</v>
      </c>
      <c r="L57" s="199" t="s">
        <v>110</v>
      </c>
      <c r="M57" s="199" t="s">
        <v>18</v>
      </c>
    </row>
    <row r="58" spans="1:13" s="1" customFormat="1" x14ac:dyDescent="0.2">
      <c r="A58" s="199" t="s">
        <v>108</v>
      </c>
      <c r="B58" s="199" t="s">
        <v>109</v>
      </c>
      <c r="C58" s="199" t="s">
        <v>11</v>
      </c>
      <c r="D58" s="199" t="s">
        <v>12</v>
      </c>
      <c r="E58" s="200">
        <v>42536</v>
      </c>
      <c r="F58" s="201">
        <v>4.3099999999999996</v>
      </c>
      <c r="G58" s="202" t="s">
        <v>13</v>
      </c>
      <c r="H58" s="199" t="s">
        <v>18</v>
      </c>
      <c r="I58" s="202">
        <v>1</v>
      </c>
      <c r="J58" s="202" t="s">
        <v>111</v>
      </c>
      <c r="K58" s="202" t="s">
        <v>54</v>
      </c>
      <c r="L58" s="199" t="s">
        <v>110</v>
      </c>
      <c r="M58" s="199" t="s">
        <v>18</v>
      </c>
    </row>
    <row r="59" spans="1:13" s="1" customFormat="1" x14ac:dyDescent="0.2">
      <c r="A59" s="199" t="s">
        <v>108</v>
      </c>
      <c r="B59" s="199" t="s">
        <v>109</v>
      </c>
      <c r="C59" s="199" t="s">
        <v>11</v>
      </c>
      <c r="D59" s="199" t="s">
        <v>12</v>
      </c>
      <c r="E59" s="200">
        <v>42536</v>
      </c>
      <c r="F59" s="201">
        <v>367.14600000000002</v>
      </c>
      <c r="G59" s="202" t="s">
        <v>16</v>
      </c>
      <c r="H59" s="199" t="s">
        <v>18</v>
      </c>
      <c r="I59" s="202">
        <v>1</v>
      </c>
      <c r="J59" s="202" t="s">
        <v>111</v>
      </c>
      <c r="K59" s="202" t="s">
        <v>54</v>
      </c>
      <c r="L59" s="199" t="s">
        <v>110</v>
      </c>
      <c r="M59" s="199" t="s">
        <v>18</v>
      </c>
    </row>
    <row r="60" spans="1:13" s="1" customFormat="1" x14ac:dyDescent="0.2">
      <c r="A60" s="199" t="s">
        <v>108</v>
      </c>
      <c r="B60" s="199" t="s">
        <v>109</v>
      </c>
      <c r="C60" s="199" t="s">
        <v>19</v>
      </c>
      <c r="D60" s="199" t="s">
        <v>12</v>
      </c>
      <c r="E60" s="200">
        <v>43213</v>
      </c>
      <c r="F60" s="201">
        <v>4.4000000000000004</v>
      </c>
      <c r="G60" s="202" t="s">
        <v>13</v>
      </c>
      <c r="H60" s="199" t="s">
        <v>14</v>
      </c>
      <c r="I60" s="202">
        <v>1</v>
      </c>
      <c r="J60" s="202" t="s">
        <v>15</v>
      </c>
      <c r="K60" s="202" t="s">
        <v>54</v>
      </c>
      <c r="L60" s="199" t="s">
        <v>110</v>
      </c>
      <c r="M60" s="199" t="s">
        <v>14</v>
      </c>
    </row>
    <row r="61" spans="1:13" s="1" customFormat="1" x14ac:dyDescent="0.2">
      <c r="A61" s="199" t="s">
        <v>108</v>
      </c>
      <c r="B61" s="199" t="s">
        <v>109</v>
      </c>
      <c r="C61" s="199" t="s">
        <v>19</v>
      </c>
      <c r="D61" s="199" t="s">
        <v>12</v>
      </c>
      <c r="E61" s="200">
        <v>43213</v>
      </c>
      <c r="F61" s="201">
        <v>147.481224</v>
      </c>
      <c r="G61" s="202" t="s">
        <v>16</v>
      </c>
      <c r="H61" s="199" t="s">
        <v>14</v>
      </c>
      <c r="I61" s="202">
        <v>1</v>
      </c>
      <c r="J61" s="202" t="s">
        <v>15</v>
      </c>
      <c r="K61" s="202" t="s">
        <v>54</v>
      </c>
      <c r="L61" s="199" t="s">
        <v>110</v>
      </c>
      <c r="M61" s="199" t="s">
        <v>14</v>
      </c>
    </row>
    <row r="62" spans="1:13" s="1" customFormat="1" x14ac:dyDescent="0.2">
      <c r="A62" s="199" t="s">
        <v>108</v>
      </c>
      <c r="B62" s="199" t="s">
        <v>109</v>
      </c>
      <c r="C62" s="199" t="s">
        <v>19</v>
      </c>
      <c r="D62" s="199" t="s">
        <v>12</v>
      </c>
      <c r="E62" s="200">
        <v>43213</v>
      </c>
      <c r="F62" s="201">
        <v>0.40100000000000002</v>
      </c>
      <c r="G62" s="202" t="s">
        <v>13</v>
      </c>
      <c r="H62" s="199" t="s">
        <v>18</v>
      </c>
      <c r="I62" s="202">
        <v>1</v>
      </c>
      <c r="J62" s="202" t="s">
        <v>15</v>
      </c>
      <c r="K62" s="202" t="s">
        <v>54</v>
      </c>
      <c r="L62" s="199" t="s">
        <v>110</v>
      </c>
      <c r="M62" s="199" t="s">
        <v>17</v>
      </c>
    </row>
    <row r="63" spans="1:13" s="1" customFormat="1" x14ac:dyDescent="0.2">
      <c r="A63" s="199" t="s">
        <v>108</v>
      </c>
      <c r="B63" s="199" t="s">
        <v>109</v>
      </c>
      <c r="C63" s="199" t="s">
        <v>19</v>
      </c>
      <c r="D63" s="199" t="s">
        <v>12</v>
      </c>
      <c r="E63" s="200">
        <v>43213</v>
      </c>
      <c r="F63" s="201">
        <v>13.440902400000001</v>
      </c>
      <c r="G63" s="202" t="s">
        <v>16</v>
      </c>
      <c r="H63" s="199" t="s">
        <v>18</v>
      </c>
      <c r="I63" s="202">
        <v>1</v>
      </c>
      <c r="J63" s="202" t="s">
        <v>15</v>
      </c>
      <c r="K63" s="202" t="s">
        <v>54</v>
      </c>
      <c r="L63" s="199" t="s">
        <v>110</v>
      </c>
      <c r="M63" s="199" t="s">
        <v>17</v>
      </c>
    </row>
    <row r="64" spans="1:13" s="1" customFormat="1" x14ac:dyDescent="0.2">
      <c r="A64" s="199" t="s">
        <v>108</v>
      </c>
      <c r="B64" s="199" t="s">
        <v>109</v>
      </c>
      <c r="C64" s="199" t="s">
        <v>19</v>
      </c>
      <c r="D64" s="199" t="s">
        <v>12</v>
      </c>
      <c r="E64" s="200">
        <v>43205</v>
      </c>
      <c r="F64" s="201">
        <v>4.01</v>
      </c>
      <c r="G64" s="202" t="s">
        <v>13</v>
      </c>
      <c r="H64" s="199" t="s">
        <v>14</v>
      </c>
      <c r="I64" s="202">
        <v>1</v>
      </c>
      <c r="J64" s="202" t="s">
        <v>15</v>
      </c>
      <c r="K64" s="202" t="s">
        <v>54</v>
      </c>
      <c r="L64" s="199" t="s">
        <v>110</v>
      </c>
      <c r="M64" s="199" t="s">
        <v>14</v>
      </c>
    </row>
    <row r="65" spans="1:13" s="1" customFormat="1" x14ac:dyDescent="0.2">
      <c r="A65" s="199" t="s">
        <v>108</v>
      </c>
      <c r="B65" s="199" t="s">
        <v>109</v>
      </c>
      <c r="C65" s="199" t="s">
        <v>19</v>
      </c>
      <c r="D65" s="199" t="s">
        <v>12</v>
      </c>
      <c r="E65" s="200">
        <v>43205</v>
      </c>
      <c r="F65" s="201">
        <v>150.56218680000001</v>
      </c>
      <c r="G65" s="202" t="s">
        <v>16</v>
      </c>
      <c r="H65" s="199" t="s">
        <v>14</v>
      </c>
      <c r="I65" s="202">
        <v>1</v>
      </c>
      <c r="J65" s="202" t="s">
        <v>15</v>
      </c>
      <c r="K65" s="202" t="s">
        <v>54</v>
      </c>
      <c r="L65" s="199" t="s">
        <v>110</v>
      </c>
      <c r="M65" s="199" t="s">
        <v>14</v>
      </c>
    </row>
    <row r="66" spans="1:13" s="1" customFormat="1" x14ac:dyDescent="0.2">
      <c r="A66" s="199" t="s">
        <v>108</v>
      </c>
      <c r="B66" s="199" t="s">
        <v>109</v>
      </c>
      <c r="C66" s="199" t="s">
        <v>19</v>
      </c>
      <c r="D66" s="199" t="s">
        <v>12</v>
      </c>
      <c r="E66" s="200">
        <v>43205</v>
      </c>
      <c r="F66" s="201">
        <v>0.215</v>
      </c>
      <c r="G66" s="202" t="s">
        <v>13</v>
      </c>
      <c r="H66" s="199" t="s">
        <v>18</v>
      </c>
      <c r="I66" s="202">
        <v>1</v>
      </c>
      <c r="J66" s="202" t="s">
        <v>15</v>
      </c>
      <c r="K66" s="202" t="s">
        <v>54</v>
      </c>
      <c r="L66" s="199" t="s">
        <v>110</v>
      </c>
      <c r="M66" s="199" t="s">
        <v>17</v>
      </c>
    </row>
    <row r="67" spans="1:13" s="1" customFormat="1" x14ac:dyDescent="0.2">
      <c r="A67" s="199" t="s">
        <v>108</v>
      </c>
      <c r="B67" s="199" t="s">
        <v>109</v>
      </c>
      <c r="C67" s="199" t="s">
        <v>19</v>
      </c>
      <c r="D67" s="199" t="s">
        <v>12</v>
      </c>
      <c r="E67" s="200">
        <v>43205</v>
      </c>
      <c r="F67" s="201">
        <v>8.0725362000000001</v>
      </c>
      <c r="G67" s="202" t="s">
        <v>16</v>
      </c>
      <c r="H67" s="199" t="s">
        <v>18</v>
      </c>
      <c r="I67" s="202">
        <v>1</v>
      </c>
      <c r="J67" s="202" t="s">
        <v>15</v>
      </c>
      <c r="K67" s="202" t="s">
        <v>54</v>
      </c>
      <c r="L67" s="199" t="s">
        <v>110</v>
      </c>
      <c r="M67" s="199" t="s">
        <v>17</v>
      </c>
    </row>
    <row r="68" spans="1:13" s="1" customFormat="1" x14ac:dyDescent="0.2">
      <c r="A68" s="199" t="s">
        <v>108</v>
      </c>
      <c r="B68" s="199" t="s">
        <v>109</v>
      </c>
      <c r="C68" s="199" t="s">
        <v>19</v>
      </c>
      <c r="D68" s="199" t="s">
        <v>12</v>
      </c>
      <c r="E68" s="200">
        <v>43198</v>
      </c>
      <c r="F68" s="201">
        <v>3.39</v>
      </c>
      <c r="G68" s="202" t="s">
        <v>13</v>
      </c>
      <c r="H68" s="199" t="s">
        <v>14</v>
      </c>
      <c r="I68" s="202">
        <v>1</v>
      </c>
      <c r="J68" s="202" t="s">
        <v>15</v>
      </c>
      <c r="K68" s="202" t="s">
        <v>54</v>
      </c>
      <c r="L68" s="199" t="s">
        <v>110</v>
      </c>
      <c r="M68" s="199" t="s">
        <v>14</v>
      </c>
    </row>
    <row r="69" spans="1:13" s="1" customFormat="1" x14ac:dyDescent="0.2">
      <c r="A69" s="199" t="s">
        <v>108</v>
      </c>
      <c r="B69" s="199" t="s">
        <v>109</v>
      </c>
      <c r="C69" s="199" t="s">
        <v>19</v>
      </c>
      <c r="D69" s="199" t="s">
        <v>12</v>
      </c>
      <c r="E69" s="200">
        <v>43198</v>
      </c>
      <c r="F69" s="201">
        <v>112.60976580000001</v>
      </c>
      <c r="G69" s="202" t="s">
        <v>16</v>
      </c>
      <c r="H69" s="199" t="s">
        <v>14</v>
      </c>
      <c r="I69" s="202">
        <v>1</v>
      </c>
      <c r="J69" s="202" t="s">
        <v>15</v>
      </c>
      <c r="K69" s="202" t="s">
        <v>54</v>
      </c>
      <c r="L69" s="199" t="s">
        <v>110</v>
      </c>
      <c r="M69" s="199" t="s">
        <v>14</v>
      </c>
    </row>
    <row r="70" spans="1:13" s="1" customFormat="1" x14ac:dyDescent="0.2">
      <c r="A70" s="199" t="s">
        <v>108</v>
      </c>
      <c r="B70" s="199" t="s">
        <v>109</v>
      </c>
      <c r="C70" s="199" t="s">
        <v>19</v>
      </c>
      <c r="D70" s="199" t="s">
        <v>12</v>
      </c>
      <c r="E70" s="200">
        <v>43198</v>
      </c>
      <c r="F70" s="201">
        <v>0.30599999999999999</v>
      </c>
      <c r="G70" s="202" t="s">
        <v>13</v>
      </c>
      <c r="H70" s="199" t="s">
        <v>18</v>
      </c>
      <c r="I70" s="202">
        <v>1</v>
      </c>
      <c r="J70" s="202" t="s">
        <v>15</v>
      </c>
      <c r="K70" s="202" t="s">
        <v>54</v>
      </c>
      <c r="L70" s="199" t="s">
        <v>110</v>
      </c>
      <c r="M70" s="199" t="s">
        <v>17</v>
      </c>
    </row>
    <row r="71" spans="1:13" s="1" customFormat="1" x14ac:dyDescent="0.2">
      <c r="A71" s="199" t="s">
        <v>108</v>
      </c>
      <c r="B71" s="199" t="s">
        <v>109</v>
      </c>
      <c r="C71" s="199" t="s">
        <v>19</v>
      </c>
      <c r="D71" s="199" t="s">
        <v>12</v>
      </c>
      <c r="E71" s="200">
        <v>43198</v>
      </c>
      <c r="F71" s="201">
        <v>10.164775300000001</v>
      </c>
      <c r="G71" s="202" t="s">
        <v>16</v>
      </c>
      <c r="H71" s="199" t="s">
        <v>18</v>
      </c>
      <c r="I71" s="202">
        <v>1</v>
      </c>
      <c r="J71" s="202" t="s">
        <v>15</v>
      </c>
      <c r="K71" s="202" t="s">
        <v>54</v>
      </c>
      <c r="L71" s="199" t="s">
        <v>110</v>
      </c>
      <c r="M71" s="199" t="s">
        <v>17</v>
      </c>
    </row>
    <row r="72" spans="1:13" s="1" customFormat="1" x14ac:dyDescent="0.2">
      <c r="A72" s="199" t="s">
        <v>108</v>
      </c>
      <c r="B72" s="199" t="s">
        <v>109</v>
      </c>
      <c r="C72" s="199" t="s">
        <v>19</v>
      </c>
      <c r="D72" s="199" t="s">
        <v>12</v>
      </c>
      <c r="E72" s="200">
        <v>43194</v>
      </c>
      <c r="F72" s="201">
        <v>5.08</v>
      </c>
      <c r="G72" s="202" t="s">
        <v>13</v>
      </c>
      <c r="H72" s="199" t="s">
        <v>14</v>
      </c>
      <c r="I72" s="202">
        <v>1</v>
      </c>
      <c r="J72" s="202" t="s">
        <v>15</v>
      </c>
      <c r="K72" s="202" t="s">
        <v>54</v>
      </c>
      <c r="L72" s="199" t="s">
        <v>110</v>
      </c>
      <c r="M72" s="199" t="s">
        <v>14</v>
      </c>
    </row>
    <row r="73" spans="1:13" s="1" customFormat="1" x14ac:dyDescent="0.2">
      <c r="A73" s="199" t="s">
        <v>108</v>
      </c>
      <c r="B73" s="199" t="s">
        <v>109</v>
      </c>
      <c r="C73" s="199" t="s">
        <v>19</v>
      </c>
      <c r="D73" s="199" t="s">
        <v>12</v>
      </c>
      <c r="E73" s="200">
        <v>43194</v>
      </c>
      <c r="F73" s="201">
        <v>188.66114160000001</v>
      </c>
      <c r="G73" s="202" t="s">
        <v>16</v>
      </c>
      <c r="H73" s="199" t="s">
        <v>14</v>
      </c>
      <c r="I73" s="202">
        <v>1</v>
      </c>
      <c r="J73" s="202" t="s">
        <v>15</v>
      </c>
      <c r="K73" s="202" t="s">
        <v>54</v>
      </c>
      <c r="L73" s="199" t="s">
        <v>110</v>
      </c>
      <c r="M73" s="199" t="s">
        <v>14</v>
      </c>
    </row>
    <row r="74" spans="1:13" s="1" customFormat="1" x14ac:dyDescent="0.2">
      <c r="A74" s="199" t="s">
        <v>108</v>
      </c>
      <c r="B74" s="199" t="s">
        <v>109</v>
      </c>
      <c r="C74" s="199" t="s">
        <v>19</v>
      </c>
      <c r="D74" s="199" t="s">
        <v>12</v>
      </c>
      <c r="E74" s="200">
        <v>43194</v>
      </c>
      <c r="F74" s="201">
        <v>0.33200000000000002</v>
      </c>
      <c r="G74" s="202" t="s">
        <v>13</v>
      </c>
      <c r="H74" s="199" t="s">
        <v>18</v>
      </c>
      <c r="I74" s="202">
        <v>1</v>
      </c>
      <c r="J74" s="202" t="s">
        <v>15</v>
      </c>
      <c r="K74" s="202" t="s">
        <v>54</v>
      </c>
      <c r="L74" s="199" t="s">
        <v>110</v>
      </c>
      <c r="M74" s="199" t="s">
        <v>17</v>
      </c>
    </row>
    <row r="75" spans="1:13" s="1" customFormat="1" x14ac:dyDescent="0.2">
      <c r="A75" s="199" t="s">
        <v>108</v>
      </c>
      <c r="B75" s="199" t="s">
        <v>109</v>
      </c>
      <c r="C75" s="199" t="s">
        <v>19</v>
      </c>
      <c r="D75" s="199" t="s">
        <v>12</v>
      </c>
      <c r="E75" s="200">
        <v>43194</v>
      </c>
      <c r="F75" s="201">
        <v>12.3298226</v>
      </c>
      <c r="G75" s="202" t="s">
        <v>16</v>
      </c>
      <c r="H75" s="199" t="s">
        <v>18</v>
      </c>
      <c r="I75" s="202">
        <v>1</v>
      </c>
      <c r="J75" s="202" t="s">
        <v>15</v>
      </c>
      <c r="K75" s="202" t="s">
        <v>54</v>
      </c>
      <c r="L75" s="199" t="s">
        <v>110</v>
      </c>
      <c r="M75" s="199" t="s">
        <v>17</v>
      </c>
    </row>
    <row r="76" spans="1:13" s="1" customFormat="1" x14ac:dyDescent="0.2">
      <c r="A76" s="199" t="s">
        <v>108</v>
      </c>
      <c r="B76" s="199" t="s">
        <v>109</v>
      </c>
      <c r="C76" s="199" t="s">
        <v>19</v>
      </c>
      <c r="D76" s="199" t="s">
        <v>12</v>
      </c>
      <c r="E76" s="200">
        <v>43184</v>
      </c>
      <c r="F76" s="201">
        <v>4.34</v>
      </c>
      <c r="G76" s="202" t="s">
        <v>13</v>
      </c>
      <c r="H76" s="199" t="s">
        <v>14</v>
      </c>
      <c r="I76" s="202">
        <v>1</v>
      </c>
      <c r="J76" s="202" t="s">
        <v>15</v>
      </c>
      <c r="K76" s="202" t="s">
        <v>54</v>
      </c>
      <c r="L76" s="199" t="s">
        <v>110</v>
      </c>
      <c r="M76" s="199" t="s">
        <v>14</v>
      </c>
    </row>
    <row r="77" spans="1:13" s="1" customFormat="1" x14ac:dyDescent="0.2">
      <c r="A77" s="199" t="s">
        <v>108</v>
      </c>
      <c r="B77" s="199" t="s">
        <v>109</v>
      </c>
      <c r="C77" s="199" t="s">
        <v>19</v>
      </c>
      <c r="D77" s="199" t="s">
        <v>12</v>
      </c>
      <c r="E77" s="200">
        <v>43184</v>
      </c>
      <c r="F77" s="201">
        <v>165.0881316</v>
      </c>
      <c r="G77" s="202" t="s">
        <v>16</v>
      </c>
      <c r="H77" s="199" t="s">
        <v>14</v>
      </c>
      <c r="I77" s="202">
        <v>1</v>
      </c>
      <c r="J77" s="202" t="s">
        <v>15</v>
      </c>
      <c r="K77" s="202" t="s">
        <v>54</v>
      </c>
      <c r="L77" s="199" t="s">
        <v>110</v>
      </c>
      <c r="M77" s="199" t="s">
        <v>14</v>
      </c>
    </row>
    <row r="78" spans="1:13" s="1" customFormat="1" x14ac:dyDescent="0.2">
      <c r="A78" s="199" t="s">
        <v>108</v>
      </c>
      <c r="B78" s="199" t="s">
        <v>109</v>
      </c>
      <c r="C78" s="199" t="s">
        <v>19</v>
      </c>
      <c r="D78" s="199" t="s">
        <v>12</v>
      </c>
      <c r="E78" s="200">
        <v>43184</v>
      </c>
      <c r="F78" s="201">
        <v>0.34599999999999997</v>
      </c>
      <c r="G78" s="202" t="s">
        <v>13</v>
      </c>
      <c r="H78" s="199" t="s">
        <v>18</v>
      </c>
      <c r="I78" s="202">
        <v>1</v>
      </c>
      <c r="J78" s="202" t="s">
        <v>15</v>
      </c>
      <c r="K78" s="202" t="s">
        <v>54</v>
      </c>
      <c r="L78" s="199" t="s">
        <v>110</v>
      </c>
      <c r="M78" s="199" t="s">
        <v>17</v>
      </c>
    </row>
    <row r="79" spans="1:13" s="1" customFormat="1" x14ac:dyDescent="0.2">
      <c r="A79" s="199" t="s">
        <v>108</v>
      </c>
      <c r="B79" s="199" t="s">
        <v>109</v>
      </c>
      <c r="C79" s="199" t="s">
        <v>19</v>
      </c>
      <c r="D79" s="199" t="s">
        <v>12</v>
      </c>
      <c r="E79" s="200">
        <v>43184</v>
      </c>
      <c r="F79" s="201">
        <v>13.161403999999999</v>
      </c>
      <c r="G79" s="202" t="s">
        <v>16</v>
      </c>
      <c r="H79" s="199" t="s">
        <v>18</v>
      </c>
      <c r="I79" s="202">
        <v>1</v>
      </c>
      <c r="J79" s="202" t="s">
        <v>15</v>
      </c>
      <c r="K79" s="202" t="s">
        <v>54</v>
      </c>
      <c r="L79" s="199" t="s">
        <v>110</v>
      </c>
      <c r="M79" s="199" t="s">
        <v>17</v>
      </c>
    </row>
    <row r="80" spans="1:13" s="1" customFormat="1" x14ac:dyDescent="0.2">
      <c r="A80" s="199" t="s">
        <v>108</v>
      </c>
      <c r="B80" s="199" t="s">
        <v>109</v>
      </c>
      <c r="C80" s="199" t="s">
        <v>19</v>
      </c>
      <c r="D80" s="199" t="s">
        <v>12</v>
      </c>
      <c r="E80" s="200">
        <v>43178</v>
      </c>
      <c r="F80" s="201">
        <v>7.56</v>
      </c>
      <c r="G80" s="202" t="s">
        <v>13</v>
      </c>
      <c r="H80" s="199" t="s">
        <v>14</v>
      </c>
      <c r="I80" s="202">
        <v>1</v>
      </c>
      <c r="J80" s="202" t="s">
        <v>15</v>
      </c>
      <c r="K80" s="202" t="s">
        <v>54</v>
      </c>
      <c r="L80" s="199" t="s">
        <v>110</v>
      </c>
      <c r="M80" s="199" t="s">
        <v>14</v>
      </c>
    </row>
    <row r="81" spans="1:13" s="1" customFormat="1" x14ac:dyDescent="0.2">
      <c r="A81" s="199" t="s">
        <v>108</v>
      </c>
      <c r="B81" s="199" t="s">
        <v>109</v>
      </c>
      <c r="C81" s="199" t="s">
        <v>19</v>
      </c>
      <c r="D81" s="199" t="s">
        <v>12</v>
      </c>
      <c r="E81" s="200">
        <v>43178</v>
      </c>
      <c r="F81" s="201">
        <v>233.7908832</v>
      </c>
      <c r="G81" s="202" t="s">
        <v>16</v>
      </c>
      <c r="H81" s="199" t="s">
        <v>14</v>
      </c>
      <c r="I81" s="202">
        <v>1</v>
      </c>
      <c r="J81" s="202" t="s">
        <v>15</v>
      </c>
      <c r="K81" s="202" t="s">
        <v>54</v>
      </c>
      <c r="L81" s="199" t="s">
        <v>110</v>
      </c>
      <c r="M81" s="199" t="s">
        <v>14</v>
      </c>
    </row>
    <row r="82" spans="1:13" s="1" customFormat="1" x14ac:dyDescent="0.2">
      <c r="A82" s="199" t="s">
        <v>108</v>
      </c>
      <c r="B82" s="199" t="s">
        <v>109</v>
      </c>
      <c r="C82" s="199" t="s">
        <v>19</v>
      </c>
      <c r="D82" s="199" t="s">
        <v>12</v>
      </c>
      <c r="E82" s="200">
        <v>43178</v>
      </c>
      <c r="F82" s="201">
        <v>1.1299999999999999</v>
      </c>
      <c r="G82" s="202" t="s">
        <v>13</v>
      </c>
      <c r="H82" s="199" t="s">
        <v>18</v>
      </c>
      <c r="I82" s="202">
        <v>1</v>
      </c>
      <c r="J82" s="202" t="s">
        <v>15</v>
      </c>
      <c r="K82" s="202" t="s">
        <v>54</v>
      </c>
      <c r="L82" s="199" t="s">
        <v>110</v>
      </c>
      <c r="M82" s="199" t="s">
        <v>17</v>
      </c>
    </row>
    <row r="83" spans="1:13" s="1" customFormat="1" x14ac:dyDescent="0.2">
      <c r="A83" s="199" t="s">
        <v>108</v>
      </c>
      <c r="B83" s="199" t="s">
        <v>109</v>
      </c>
      <c r="C83" s="199" t="s">
        <v>19</v>
      </c>
      <c r="D83" s="199" t="s">
        <v>12</v>
      </c>
      <c r="E83" s="200">
        <v>43178</v>
      </c>
      <c r="F83" s="201">
        <v>34.944933599999999</v>
      </c>
      <c r="G83" s="202" t="s">
        <v>16</v>
      </c>
      <c r="H83" s="199" t="s">
        <v>18</v>
      </c>
      <c r="I83" s="202">
        <v>1</v>
      </c>
      <c r="J83" s="202" t="s">
        <v>15</v>
      </c>
      <c r="K83" s="202" t="s">
        <v>54</v>
      </c>
      <c r="L83" s="199" t="s">
        <v>110</v>
      </c>
      <c r="M83" s="199" t="s">
        <v>17</v>
      </c>
    </row>
    <row r="84" spans="1:13" s="1" customFormat="1" x14ac:dyDescent="0.2">
      <c r="A84" s="199" t="s">
        <v>108</v>
      </c>
      <c r="B84" s="199" t="s">
        <v>109</v>
      </c>
      <c r="C84" s="199" t="s">
        <v>19</v>
      </c>
      <c r="D84" s="199" t="s">
        <v>12</v>
      </c>
      <c r="E84" s="200">
        <v>43171</v>
      </c>
      <c r="F84" s="201">
        <v>5.57</v>
      </c>
      <c r="G84" s="202" t="s">
        <v>13</v>
      </c>
      <c r="H84" s="199" t="s">
        <v>14</v>
      </c>
      <c r="I84" s="202">
        <v>1</v>
      </c>
      <c r="J84" s="202" t="s">
        <v>15</v>
      </c>
      <c r="K84" s="202" t="s">
        <v>54</v>
      </c>
      <c r="L84" s="199" t="s">
        <v>110</v>
      </c>
      <c r="M84" s="199" t="s">
        <v>14</v>
      </c>
    </row>
    <row r="85" spans="1:13" s="1" customFormat="1" x14ac:dyDescent="0.2">
      <c r="A85" s="199" t="s">
        <v>108</v>
      </c>
      <c r="B85" s="199" t="s">
        <v>109</v>
      </c>
      <c r="C85" s="199" t="s">
        <v>19</v>
      </c>
      <c r="D85" s="199" t="s">
        <v>12</v>
      </c>
      <c r="E85" s="200">
        <v>43171</v>
      </c>
      <c r="F85" s="201">
        <v>197.56801139999999</v>
      </c>
      <c r="G85" s="202" t="s">
        <v>16</v>
      </c>
      <c r="H85" s="199" t="s">
        <v>14</v>
      </c>
      <c r="I85" s="202">
        <v>1</v>
      </c>
      <c r="J85" s="202" t="s">
        <v>15</v>
      </c>
      <c r="K85" s="202" t="s">
        <v>54</v>
      </c>
      <c r="L85" s="199" t="s">
        <v>110</v>
      </c>
      <c r="M85" s="199" t="s">
        <v>14</v>
      </c>
    </row>
    <row r="86" spans="1:13" s="1" customFormat="1" x14ac:dyDescent="0.2">
      <c r="A86" s="199" t="s">
        <v>108</v>
      </c>
      <c r="B86" s="199" t="s">
        <v>109</v>
      </c>
      <c r="C86" s="199" t="s">
        <v>19</v>
      </c>
      <c r="D86" s="199" t="s">
        <v>12</v>
      </c>
      <c r="E86" s="200">
        <v>43171</v>
      </c>
      <c r="F86" s="201">
        <v>0.16600000000000001</v>
      </c>
      <c r="G86" s="202" t="s">
        <v>13</v>
      </c>
      <c r="H86" s="199" t="s">
        <v>18</v>
      </c>
      <c r="I86" s="202">
        <v>1</v>
      </c>
      <c r="J86" s="202" t="s">
        <v>15</v>
      </c>
      <c r="K86" s="202" t="s">
        <v>54</v>
      </c>
      <c r="L86" s="199" t="s">
        <v>110</v>
      </c>
      <c r="M86" s="199" t="s">
        <v>17</v>
      </c>
    </row>
    <row r="87" spans="1:13" s="1" customFormat="1" x14ac:dyDescent="0.2">
      <c r="A87" s="199" t="s">
        <v>108</v>
      </c>
      <c r="B87" s="199" t="s">
        <v>109</v>
      </c>
      <c r="C87" s="199" t="s">
        <v>19</v>
      </c>
      <c r="D87" s="199" t="s">
        <v>12</v>
      </c>
      <c r="E87" s="200">
        <v>43171</v>
      </c>
      <c r="F87" s="201">
        <v>5.8880233000000004</v>
      </c>
      <c r="G87" s="202" t="s">
        <v>16</v>
      </c>
      <c r="H87" s="199" t="s">
        <v>18</v>
      </c>
      <c r="I87" s="202">
        <v>1</v>
      </c>
      <c r="J87" s="202" t="s">
        <v>15</v>
      </c>
      <c r="K87" s="202" t="s">
        <v>54</v>
      </c>
      <c r="L87" s="199" t="s">
        <v>110</v>
      </c>
      <c r="M87" s="199" t="s">
        <v>17</v>
      </c>
    </row>
    <row r="88" spans="1:13" s="1" customFormat="1" x14ac:dyDescent="0.2">
      <c r="A88" s="199" t="s">
        <v>108</v>
      </c>
      <c r="B88" s="199" t="s">
        <v>109</v>
      </c>
      <c r="C88" s="199" t="s">
        <v>19</v>
      </c>
      <c r="D88" s="199" t="s">
        <v>12</v>
      </c>
      <c r="E88" s="200">
        <v>43165</v>
      </c>
      <c r="F88" s="201">
        <v>3.03</v>
      </c>
      <c r="G88" s="202" t="s">
        <v>13</v>
      </c>
      <c r="H88" s="199" t="s">
        <v>14</v>
      </c>
      <c r="I88" s="202">
        <v>1</v>
      </c>
      <c r="J88" s="202" t="s">
        <v>15</v>
      </c>
      <c r="K88" s="202" t="s">
        <v>54</v>
      </c>
      <c r="L88" s="199" t="s">
        <v>110</v>
      </c>
      <c r="M88" s="199" t="s">
        <v>14</v>
      </c>
    </row>
    <row r="89" spans="1:13" s="1" customFormat="1" x14ac:dyDescent="0.2">
      <c r="A89" s="199" t="s">
        <v>108</v>
      </c>
      <c r="B89" s="199" t="s">
        <v>109</v>
      </c>
      <c r="C89" s="199" t="s">
        <v>19</v>
      </c>
      <c r="D89" s="199" t="s">
        <v>12</v>
      </c>
      <c r="E89" s="200">
        <v>43165</v>
      </c>
      <c r="F89" s="201">
        <v>138.5817768</v>
      </c>
      <c r="G89" s="202" t="s">
        <v>16</v>
      </c>
      <c r="H89" s="199" t="s">
        <v>14</v>
      </c>
      <c r="I89" s="202">
        <v>1</v>
      </c>
      <c r="J89" s="202" t="s">
        <v>15</v>
      </c>
      <c r="K89" s="202" t="s">
        <v>54</v>
      </c>
      <c r="L89" s="199" t="s">
        <v>110</v>
      </c>
      <c r="M89" s="199" t="s">
        <v>14</v>
      </c>
    </row>
    <row r="90" spans="1:13" s="1" customFormat="1" x14ac:dyDescent="0.2">
      <c r="A90" s="199" t="s">
        <v>108</v>
      </c>
      <c r="B90" s="199" t="s">
        <v>109</v>
      </c>
      <c r="C90" s="199" t="s">
        <v>19</v>
      </c>
      <c r="D90" s="199" t="s">
        <v>12</v>
      </c>
      <c r="E90" s="200">
        <v>43165</v>
      </c>
      <c r="F90" s="201">
        <v>0.20200000000000001</v>
      </c>
      <c r="G90" s="202" t="s">
        <v>13</v>
      </c>
      <c r="H90" s="199" t="s">
        <v>18</v>
      </c>
      <c r="I90" s="202">
        <v>1</v>
      </c>
      <c r="J90" s="202" t="s">
        <v>15</v>
      </c>
      <c r="K90" s="202" t="s">
        <v>54</v>
      </c>
      <c r="L90" s="199" t="s">
        <v>110</v>
      </c>
      <c r="M90" s="199" t="s">
        <v>17</v>
      </c>
    </row>
    <row r="91" spans="1:13" s="1" customFormat="1" x14ac:dyDescent="0.2">
      <c r="A91" s="199" t="s">
        <v>108</v>
      </c>
      <c r="B91" s="199" t="s">
        <v>109</v>
      </c>
      <c r="C91" s="199" t="s">
        <v>19</v>
      </c>
      <c r="D91" s="199" t="s">
        <v>12</v>
      </c>
      <c r="E91" s="200">
        <v>43165</v>
      </c>
      <c r="F91" s="201">
        <v>9.2387850999999994</v>
      </c>
      <c r="G91" s="202" t="s">
        <v>16</v>
      </c>
      <c r="H91" s="199" t="s">
        <v>18</v>
      </c>
      <c r="I91" s="202">
        <v>1</v>
      </c>
      <c r="J91" s="202" t="s">
        <v>15</v>
      </c>
      <c r="K91" s="202" t="s">
        <v>54</v>
      </c>
      <c r="L91" s="199" t="s">
        <v>110</v>
      </c>
      <c r="M91" s="199" t="s">
        <v>17</v>
      </c>
    </row>
    <row r="92" spans="1:13" s="1" customFormat="1" x14ac:dyDescent="0.2">
      <c r="A92" s="199" t="s">
        <v>108</v>
      </c>
      <c r="B92" s="199" t="s">
        <v>109</v>
      </c>
      <c r="C92" s="199" t="s">
        <v>19</v>
      </c>
      <c r="D92" s="199" t="s">
        <v>12</v>
      </c>
      <c r="E92" s="200">
        <v>43160</v>
      </c>
      <c r="F92" s="201">
        <v>4.1399999999999997</v>
      </c>
      <c r="G92" s="202" t="s">
        <v>13</v>
      </c>
      <c r="H92" s="199" t="s">
        <v>14</v>
      </c>
      <c r="I92" s="202">
        <v>1</v>
      </c>
      <c r="J92" s="202" t="s">
        <v>15</v>
      </c>
      <c r="K92" s="202" t="s">
        <v>54</v>
      </c>
      <c r="L92" s="199" t="s">
        <v>110</v>
      </c>
      <c r="M92" s="199" t="s">
        <v>14</v>
      </c>
    </row>
    <row r="93" spans="1:13" s="1" customFormat="1" x14ac:dyDescent="0.2">
      <c r="A93" s="199" t="s">
        <v>108</v>
      </c>
      <c r="B93" s="199" t="s">
        <v>109</v>
      </c>
      <c r="C93" s="199" t="s">
        <v>19</v>
      </c>
      <c r="D93" s="199" t="s">
        <v>12</v>
      </c>
      <c r="E93" s="200">
        <v>43160</v>
      </c>
      <c r="F93" s="201">
        <v>206.06071679999999</v>
      </c>
      <c r="G93" s="202" t="s">
        <v>16</v>
      </c>
      <c r="H93" s="199" t="s">
        <v>14</v>
      </c>
      <c r="I93" s="202">
        <v>1</v>
      </c>
      <c r="J93" s="202" t="s">
        <v>15</v>
      </c>
      <c r="K93" s="202" t="s">
        <v>54</v>
      </c>
      <c r="L93" s="199" t="s">
        <v>110</v>
      </c>
      <c r="M93" s="199" t="s">
        <v>14</v>
      </c>
    </row>
    <row r="94" spans="1:13" s="1" customFormat="1" x14ac:dyDescent="0.2">
      <c r="A94" s="199" t="s">
        <v>108</v>
      </c>
      <c r="B94" s="199" t="s">
        <v>109</v>
      </c>
      <c r="C94" s="199" t="s">
        <v>19</v>
      </c>
      <c r="D94" s="199" t="s">
        <v>12</v>
      </c>
      <c r="E94" s="200">
        <v>43160</v>
      </c>
      <c r="F94" s="201">
        <v>0.17</v>
      </c>
      <c r="G94" s="202" t="s">
        <v>13</v>
      </c>
      <c r="H94" s="199" t="s">
        <v>18</v>
      </c>
      <c r="I94" s="202">
        <v>1</v>
      </c>
      <c r="J94" s="202" t="s">
        <v>15</v>
      </c>
      <c r="K94" s="202" t="s">
        <v>54</v>
      </c>
      <c r="L94" s="199" t="s">
        <v>110</v>
      </c>
      <c r="M94" s="199" t="s">
        <v>17</v>
      </c>
    </row>
    <row r="95" spans="1:13" s="1" customFormat="1" x14ac:dyDescent="0.2">
      <c r="A95" s="199" t="s">
        <v>108</v>
      </c>
      <c r="B95" s="199" t="s">
        <v>109</v>
      </c>
      <c r="C95" s="199" t="s">
        <v>19</v>
      </c>
      <c r="D95" s="199" t="s">
        <v>12</v>
      </c>
      <c r="E95" s="203">
        <v>43160</v>
      </c>
      <c r="F95" s="204">
        <v>8.4614303999999994</v>
      </c>
      <c r="G95" s="205" t="s">
        <v>16</v>
      </c>
      <c r="H95" s="206" t="s">
        <v>18</v>
      </c>
      <c r="I95" s="202">
        <v>1</v>
      </c>
      <c r="J95" s="202" t="s">
        <v>15</v>
      </c>
      <c r="K95" s="202" t="s">
        <v>54</v>
      </c>
      <c r="L95" s="199" t="s">
        <v>110</v>
      </c>
      <c r="M95" s="199" t="s">
        <v>17</v>
      </c>
    </row>
    <row r="96" spans="1:13" s="1" customFormat="1" x14ac:dyDescent="0.2">
      <c r="A96" s="199" t="s">
        <v>108</v>
      </c>
      <c r="B96" s="199" t="s">
        <v>109</v>
      </c>
      <c r="C96" s="199" t="s">
        <v>19</v>
      </c>
      <c r="D96" s="207" t="s">
        <v>12</v>
      </c>
      <c r="E96" s="208">
        <v>43153</v>
      </c>
      <c r="F96" s="209">
        <v>0.13</v>
      </c>
      <c r="G96" s="210" t="s">
        <v>13</v>
      </c>
      <c r="H96" s="211" t="s">
        <v>18</v>
      </c>
      <c r="I96" s="212">
        <v>1</v>
      </c>
      <c r="J96" s="202" t="s">
        <v>111</v>
      </c>
      <c r="K96" s="202" t="s">
        <v>54</v>
      </c>
      <c r="L96" s="199" t="s">
        <v>110</v>
      </c>
      <c r="M96" s="199" t="s">
        <v>18</v>
      </c>
    </row>
    <row r="97" spans="1:13" s="1" customFormat="1" x14ac:dyDescent="0.2">
      <c r="A97" s="199" t="s">
        <v>108</v>
      </c>
      <c r="B97" s="199" t="s">
        <v>109</v>
      </c>
      <c r="C97" s="199" t="s">
        <v>19</v>
      </c>
      <c r="D97" s="207" t="s">
        <v>12</v>
      </c>
      <c r="E97" s="208">
        <v>43153</v>
      </c>
      <c r="F97" s="209">
        <v>5.3364323999999996</v>
      </c>
      <c r="G97" s="210" t="s">
        <v>16</v>
      </c>
      <c r="H97" s="211" t="s">
        <v>18</v>
      </c>
      <c r="I97" s="212">
        <v>1</v>
      </c>
      <c r="J97" s="202" t="s">
        <v>111</v>
      </c>
      <c r="K97" s="202" t="s">
        <v>54</v>
      </c>
      <c r="L97" s="199" t="s">
        <v>110</v>
      </c>
      <c r="M97" s="199" t="s">
        <v>18</v>
      </c>
    </row>
    <row r="98" spans="1:13" s="1" customFormat="1" x14ac:dyDescent="0.2">
      <c r="A98" s="199" t="s">
        <v>108</v>
      </c>
      <c r="B98" s="199" t="s">
        <v>109</v>
      </c>
      <c r="C98" s="199" t="s">
        <v>19</v>
      </c>
      <c r="D98" s="207" t="s">
        <v>12</v>
      </c>
      <c r="E98" s="208">
        <v>43082</v>
      </c>
      <c r="F98" s="209">
        <v>3.7999999999999999E-2</v>
      </c>
      <c r="G98" s="210" t="s">
        <v>13</v>
      </c>
      <c r="H98" s="211" t="s">
        <v>18</v>
      </c>
      <c r="I98" s="212">
        <v>1</v>
      </c>
      <c r="J98" s="202" t="s">
        <v>111</v>
      </c>
      <c r="K98" s="202" t="s">
        <v>54</v>
      </c>
      <c r="L98" s="199" t="s">
        <v>110</v>
      </c>
      <c r="M98" s="199" t="s">
        <v>18</v>
      </c>
    </row>
    <row r="99" spans="1:13" s="1" customFormat="1" x14ac:dyDescent="0.2">
      <c r="A99" s="199" t="s">
        <v>108</v>
      </c>
      <c r="B99" s="199" t="s">
        <v>109</v>
      </c>
      <c r="C99" s="199" t="s">
        <v>19</v>
      </c>
      <c r="D99" s="207" t="s">
        <v>12</v>
      </c>
      <c r="E99" s="208">
        <v>43082</v>
      </c>
      <c r="F99" s="209">
        <v>1.07</v>
      </c>
      <c r="G99" s="210" t="s">
        <v>16</v>
      </c>
      <c r="H99" s="211" t="s">
        <v>18</v>
      </c>
      <c r="I99" s="212">
        <v>1</v>
      </c>
      <c r="J99" s="202" t="s">
        <v>111</v>
      </c>
      <c r="K99" s="202" t="s">
        <v>54</v>
      </c>
      <c r="L99" s="199" t="s">
        <v>110</v>
      </c>
      <c r="M99" s="199" t="s">
        <v>18</v>
      </c>
    </row>
    <row r="100" spans="1:13" x14ac:dyDescent="0.2">
      <c r="A100" s="199" t="s">
        <v>108</v>
      </c>
      <c r="B100" s="199" t="s">
        <v>109</v>
      </c>
      <c r="C100" s="199" t="s">
        <v>19</v>
      </c>
      <c r="D100" s="207" t="s">
        <v>12</v>
      </c>
      <c r="E100" s="208">
        <v>43034</v>
      </c>
      <c r="F100" s="209">
        <v>0.42399999999999999</v>
      </c>
      <c r="G100" s="210" t="s">
        <v>13</v>
      </c>
      <c r="H100" s="211" t="s">
        <v>18</v>
      </c>
      <c r="I100" s="212">
        <v>1</v>
      </c>
      <c r="J100" s="202" t="s">
        <v>111</v>
      </c>
      <c r="K100" s="202" t="s">
        <v>54</v>
      </c>
      <c r="L100" s="199" t="s">
        <v>110</v>
      </c>
      <c r="M100" s="199" t="s">
        <v>18</v>
      </c>
    </row>
    <row r="101" spans="1:13" x14ac:dyDescent="0.2">
      <c r="A101" s="199" t="s">
        <v>108</v>
      </c>
      <c r="B101" s="199" t="s">
        <v>109</v>
      </c>
      <c r="C101" s="199" t="s">
        <v>19</v>
      </c>
      <c r="D101" s="207" t="s">
        <v>12</v>
      </c>
      <c r="E101" s="208">
        <v>43034</v>
      </c>
      <c r="F101" s="209">
        <v>15.114000000000001</v>
      </c>
      <c r="G101" s="210" t="s">
        <v>16</v>
      </c>
      <c r="H101" s="211" t="s">
        <v>18</v>
      </c>
      <c r="I101" s="212">
        <v>1</v>
      </c>
      <c r="J101" s="202" t="s">
        <v>111</v>
      </c>
      <c r="K101" s="202" t="s">
        <v>54</v>
      </c>
      <c r="L101" s="199" t="s">
        <v>110</v>
      </c>
      <c r="M101" s="199" t="s">
        <v>18</v>
      </c>
    </row>
    <row r="102" spans="1:13" x14ac:dyDescent="0.2">
      <c r="A102" s="199" t="s">
        <v>108</v>
      </c>
      <c r="B102" s="199" t="s">
        <v>109</v>
      </c>
      <c r="C102" s="199" t="s">
        <v>19</v>
      </c>
      <c r="D102" s="207" t="s">
        <v>12</v>
      </c>
      <c r="E102" s="213">
        <v>42968</v>
      </c>
      <c r="F102" s="214">
        <v>1.1200000000000001</v>
      </c>
      <c r="G102" s="210" t="s">
        <v>13</v>
      </c>
      <c r="H102" s="211" t="s">
        <v>18</v>
      </c>
      <c r="I102" s="212">
        <v>1</v>
      </c>
      <c r="J102" s="202" t="s">
        <v>111</v>
      </c>
      <c r="K102" s="202" t="s">
        <v>54</v>
      </c>
      <c r="L102" s="199" t="s">
        <v>110</v>
      </c>
      <c r="M102" s="199" t="s">
        <v>18</v>
      </c>
    </row>
    <row r="103" spans="1:13" x14ac:dyDescent="0.2">
      <c r="A103" s="199" t="s">
        <v>108</v>
      </c>
      <c r="B103" s="199" t="s">
        <v>109</v>
      </c>
      <c r="C103" s="199" t="s">
        <v>19</v>
      </c>
      <c r="D103" s="207" t="s">
        <v>12</v>
      </c>
      <c r="E103" s="213">
        <v>42968</v>
      </c>
      <c r="F103" s="214">
        <v>38.231894400000002</v>
      </c>
      <c r="G103" s="210" t="s">
        <v>16</v>
      </c>
      <c r="H103" s="211" t="s">
        <v>18</v>
      </c>
      <c r="I103" s="212">
        <v>1</v>
      </c>
      <c r="J103" s="202" t="s">
        <v>111</v>
      </c>
      <c r="K103" s="202" t="s">
        <v>54</v>
      </c>
      <c r="L103" s="199" t="s">
        <v>110</v>
      </c>
      <c r="M103" s="199" t="s">
        <v>18</v>
      </c>
    </row>
    <row r="104" spans="1:13" x14ac:dyDescent="0.2">
      <c r="A104" s="199" t="s">
        <v>108</v>
      </c>
      <c r="B104" s="199" t="s">
        <v>109</v>
      </c>
      <c r="C104" s="199" t="s">
        <v>19</v>
      </c>
      <c r="D104" s="207" t="s">
        <v>12</v>
      </c>
      <c r="E104" s="213">
        <v>42905</v>
      </c>
      <c r="F104" s="214">
        <v>0.88</v>
      </c>
      <c r="G104" s="210" t="s">
        <v>13</v>
      </c>
      <c r="H104" s="211" t="s">
        <v>18</v>
      </c>
      <c r="I104" s="212">
        <v>1</v>
      </c>
      <c r="J104" s="202" t="s">
        <v>111</v>
      </c>
      <c r="K104" s="202" t="s">
        <v>54</v>
      </c>
      <c r="L104" s="199" t="s">
        <v>110</v>
      </c>
      <c r="M104" s="199" t="s">
        <v>18</v>
      </c>
    </row>
    <row r="105" spans="1:13" x14ac:dyDescent="0.2">
      <c r="A105" s="199" t="s">
        <v>108</v>
      </c>
      <c r="B105" s="199" t="s">
        <v>109</v>
      </c>
      <c r="C105" s="199" t="s">
        <v>19</v>
      </c>
      <c r="D105" s="207" t="s">
        <v>12</v>
      </c>
      <c r="E105" s="213">
        <v>42905</v>
      </c>
      <c r="F105" s="214">
        <v>41.5985856</v>
      </c>
      <c r="G105" s="210" t="s">
        <v>16</v>
      </c>
      <c r="H105" s="211" t="s">
        <v>18</v>
      </c>
      <c r="I105" s="212">
        <v>1</v>
      </c>
      <c r="J105" s="202" t="s">
        <v>111</v>
      </c>
      <c r="K105" s="202" t="s">
        <v>54</v>
      </c>
      <c r="L105" s="199" t="s">
        <v>110</v>
      </c>
      <c r="M105" s="199" t="s">
        <v>18</v>
      </c>
    </row>
    <row r="106" spans="1:13" x14ac:dyDescent="0.2">
      <c r="A106" s="199" t="s">
        <v>108</v>
      </c>
      <c r="B106" s="199" t="s">
        <v>109</v>
      </c>
      <c r="C106" s="199" t="s">
        <v>19</v>
      </c>
      <c r="D106" s="207" t="s">
        <v>12</v>
      </c>
      <c r="E106" s="213">
        <v>42829</v>
      </c>
      <c r="F106" s="214">
        <v>2.0499999999999998</v>
      </c>
      <c r="G106" s="210" t="s">
        <v>13</v>
      </c>
      <c r="H106" s="211" t="s">
        <v>18</v>
      </c>
      <c r="I106" s="212">
        <v>1</v>
      </c>
      <c r="J106" s="202" t="s">
        <v>111</v>
      </c>
      <c r="K106" s="202" t="s">
        <v>54</v>
      </c>
      <c r="L106" s="199" t="s">
        <v>110</v>
      </c>
      <c r="M106" s="199" t="s">
        <v>18</v>
      </c>
    </row>
    <row r="107" spans="1:13" x14ac:dyDescent="0.2">
      <c r="A107" s="199" t="s">
        <v>108</v>
      </c>
      <c r="B107" s="199" t="s">
        <v>109</v>
      </c>
      <c r="C107" s="199" t="s">
        <v>19</v>
      </c>
      <c r="D107" s="207" t="s">
        <v>12</v>
      </c>
      <c r="E107" s="213">
        <v>42829</v>
      </c>
      <c r="F107" s="214">
        <v>92.905097999999995</v>
      </c>
      <c r="G107" s="210" t="s">
        <v>16</v>
      </c>
      <c r="H107" s="211" t="s">
        <v>18</v>
      </c>
      <c r="I107" s="212">
        <v>1</v>
      </c>
      <c r="J107" s="202" t="s">
        <v>111</v>
      </c>
      <c r="K107" s="202" t="s">
        <v>54</v>
      </c>
      <c r="L107" s="199" t="s">
        <v>110</v>
      </c>
      <c r="M107" s="199" t="s">
        <v>18</v>
      </c>
    </row>
    <row r="108" spans="1:13" x14ac:dyDescent="0.2">
      <c r="A108" s="199" t="s">
        <v>108</v>
      </c>
      <c r="B108" s="199" t="s">
        <v>109</v>
      </c>
      <c r="C108" s="199" t="s">
        <v>19</v>
      </c>
      <c r="D108" s="207" t="s">
        <v>12</v>
      </c>
      <c r="E108" s="213">
        <v>42771</v>
      </c>
      <c r="F108" s="214">
        <v>0.65200000000000002</v>
      </c>
      <c r="G108" s="210" t="s">
        <v>13</v>
      </c>
      <c r="H108" s="211" t="s">
        <v>18</v>
      </c>
      <c r="I108" s="212">
        <v>1</v>
      </c>
      <c r="J108" s="202" t="s">
        <v>111</v>
      </c>
      <c r="K108" s="202" t="s">
        <v>54</v>
      </c>
      <c r="L108" s="199" t="s">
        <v>110</v>
      </c>
      <c r="M108" s="199" t="s">
        <v>18</v>
      </c>
    </row>
    <row r="109" spans="1:13" x14ac:dyDescent="0.2">
      <c r="A109" s="199" t="s">
        <v>108</v>
      </c>
      <c r="B109" s="199" t="s">
        <v>109</v>
      </c>
      <c r="C109" s="199" t="s">
        <v>19</v>
      </c>
      <c r="D109" s="207" t="s">
        <v>12</v>
      </c>
      <c r="E109" s="213">
        <v>42771</v>
      </c>
      <c r="F109" s="214">
        <v>19.9399725</v>
      </c>
      <c r="G109" s="210" t="s">
        <v>16</v>
      </c>
      <c r="H109" s="211" t="s">
        <v>18</v>
      </c>
      <c r="I109" s="212">
        <v>1</v>
      </c>
      <c r="J109" s="202" t="s">
        <v>111</v>
      </c>
      <c r="K109" s="202" t="s">
        <v>54</v>
      </c>
      <c r="L109" s="199" t="s">
        <v>110</v>
      </c>
      <c r="M109" s="199" t="s">
        <v>18</v>
      </c>
    </row>
    <row r="110" spans="1:13" x14ac:dyDescent="0.2">
      <c r="A110" s="199" t="s">
        <v>108</v>
      </c>
      <c r="B110" s="199" t="s">
        <v>109</v>
      </c>
      <c r="C110" s="199" t="s">
        <v>19</v>
      </c>
      <c r="D110" s="207" t="s">
        <v>12</v>
      </c>
      <c r="E110" s="213">
        <v>42709</v>
      </c>
      <c r="F110" s="214">
        <v>2.92</v>
      </c>
      <c r="G110" s="210" t="s">
        <v>13</v>
      </c>
      <c r="H110" s="211" t="s">
        <v>18</v>
      </c>
      <c r="I110" s="212">
        <v>1</v>
      </c>
      <c r="J110" s="202" t="s">
        <v>111</v>
      </c>
      <c r="K110" s="202" t="s">
        <v>54</v>
      </c>
      <c r="L110" s="199" t="s">
        <v>110</v>
      </c>
      <c r="M110" s="199" t="s">
        <v>18</v>
      </c>
    </row>
    <row r="111" spans="1:13" x14ac:dyDescent="0.2">
      <c r="A111" s="199" t="s">
        <v>108</v>
      </c>
      <c r="B111" s="199" t="s">
        <v>109</v>
      </c>
      <c r="C111" s="199" t="s">
        <v>19</v>
      </c>
      <c r="D111" s="207" t="s">
        <v>12</v>
      </c>
      <c r="E111" s="213">
        <v>42709</v>
      </c>
      <c r="F111" s="214">
        <v>108.24819599999999</v>
      </c>
      <c r="G111" s="210" t="s">
        <v>16</v>
      </c>
      <c r="H111" s="211" t="s">
        <v>18</v>
      </c>
      <c r="I111" s="212">
        <v>1</v>
      </c>
      <c r="J111" s="202" t="s">
        <v>111</v>
      </c>
      <c r="K111" s="202" t="s">
        <v>54</v>
      </c>
      <c r="L111" s="199" t="s">
        <v>110</v>
      </c>
      <c r="M111" s="199" t="s">
        <v>18</v>
      </c>
    </row>
    <row r="112" spans="1:13" x14ac:dyDescent="0.2">
      <c r="A112" s="199" t="s">
        <v>108</v>
      </c>
      <c r="B112" s="199" t="s">
        <v>109</v>
      </c>
      <c r="C112" s="199" t="s">
        <v>19</v>
      </c>
      <c r="D112" s="207" t="s">
        <v>12</v>
      </c>
      <c r="E112" s="213">
        <v>42661</v>
      </c>
      <c r="F112" s="214">
        <v>1.1599999999999999</v>
      </c>
      <c r="G112" s="210" t="s">
        <v>13</v>
      </c>
      <c r="H112" s="211" t="s">
        <v>18</v>
      </c>
      <c r="I112" s="212">
        <v>1</v>
      </c>
      <c r="J112" s="202" t="s">
        <v>111</v>
      </c>
      <c r="K112" s="202" t="s">
        <v>54</v>
      </c>
      <c r="L112" s="199" t="s">
        <v>110</v>
      </c>
      <c r="M112" s="199" t="s">
        <v>18</v>
      </c>
    </row>
    <row r="113" spans="1:13" x14ac:dyDescent="0.2">
      <c r="A113" s="199" t="s">
        <v>108</v>
      </c>
      <c r="B113" s="199" t="s">
        <v>109</v>
      </c>
      <c r="C113" s="199" t="s">
        <v>19</v>
      </c>
      <c r="D113" s="207" t="s">
        <v>12</v>
      </c>
      <c r="E113" s="213">
        <v>42661</v>
      </c>
      <c r="F113" s="214">
        <v>54.4088256</v>
      </c>
      <c r="G113" s="210" t="s">
        <v>16</v>
      </c>
      <c r="H113" s="211" t="s">
        <v>18</v>
      </c>
      <c r="I113" s="212">
        <v>1</v>
      </c>
      <c r="J113" s="202" t="s">
        <v>111</v>
      </c>
      <c r="K113" s="202" t="s">
        <v>54</v>
      </c>
      <c r="L113" s="199" t="s">
        <v>110</v>
      </c>
      <c r="M113" s="199" t="s">
        <v>18</v>
      </c>
    </row>
    <row r="114" spans="1:13" s="1" customFormat="1" x14ac:dyDescent="0.2">
      <c r="A114" s="199" t="s">
        <v>108</v>
      </c>
      <c r="B114" s="199" t="s">
        <v>109</v>
      </c>
      <c r="C114" s="199" t="s">
        <v>19</v>
      </c>
      <c r="D114" s="199" t="s">
        <v>12</v>
      </c>
      <c r="E114" s="215">
        <v>42585</v>
      </c>
      <c r="F114" s="216">
        <v>0.77600000000000002</v>
      </c>
      <c r="G114" s="202" t="s">
        <v>13</v>
      </c>
      <c r="H114" s="199" t="s">
        <v>18</v>
      </c>
      <c r="I114" s="202">
        <v>1</v>
      </c>
      <c r="J114" s="202" t="s">
        <v>111</v>
      </c>
      <c r="K114" s="202" t="s">
        <v>54</v>
      </c>
      <c r="L114" s="199" t="s">
        <v>110</v>
      </c>
      <c r="M114" s="199" t="s">
        <v>18</v>
      </c>
    </row>
    <row r="115" spans="1:13" s="1" customFormat="1" x14ac:dyDescent="0.2">
      <c r="A115" s="199" t="s">
        <v>108</v>
      </c>
      <c r="B115" s="199" t="s">
        <v>109</v>
      </c>
      <c r="C115" s="199" t="s">
        <v>19</v>
      </c>
      <c r="D115" s="199" t="s">
        <v>12</v>
      </c>
      <c r="E115" s="215">
        <v>42585</v>
      </c>
      <c r="F115" s="216">
        <v>34.333111199999998</v>
      </c>
      <c r="G115" s="202" t="s">
        <v>16</v>
      </c>
      <c r="H115" s="199" t="s">
        <v>18</v>
      </c>
      <c r="I115" s="202">
        <v>1</v>
      </c>
      <c r="J115" s="202" t="s">
        <v>111</v>
      </c>
      <c r="K115" s="202" t="s">
        <v>54</v>
      </c>
      <c r="L115" s="199" t="s">
        <v>110</v>
      </c>
      <c r="M115" s="199" t="s">
        <v>18</v>
      </c>
    </row>
    <row r="116" spans="1:13" s="1" customFormat="1" x14ac:dyDescent="0.2">
      <c r="A116" s="199" t="s">
        <v>108</v>
      </c>
      <c r="B116" s="199" t="s">
        <v>109</v>
      </c>
      <c r="C116" s="199" t="s">
        <v>19</v>
      </c>
      <c r="D116" s="199" t="s">
        <v>12</v>
      </c>
      <c r="E116" s="215">
        <v>42536</v>
      </c>
      <c r="F116" s="216">
        <v>0.48199999999999998</v>
      </c>
      <c r="G116" s="202" t="s">
        <v>13</v>
      </c>
      <c r="H116" s="199" t="s">
        <v>18</v>
      </c>
      <c r="I116" s="202">
        <v>1</v>
      </c>
      <c r="J116" s="202" t="s">
        <v>111</v>
      </c>
      <c r="K116" s="202" t="s">
        <v>54</v>
      </c>
      <c r="L116" s="199" t="s">
        <v>110</v>
      </c>
      <c r="M116" s="199" t="s">
        <v>18</v>
      </c>
    </row>
    <row r="117" spans="1:13" s="1" customFormat="1" x14ac:dyDescent="0.2">
      <c r="A117" s="199" t="s">
        <v>108</v>
      </c>
      <c r="B117" s="199" t="s">
        <v>109</v>
      </c>
      <c r="C117" s="199" t="s">
        <v>19</v>
      </c>
      <c r="D117" s="199" t="s">
        <v>12</v>
      </c>
      <c r="E117" s="215">
        <v>42536</v>
      </c>
      <c r="F117" s="216">
        <v>41.0590543</v>
      </c>
      <c r="G117" s="202" t="s">
        <v>16</v>
      </c>
      <c r="H117" s="199" t="s">
        <v>18</v>
      </c>
      <c r="I117" s="202">
        <v>1</v>
      </c>
      <c r="J117" s="202" t="s">
        <v>111</v>
      </c>
      <c r="K117" s="202" t="s">
        <v>54</v>
      </c>
      <c r="L117" s="199" t="s">
        <v>110</v>
      </c>
      <c r="M117" s="199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N18" sqref="N1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6.7109375" style="4" customWidth="1"/>
    <col min="7" max="8" width="9" style="4" customWidth="1"/>
    <col min="9" max="11" width="6" style="4" customWidth="1"/>
    <col min="12" max="12" width="6.710937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2.7109375" style="4" customWidth="1"/>
    <col min="19" max="19" width="4.42578125" style="4" bestFit="1" customWidth="1"/>
    <col min="20" max="20" width="9" style="4" bestFit="1" customWidth="1"/>
    <col min="21" max="21" width="8.7109375" style="4" bestFit="1" customWidth="1"/>
    <col min="22" max="22" width="8.42578125" style="4" bestFit="1" customWidth="1"/>
    <col min="23" max="24" width="6.85546875" style="4" bestFit="1" customWidth="1"/>
    <col min="25" max="25" width="8.85546875" style="4" bestFit="1" customWidth="1"/>
    <col min="26" max="26" width="8.5703125" style="4" bestFit="1" customWidth="1"/>
    <col min="27" max="16384" width="9.140625" style="4"/>
  </cols>
  <sheetData>
    <row r="1" spans="1:17" ht="12.75" x14ac:dyDescent="0.2">
      <c r="A1" s="245" t="s">
        <v>112</v>
      </c>
      <c r="B1" s="246"/>
      <c r="C1" s="247" t="s">
        <v>21</v>
      </c>
      <c r="D1" s="247"/>
      <c r="E1" s="248">
        <v>43160</v>
      </c>
      <c r="F1" s="249"/>
      <c r="G1" s="2"/>
      <c r="L1" s="1" t="s">
        <v>113</v>
      </c>
    </row>
    <row r="2" spans="1:17" x14ac:dyDescent="0.2">
      <c r="A2" s="27" t="s">
        <v>22</v>
      </c>
      <c r="B2" s="5">
        <f>MIN(ClintonNDD!E:E)</f>
        <v>42536</v>
      </c>
      <c r="C2" s="250" t="s">
        <v>41</v>
      </c>
      <c r="D2" s="250"/>
      <c r="E2" s="251">
        <f>(B3-B2)/30</f>
        <v>22.566666666666666</v>
      </c>
      <c r="F2" s="252"/>
    </row>
    <row r="3" spans="1:17" x14ac:dyDescent="0.2">
      <c r="A3" s="28" t="s">
        <v>23</v>
      </c>
      <c r="B3" s="29">
        <f>MAX(ClintonNDD!E:E)</f>
        <v>43213</v>
      </c>
      <c r="C3" s="237"/>
      <c r="D3" s="237"/>
      <c r="E3" s="237"/>
      <c r="F3" s="238"/>
    </row>
    <row r="4" spans="1:17" ht="12" thickBot="1" x14ac:dyDescent="0.25"/>
    <row r="5" spans="1:17" ht="11.25" customHeight="1" x14ac:dyDescent="0.2">
      <c r="A5" s="253" t="s">
        <v>24</v>
      </c>
      <c r="B5" s="239" t="s">
        <v>24</v>
      </c>
      <c r="C5" s="242" t="s">
        <v>25</v>
      </c>
      <c r="D5" s="243"/>
      <c r="E5" s="243"/>
      <c r="F5" s="243"/>
      <c r="G5" s="243"/>
      <c r="H5" s="243"/>
      <c r="I5" s="244" t="s">
        <v>42</v>
      </c>
      <c r="J5" s="244"/>
      <c r="K5" s="244"/>
      <c r="L5" s="244"/>
      <c r="M5" s="244"/>
      <c r="N5" s="244"/>
      <c r="O5" s="259" t="s">
        <v>26</v>
      </c>
      <c r="P5" s="260"/>
      <c r="Q5" s="263" t="s">
        <v>27</v>
      </c>
    </row>
    <row r="6" spans="1:17" ht="11.25" customHeight="1" x14ac:dyDescent="0.2">
      <c r="A6" s="254"/>
      <c r="B6" s="240"/>
      <c r="C6" s="256" t="s">
        <v>28</v>
      </c>
      <c r="D6" s="257"/>
      <c r="E6" s="256" t="s">
        <v>29</v>
      </c>
      <c r="F6" s="258"/>
      <c r="G6" s="258"/>
      <c r="H6" s="257"/>
      <c r="I6" s="256" t="s">
        <v>28</v>
      </c>
      <c r="J6" s="257"/>
      <c r="K6" s="256" t="s">
        <v>29</v>
      </c>
      <c r="L6" s="258"/>
      <c r="M6" s="258"/>
      <c r="N6" s="258"/>
      <c r="O6" s="261"/>
      <c r="P6" s="262"/>
      <c r="Q6" s="264"/>
    </row>
    <row r="7" spans="1:17" ht="33.75" x14ac:dyDescent="0.2">
      <c r="A7" s="254"/>
      <c r="B7" s="241"/>
      <c r="C7" s="6" t="s">
        <v>30</v>
      </c>
      <c r="D7" s="7" t="s">
        <v>31</v>
      </c>
      <c r="E7" s="6" t="s">
        <v>30</v>
      </c>
      <c r="F7" s="176" t="s">
        <v>32</v>
      </c>
      <c r="G7" s="8" t="s">
        <v>33</v>
      </c>
      <c r="H7" s="9" t="s">
        <v>43</v>
      </c>
      <c r="I7" s="6" t="s">
        <v>30</v>
      </c>
      <c r="J7" s="7" t="s">
        <v>31</v>
      </c>
      <c r="K7" s="6" t="s">
        <v>30</v>
      </c>
      <c r="L7" s="176" t="s">
        <v>32</v>
      </c>
      <c r="M7" s="177" t="s">
        <v>34</v>
      </c>
      <c r="N7" s="9" t="s">
        <v>44</v>
      </c>
      <c r="O7" s="10" t="s">
        <v>35</v>
      </c>
      <c r="P7" s="165" t="s">
        <v>36</v>
      </c>
      <c r="Q7" s="30" t="s">
        <v>45</v>
      </c>
    </row>
    <row r="8" spans="1:17" s="18" customFormat="1" x14ac:dyDescent="0.2">
      <c r="A8" s="254"/>
      <c r="B8" s="69" t="s">
        <v>37</v>
      </c>
      <c r="C8" s="31">
        <f>COUNTIFS(ClintonNDD!C:C,"NITROGEN, TOTAL (AS N)",ClintonNDD!G:G,"MG/L",ClintonNDD!H:H,"RAW WASTE")</f>
        <v>9</v>
      </c>
      <c r="D8" s="32">
        <f>AVERAGEIFS(ClintonNDD!F:F,(ClintonNDD!C:C),("NITROGEN, TOTAL (AS N)"),(ClintonNDD!H:H),("RAW WASTE"),(ClintonNDD!G:G),("MG/L"))</f>
        <v>32.62222222222222</v>
      </c>
      <c r="E8" s="33">
        <f>COUNTIFS(ClintonNDD!C:C,"NITROGEN, TOTAL (AS N)",ClintonNDD!G:G,"LBS/DAY",ClintonNDD!H:H,"RAW WASTE")</f>
        <v>9</v>
      </c>
      <c r="F8" s="34">
        <f>AVERAGEIFS(ClintonNDD!F:F,(ClintonNDD!C:C),("NITROGEN, TOTAL (AS N)"),(ClintonNDD!H:H),("RAW WASTE"),(ClintonNDD!G:G),("LBS/DAY"))</f>
        <v>1210.9477059999999</v>
      </c>
      <c r="G8" s="34">
        <f>(SUMIFS(ClintonNDD!F:F,(ClintonNDD!C:C),("NITROGEN, TOTAL (AS N)"),(ClintonNDD!H:H),("RAW WASTE"),(ClintonNDD!G:G),("LBS/DAY")))</f>
        <v>10898.529353999998</v>
      </c>
      <c r="H8" s="35">
        <f>F8*365</f>
        <v>441995.91268999997</v>
      </c>
      <c r="I8" s="33">
        <f>COUNTIFS(ClintonNDD!C:C,"NITROGEN, TOTAL (AS N)",ClintonNDD!G:G,"MG/L",ClintonNDD!H:H,"FINAL EFFLUENT")</f>
        <v>20</v>
      </c>
      <c r="J8" s="32">
        <f>(AVERAGEIFS(ClintonNDD!F:F,(ClintonNDD!C:C),("NITROGEN, TOTAL (AS N)"),(ClintonNDD!H:H),("FINAL EFFLUENT"),(ClintonNDD!G:G),("MG/L")))</f>
        <v>8.0954999999999977</v>
      </c>
      <c r="K8" s="33">
        <f>COUNTIFS(ClintonNDD!C:C,"NITROGEN, TOTAL (AS N)",ClintonNDD!G:G,"LBS/DAY",ClintonNDD!H:H,"FINAL EFFLUENT")</f>
        <v>20</v>
      </c>
      <c r="L8" s="178">
        <f>AVERAGEIFS(ClintonNDD!F:F,(ClintonNDD!C:C),("NITROGEN, TOTAL (AS N)"),(ClintonNDD!H:H),("FINAL EFFLUENT"),(ClintonNDD!G:G),("LBS/DAY"))</f>
        <v>322.42609513000002</v>
      </c>
      <c r="M8" s="34">
        <f>SUMIFS(ClintonNDD!F:F,(ClintonNDD!C:C),("NITROGEN, TOTAL (AS N)"),(ClintonNDD!H:H),("FINAL EFFLUENT"),(ClintonNDD!G:G),("LBS/DAY"))</f>
        <v>6448.5219026000004</v>
      </c>
      <c r="N8" s="35">
        <f>L8*365</f>
        <v>117685.52472245001</v>
      </c>
      <c r="O8" s="36">
        <f>((D8-J8))/D8</f>
        <v>0.75184094005449598</v>
      </c>
      <c r="P8" s="37">
        <f>((F8-L8))/F8</f>
        <v>0.73374069455481505</v>
      </c>
      <c r="Q8" s="38">
        <f>(F8-L8)*365</f>
        <v>324310.38796754996</v>
      </c>
    </row>
    <row r="9" spans="1:17" s="18" customFormat="1" ht="5.25" customHeight="1" x14ac:dyDescent="0.2">
      <c r="A9" s="254"/>
      <c r="B9" s="69"/>
      <c r="C9" s="11"/>
      <c r="D9" s="12"/>
      <c r="E9" s="13"/>
      <c r="F9" s="14"/>
      <c r="G9" s="14"/>
      <c r="H9" s="15"/>
      <c r="I9" s="13"/>
      <c r="J9" s="12"/>
      <c r="K9" s="13"/>
      <c r="L9" s="179"/>
      <c r="M9" s="14"/>
      <c r="N9" s="15"/>
      <c r="O9" s="16"/>
      <c r="P9" s="17"/>
      <c r="Q9" s="39"/>
    </row>
    <row r="10" spans="1:17" s="40" customFormat="1" x14ac:dyDescent="0.2">
      <c r="A10" s="254"/>
      <c r="B10" s="70" t="s">
        <v>49</v>
      </c>
      <c r="C10" s="71">
        <f>COUNTIFS(ClintonNDD!$E:$E,"&gt;=5/1/2014",ClintonNDD!$E:$E,"&lt;=4/30/2015",ClintonNDD!$C:$C,"NITROGEN, TOTAL (AS N)",ClintonNDD!$G:$G,"MG/L",ClintonNDD!$H:$H,"RAW WASTE")</f>
        <v>0</v>
      </c>
      <c r="D10" s="72" t="e">
        <f>AVERAGEIFS(ClintonNDD!$F:$F,ClintonNDD!$E:$E,"&gt;=5/1/2014",ClintonNDD!$E:$E,"&lt;=4/30/2015",(ClintonNDD!$C:$C),("NITROGEN, TOTAL (AS N)"),(ClintonNDD!$H:$H),("RAW WASTE"),(ClintonNDD!$G:$G),("MG/L"))</f>
        <v>#DIV/0!</v>
      </c>
      <c r="E10" s="73">
        <f>COUNTIFS(ClintonNDD!$E:$E,"&gt;=5/1/2014",ClintonNDD!$E:$E,"&lt;=4/30/2015",ClintonNDD!$C:$C,"NITROGEN, TOTAL (AS N)",ClintonNDD!$G:$G,"LBS/DAY",ClintonNDD!$H:$H,"RAW WASTE")</f>
        <v>0</v>
      </c>
      <c r="F10" s="74" t="e">
        <f>AVERAGEIFS(ClintonNDD!$F:$F,ClintonNDD!$E:$E,"&gt;=5/1/2014",ClintonNDD!$E:$E,"&lt;=4/30/2015",(ClintonNDD!$C:$C),("NITROGEN, TOTAL (AS N)"),(ClintonNDD!$H:$H),("RAW WASTE"),(ClintonNDD!$G:$G),("LBS/DAY"))</f>
        <v>#DIV/0!</v>
      </c>
      <c r="G10" s="74">
        <f>SUMIFS(ClintonNDD!$F:$F,ClintonNDD!$E:$E,"&gt;=5/1/2014",ClintonNDD!$E:$E,"&lt;=4/30/2015",(ClintonNDD!$C:$C),("NITROGEN, TOTAL (AS N)"),(ClintonNDD!$H:$H),("RAW WASTE"),(ClintonNDD!$G:$G),("LBS/DAY"))</f>
        <v>0</v>
      </c>
      <c r="H10" s="75" t="e">
        <f>F10*365</f>
        <v>#DIV/0!</v>
      </c>
      <c r="I10" s="73">
        <f>COUNTIFS(ClintonNDD!$E:$E,"&gt;=5/1/2014",ClintonNDD!$E:$E,"&lt;=4/30/2015",ClintonNDD!$C:$C,"NITROGEN, TOTAL (AS N)",ClintonNDD!$G:$G,"MG/L",ClintonNDD!$H:$H,"FINAL EFFLUENT")</f>
        <v>0</v>
      </c>
      <c r="J10" s="72" t="e">
        <f>AVERAGEIFS(ClintonNDD!$F:$F,ClintonNDD!$E:$E,"&gt;=5/1/2014",ClintonNDD!$E:$E,"&lt;=4/30/2015",(ClintonNDD!$C:$C),("NITROGEN, TOTAL (AS N)"),(ClintonNDD!$H:$H),("FINAL EFFLUENT"),(ClintonNDD!$G:$G),("MG/L"))</f>
        <v>#DIV/0!</v>
      </c>
      <c r="K10" s="73">
        <f>COUNTIFS(ClintonNDD!$E:$E,"&gt;=5/1/2014",ClintonNDD!$E:$E,"&lt;=4/30/2015",ClintonNDD!$C:$C,"NITROGEN, TOTAL (AS N)",ClintonNDD!$G:$G,"LBS/DAY",ClintonNDD!$H:$H,"FINAL EFFLUENT")</f>
        <v>0</v>
      </c>
      <c r="L10" s="180" t="e">
        <f>AVERAGEIFS((ClintonNDD!$F:$F),ClintonNDD!$E:$E,"&gt;=5/1/2014",ClintonNDD!$E:$E,"&lt;=4/30/2015",(ClintonNDD!$C:$C),("NITROGEN, TOTAL (AS N)"),(ClintonNDD!$H:$H),("FINAL EFFLUENT"),(ClintonNDD!$G:$G),("LBS/DAY"))</f>
        <v>#DIV/0!</v>
      </c>
      <c r="M10" s="74">
        <f>SUMIFS(ClintonNDD!$F:$F,ClintonNDD!$E:$E,"&gt;=5/1/2014",ClintonNDD!$E:$E,"&lt;=4/30/2015",(ClintonNDD!$C:$C),("NITROGEN, TOTAL (AS N)"),(ClintonNDD!$H:$H),("FINAL EFFLUENT"),(ClintonNDD!$G:$G),("LBS/DAY"))</f>
        <v>0</v>
      </c>
      <c r="N10" s="75" t="e">
        <f>L10*365</f>
        <v>#DIV/0!</v>
      </c>
      <c r="O10" s="76" t="e">
        <f>((D10-J10))/D10</f>
        <v>#DIV/0!</v>
      </c>
      <c r="P10" s="77" t="e">
        <f>((F10-L10))/F10</f>
        <v>#DIV/0!</v>
      </c>
      <c r="Q10" s="78" t="s">
        <v>61</v>
      </c>
    </row>
    <row r="11" spans="1:17" s="18" customFormat="1" ht="5.25" customHeight="1" x14ac:dyDescent="0.2">
      <c r="A11" s="254"/>
      <c r="B11" s="69"/>
      <c r="C11" s="11"/>
      <c r="D11" s="12"/>
      <c r="E11" s="13"/>
      <c r="F11" s="14"/>
      <c r="G11" s="14"/>
      <c r="H11" s="15"/>
      <c r="I11" s="13"/>
      <c r="J11" s="12"/>
      <c r="K11" s="13"/>
      <c r="L11" s="179"/>
      <c r="M11" s="179"/>
      <c r="N11" s="15"/>
      <c r="O11" s="16"/>
      <c r="P11" s="17"/>
      <c r="Q11" s="39"/>
    </row>
    <row r="12" spans="1:17" s="50" customFormat="1" x14ac:dyDescent="0.2">
      <c r="A12" s="254"/>
      <c r="B12" s="79" t="s">
        <v>46</v>
      </c>
      <c r="C12" s="41">
        <f>COUNTIFS(ClintonNDD!$E:$E,"&gt;=1/1/2015",ClintonNDD!$E:$E,"&lt;=12/31/2015",ClintonNDD!$C:$C,"NITROGEN, TOTAL (AS N)",ClintonNDD!$G:$G,"MG/L",ClintonNDD!$H:$H,"RAW WASTE")</f>
        <v>0</v>
      </c>
      <c r="D12" s="42" t="e">
        <f>AVERAGEIFS(ClintonNDD!$F:$F,ClintonNDD!$E:$E,"&gt;=1/1/2015",ClintonNDD!$E:$E,"&lt;=12/31/2015",(ClintonNDD!$C:$C),("NITROGEN, TOTAL (AS N)"),(ClintonNDD!$H:$H),("RAW WASTE"),(ClintonNDD!$G:$G),("MG/L"))</f>
        <v>#DIV/0!</v>
      </c>
      <c r="E12" s="41">
        <f>COUNTIFS(ClintonNDD!$E:$E,"&gt;=1/1/2015",ClintonNDD!$E:$E,"&lt;=12/31/2015",ClintonNDD!$C:$C,"NITROGEN, TOTAL (AS N)",ClintonNDD!$G:$G,"LBS/DAY",ClintonNDD!$H:$H,"RAW WASTE")</f>
        <v>0</v>
      </c>
      <c r="F12" s="43" t="e">
        <f>AVERAGEIFS(ClintonNDD!$F:$F,ClintonNDD!$E:$E,"&gt;=1/1/2015",ClintonNDD!$E:$E,"&lt;=12/31/2015",(ClintonNDD!$C:$C),("NITROGEN, TOTAL (AS N)"),(ClintonNDD!$H:$H),("RAW WASTE"),(ClintonNDD!$G:$G),("LBS/DAY"))</f>
        <v>#DIV/0!</v>
      </c>
      <c r="G12" s="43">
        <f>SUMIFS(ClintonNDD!$F:$F,ClintonNDD!$E:$E,"&gt;=1/1/2015",ClintonNDD!$E:$E,"&lt;=12/31/2015",(ClintonNDD!$C:$C),("NITROGEN, TOTAL (AS N)"),(ClintonNDD!$H:$H),("RAW WASTE"),(ClintonNDD!$G:$G),("LBS/DAY"))</f>
        <v>0</v>
      </c>
      <c r="H12" s="44" t="e">
        <f>F12*365</f>
        <v>#DIV/0!</v>
      </c>
      <c r="I12" s="41">
        <f>COUNTIFS(ClintonNDD!$E:$E,"&gt;=1/1/2015",ClintonNDD!$E:$E,"&lt;=12/31/2015",ClintonNDD!$C:$C,"NITROGEN, TOTAL (AS N)",ClintonNDD!$G:$G,"MG/L",ClintonNDD!$H:$H,"FINAL EFFLUENT")</f>
        <v>0</v>
      </c>
      <c r="J12" s="45" t="e">
        <f>AVERAGEIFS(ClintonNDD!$F:$F,ClintonNDD!$E:$E,"&gt;=1/1/2015",ClintonNDD!$E:$E,"&lt;=12/31/2015",(ClintonNDD!$C:$C),("NITROGEN, TOTAL (AS N)"),(ClintonNDD!$H:$H),("FINAL EFFLUENT"),(ClintonNDD!$G:$G),("MG/L"))</f>
        <v>#DIV/0!</v>
      </c>
      <c r="K12" s="41">
        <f>COUNTIFS(ClintonNDD!$E:$E,"&gt;=1/1/2015",ClintonNDD!$E:$E,"&lt;=12/31/2015",ClintonNDD!$C:$C,"NITROGEN, TOTAL (AS N)",ClintonNDD!$G:$G,"LBS/DAY",ClintonNDD!$H:$H,"FINAL EFFLUENT")</f>
        <v>0</v>
      </c>
      <c r="L12" s="182" t="e">
        <f>AVERAGEIFS((ClintonNDD!$F:$F),ClintonNDD!$E:$E,"&gt;=1/1/2015",ClintonNDD!$E:$E,"&lt;=12/31/2015",(ClintonNDD!$C:$C),("NITROGEN, TOTAL (AS N)"),(ClintonNDD!$H:$H),("FINAL EFFLUENT"),(ClintonNDD!$G:$G),("LBS/DAY"))</f>
        <v>#DIV/0!</v>
      </c>
      <c r="M12" s="43">
        <f>SUMIFS(ClintonNDD!$F:$F,ClintonNDD!$E:$E,"&gt;=1/1/2015",ClintonNDD!$E:$E,"&lt;=12/31/2015",(ClintonNDD!$C:$C),("NITROGEN, TOTAL (AS N)"),(ClintonNDD!$H:$H),("FINAL EFFLUENT"),(ClintonNDD!$G:$G),("LBS/DAY"))</f>
        <v>0</v>
      </c>
      <c r="N12" s="46" t="e">
        <f>L12*365</f>
        <v>#DIV/0!</v>
      </c>
      <c r="O12" s="47" t="e">
        <f>((D12-J12))/D12</f>
        <v>#DIV/0!</v>
      </c>
      <c r="P12" s="48" t="e">
        <f>((F12-L12))/F12</f>
        <v>#DIV/0!</v>
      </c>
      <c r="Q12" s="49" t="s">
        <v>61</v>
      </c>
    </row>
    <row r="13" spans="1:17" s="40" customFormat="1" x14ac:dyDescent="0.2">
      <c r="A13" s="254"/>
      <c r="B13" s="80" t="s">
        <v>50</v>
      </c>
      <c r="C13" s="51">
        <f>COUNTIFS(ClintonNDD!$E:$E,"&gt;=5/1/2015",ClintonNDD!$E:$E,"&lt;=4/30/2016",ClintonNDD!$C:$C,"NITROGEN, TOTAL (AS N)",ClintonNDD!$G:$G,"MG/L",ClintonNDD!$H:$H,"RAW WASTE")</f>
        <v>0</v>
      </c>
      <c r="D13" s="52" t="e">
        <f>AVERAGEIFS(ClintonNDD!$F:$F,ClintonNDD!$E:$E,"&gt;=5/1/2015",ClintonNDD!$E:$E,"&lt;=4/30/2016",(ClintonNDD!$C:$C),("NITROGEN, TOTAL (AS N)"),(ClintonNDD!$H:$H),("RAW WASTE"),(ClintonNDD!$G:$G),("MG/L"))</f>
        <v>#DIV/0!</v>
      </c>
      <c r="E13" s="51">
        <f>COUNTIFS(ClintonNDD!$E:$E,"&gt;=5/1/2015",ClintonNDD!$E:$E,"&lt;=4/30/2016",ClintonNDD!$C:$C,"NITROGEN, TOTAL (AS N)",ClintonNDD!$G:$G,"LBS/DAY",ClintonNDD!$H:$H,"RAW WASTE")</f>
        <v>0</v>
      </c>
      <c r="F13" s="53" t="e">
        <f>AVERAGEIFS(ClintonNDD!$F:$F,ClintonNDD!$E:$E,"&gt;=5/1/2015",ClintonNDD!$E:$E,"&lt;=4/30/2016",(ClintonNDD!$C:$C),("NITROGEN, TOTAL (AS N)"),(ClintonNDD!$H:$H),("RAW WASTE"),(ClintonNDD!$G:$G),("LBS/DAY"))</f>
        <v>#DIV/0!</v>
      </c>
      <c r="G13" s="53">
        <f>SUMIFS(ClintonNDD!$F:$F,ClintonNDD!$E:$E,"&gt;=5/1/2015",ClintonNDD!$E:$E,"&lt;=4/30/2016",(ClintonNDD!$C:$C),("NITROGEN, TOTAL (AS N)"),(ClintonNDD!$H:$H),("RAW WASTE"),(ClintonNDD!$G:$G),("LBS/DAY"))</f>
        <v>0</v>
      </c>
      <c r="H13" s="54" t="e">
        <f>F13*365</f>
        <v>#DIV/0!</v>
      </c>
      <c r="I13" s="51">
        <f>COUNTIFS(ClintonNDD!$E:$E,"&gt;=5/1/2015",ClintonNDD!$E:$E,"&lt;=4/30/2016",ClintonNDD!$C:$C,"NITROGEN, TOTAL (AS N)",ClintonNDD!$G:$G,"MG/L",ClintonNDD!$H:$H,"FINAL EFFLUENT")</f>
        <v>0</v>
      </c>
      <c r="J13" s="52" t="e">
        <f>AVERAGEIFS(ClintonNDD!$F:$F,ClintonNDD!$E:$E,"&gt;=5/1/2015",ClintonNDD!$E:$E,"&lt;=4/30/2016",(ClintonNDD!$C:$C),("NITROGEN, TOTAL (AS N)"),(ClintonNDD!$H:$H),("FINAL EFFLUENT"),(ClintonNDD!$G:$G),("MG/L"))</f>
        <v>#DIV/0!</v>
      </c>
      <c r="K13" s="51">
        <f>COUNTIFS(ClintonNDD!$E:$E,"&gt;=5/1/2015",ClintonNDD!$E:$E,"&lt;=4/30/2016",ClintonNDD!$C:$C,"NITROGEN, TOTAL (AS N)",ClintonNDD!$G:$G,"LBS/DAY",ClintonNDD!$H:$H,"FINAL EFFLUENT")</f>
        <v>0</v>
      </c>
      <c r="L13" s="183" t="e">
        <f>AVERAGEIFS((ClintonNDD!$F:$F),ClintonNDD!$E:$E,"&gt;=5/1/2015",ClintonNDD!$E:$E,"&lt;=4/30/2016",(ClintonNDD!$C:$C),("NITROGEN, TOTAL (AS N)"),(ClintonNDD!$H:$H),("FINAL EFFLUENT"),(ClintonNDD!$G:$G),("LBS/DAY"))</f>
        <v>#DIV/0!</v>
      </c>
      <c r="M13" s="53">
        <f>SUMIFS(ClintonNDD!$F:$F,ClintonNDD!$E:$E,"&gt;=5/1/2015",ClintonNDD!$E:$E,"&lt;=4/30/2016",(ClintonNDD!$C:$C),("NITROGEN, TOTAL (AS N)"),(ClintonNDD!$H:$H),("FINAL EFFLUENT"),(ClintonNDD!$G:$G),("LBS/DAY"))</f>
        <v>0</v>
      </c>
      <c r="N13" s="54" t="e">
        <f>L13*365</f>
        <v>#DIV/0!</v>
      </c>
      <c r="O13" s="55" t="e">
        <f>((D13-J13))/D13</f>
        <v>#DIV/0!</v>
      </c>
      <c r="P13" s="56" t="e">
        <f>((F13-L13))/F13</f>
        <v>#DIV/0!</v>
      </c>
      <c r="Q13" s="57" t="s">
        <v>61</v>
      </c>
    </row>
    <row r="14" spans="1:17" s="67" customFormat="1" ht="5.25" customHeight="1" x14ac:dyDescent="0.2">
      <c r="A14" s="254"/>
      <c r="B14" s="81"/>
      <c r="C14" s="58"/>
      <c r="D14" s="59"/>
      <c r="E14" s="58"/>
      <c r="F14" s="60"/>
      <c r="G14" s="60"/>
      <c r="H14" s="61"/>
      <c r="I14" s="58"/>
      <c r="J14" s="62"/>
      <c r="K14" s="58"/>
      <c r="L14" s="185"/>
      <c r="M14" s="60"/>
      <c r="N14" s="63"/>
      <c r="O14" s="64"/>
      <c r="P14" s="65"/>
      <c r="Q14" s="66"/>
    </row>
    <row r="15" spans="1:17" s="67" customFormat="1" x14ac:dyDescent="0.2">
      <c r="A15" s="254"/>
      <c r="B15" s="82" t="s">
        <v>47</v>
      </c>
      <c r="C15" s="19">
        <f>COUNTIFS(ClintonNDD!$E:$E,"&gt;=1/1/2016",ClintonNDD!$E:$E,"&lt;=12/31/2016",ClintonNDD!$C:$C,"NITROGEN, TOTAL (AS N)",ClintonNDD!$G:$G,"MG/L",ClintonNDD!$H:$H,"RAW WASTE")</f>
        <v>0</v>
      </c>
      <c r="D15" s="20" t="e">
        <f>AVERAGEIFS(ClintonNDD!$F:$F,ClintonNDD!$E:$E,"&gt;=1/1/2016",ClintonNDD!$E:$E,"&lt;=12/31/2016",(ClintonNDD!$C:$C),("NITROGEN, TOTAL (AS N)"),(ClintonNDD!$H:$H),("RAW WASTE"),(ClintonNDD!$G:$G),("MG/L"))</f>
        <v>#DIV/0!</v>
      </c>
      <c r="E15" s="19">
        <f>COUNTIFS(ClintonNDD!$E:$E,"&gt;=1/1/2016",ClintonNDD!$E:$E,"&lt;=12/31/2016",ClintonNDD!$C:$C,"NITROGEN, TOTAL (AS N)",ClintonNDD!$G:$G,"LBS/DAY",ClintonNDD!$H:$H,"RAW WASTE")</f>
        <v>0</v>
      </c>
      <c r="F15" s="21" t="e">
        <f>AVERAGEIFS(ClintonNDD!$F:$F,ClintonNDD!$E:$E,"&gt;=1/1/2016",ClintonNDD!$E:$E,"&lt;=12/31/2016",(ClintonNDD!$C:$C),("NITROGEN, TOTAL (AS N)"),(ClintonNDD!$H:$H),("RAW WASTE"),(ClintonNDD!$G:$G),("LBS/DAY"))</f>
        <v>#DIV/0!</v>
      </c>
      <c r="G15" s="21">
        <f>SUMIFS(ClintonNDD!$F:$F,ClintonNDD!$E:$E,"&gt;=1/1/2016",ClintonNDD!$E:$E,"&lt;=12/31/2016",(ClintonNDD!$C:$C),("NITROGEN, TOTAL (AS N)"),(ClintonNDD!$H:$H),("RAW WASTE"),(ClintonNDD!$G:$G),("LBS/DAY"))</f>
        <v>0</v>
      </c>
      <c r="H15" s="22" t="e">
        <f>F15*365</f>
        <v>#DIV/0!</v>
      </c>
      <c r="I15" s="19">
        <f>COUNTIFS(ClintonNDD!$E:$E,"&gt;=1/1/2016",ClintonNDD!$E:$E,"&lt;=12/31/2016",ClintonNDD!$C:$C,"NITROGEN, TOTAL (AS N)",ClintonNDD!$G:$G,"MG/L",ClintonNDD!$H:$H,"FINAL EFFLUENT")</f>
        <v>4</v>
      </c>
      <c r="J15" s="23">
        <f>AVERAGEIFS(ClintonNDD!$F:$F,ClintonNDD!$E:$E,"&gt;=1/1/2016",ClintonNDD!$E:$E,"&lt;=12/31/2016",(ClintonNDD!$C:$C),("NITROGEN, TOTAL (AS N)"),(ClintonNDD!$H:$H),("FINAL EFFLUENT"),(ClintonNDD!$G:$G),("MG/L"))</f>
        <v>7.5350000000000001</v>
      </c>
      <c r="K15" s="19">
        <f>COUNTIFS(ClintonNDD!$E:$E,"&gt;=1/1/2016",ClintonNDD!$E:$E,"&lt;=12/31/2016",ClintonNDD!$C:$C,"NITROGEN, TOTAL (AS N)",ClintonNDD!$G:$G,"LBS/DAY",ClintonNDD!$H:$H,"FINAL EFFLUENT")</f>
        <v>4</v>
      </c>
      <c r="L15" s="187">
        <f>AVERAGEIFS((ClintonNDD!$F:$F),ClintonNDD!$E:$E,"&gt;=1/1/2016",ClintonNDD!$E:$E,"&lt;=12/31/2016",(ClintonNDD!$C:$C),("NITROGEN, TOTAL (AS N)"),(ClintonNDD!$H:$H),("FINAL EFFLUENT"),(ClintonNDD!$G:$G),("LBS/DAY"))</f>
        <v>363.49824999999998</v>
      </c>
      <c r="M15" s="21">
        <f>SUMIFS(ClintonNDD!$F:$F,ClintonNDD!$E:$E,"&gt;=1/1/2016",ClintonNDD!$E:$E,"&lt;=12/31/2016",(ClintonNDD!$C:$C),("NITROGEN, TOTAL (AS N)"),(ClintonNDD!$H:$H),("FINAL EFFLUENT"),(ClintonNDD!$G:$G),("LBS/DAY"))</f>
        <v>1453.9929999999999</v>
      </c>
      <c r="N15" s="24">
        <f>L15*365</f>
        <v>132676.86124999999</v>
      </c>
      <c r="O15" s="25" t="e">
        <f>((D15-J15))/D15</f>
        <v>#DIV/0!</v>
      </c>
      <c r="P15" s="26" t="e">
        <f>((F15-L15))/F15</f>
        <v>#DIV/0!</v>
      </c>
      <c r="Q15" s="68" t="s">
        <v>61</v>
      </c>
    </row>
    <row r="16" spans="1:17" s="40" customFormat="1" x14ac:dyDescent="0.2">
      <c r="A16" s="254"/>
      <c r="B16" s="83" t="s">
        <v>51</v>
      </c>
      <c r="C16" s="84">
        <f>COUNTIFS(ClintonNDD!$E:$E,"&gt;=5/1/2016",ClintonNDD!$E:$E,"&lt;=4/30/2017",ClintonNDD!$C:$C,"NITROGEN, TOTAL (AS N)",ClintonNDD!$G:$G,"MG/L",ClintonNDD!$H:$H,"RAW WASTE")</f>
        <v>0</v>
      </c>
      <c r="D16" s="85" t="e">
        <f>AVERAGEIFS(ClintonNDD!$F:$F,ClintonNDD!$E:$E,"&gt;=5/1/2016",ClintonNDD!$E:$E,"&lt;=4/30/2017",(ClintonNDD!$C:$C),("NITROGEN, TOTAL (AS N)"),(ClintonNDD!$H:$H),("RAW WASTE"),(ClintonNDD!$G:$G),("MG/L"))</f>
        <v>#DIV/0!</v>
      </c>
      <c r="E16" s="84">
        <f>COUNTIFS(ClintonNDD!$E:$E,"&gt;=5/1/2016",ClintonNDD!$E:$E,"&lt;=4/30/2017",ClintonNDD!$C:$C,"NITROGEN, TOTAL (AS N)",ClintonNDD!$G:$G,"LBS/DAY",ClintonNDD!$H:$H,"RAW WASTE")</f>
        <v>0</v>
      </c>
      <c r="F16" s="86" t="e">
        <f>AVERAGEIFS(ClintonNDD!$F:$F,ClintonNDD!$E:$E,"&gt;=5/1/2016",ClintonNDD!$E:$E,"&lt;=4/30/2017",(ClintonNDD!$C:$C),("NITROGEN, TOTAL (AS N)"),(ClintonNDD!$H:$H),("RAW WASTE"),(ClintonNDD!$G:$G),("LBS/DAY"))</f>
        <v>#DIV/0!</v>
      </c>
      <c r="G16" s="86">
        <f>SUMIFS(ClintonNDD!$F:$F,ClintonNDD!$E:$E,"&gt;=5/1/2016",ClintonNDD!$E:$E,"&lt;=4/30/2017",(ClintonNDD!$C:$C),("NITROGEN, TOTAL (AS N)"),(ClintonNDD!$H:$H),("RAW WASTE"),(ClintonNDD!$G:$G),("LBS/DAY"))</f>
        <v>0</v>
      </c>
      <c r="H16" s="87" t="e">
        <f>F16*365</f>
        <v>#DIV/0!</v>
      </c>
      <c r="I16" s="84">
        <f>COUNTIFS(ClintonNDD!$E:$E,"&gt;=5/1/2016",ClintonNDD!$E:$E,"&lt;=4/30/2017",ClintonNDD!$C:$C,"NITROGEN, TOTAL (AS N)",ClintonNDD!$G:$G,"MG/L",ClintonNDD!$H:$H,"FINAL EFFLUENT")</f>
        <v>6</v>
      </c>
      <c r="J16" s="85">
        <f>AVERAGEIFS(ClintonNDD!$F:$F,ClintonNDD!$E:$E,"&gt;=5/1/2016",ClintonNDD!$E:$E,"&lt;=4/30/2017",(ClintonNDD!$C:$C),("NITROGEN, TOTAL (AS N)"),(ClintonNDD!$H:$H),("FINAL EFFLUENT"),(ClintonNDD!$G:$G),("MG/L"))</f>
        <v>8.6216666666666661</v>
      </c>
      <c r="K16" s="84">
        <f>COUNTIFS(ClintonNDD!$E:$E,"&gt;=5/1/2016",ClintonNDD!$E:$E,"&lt;=4/30/2017",ClintonNDD!$C:$C,"NITROGEN, TOTAL (AS N)",ClintonNDD!$G:$G,"LBS/DAY",ClintonNDD!$H:$H,"FINAL EFFLUENT")</f>
        <v>6</v>
      </c>
      <c r="L16" s="188">
        <f>AVERAGEIFS((ClintonNDD!$F:$F),ClintonNDD!$E:$E,"&gt;=5/1/2016",ClintonNDD!$E:$E,"&lt;=4/30/2017",(ClintonNDD!$C:$C),("NITROGEN, TOTAL (AS N)"),(ClintonNDD!$H:$H),("FINAL EFFLUENT"),(ClintonNDD!$G:$G),("LBS/DAY"))</f>
        <v>389.71233333333333</v>
      </c>
      <c r="M16" s="86">
        <f>SUMIFS(ClintonNDD!$F:$F,ClintonNDD!$E:$E,"&gt;=5/1/2016",ClintonNDD!$E:$E,"&lt;=4/30/2017",(ClintonNDD!$C:$C),("NITROGEN, TOTAL (AS N)"),(ClintonNDD!$H:$H),("FINAL EFFLUENT"),(ClintonNDD!$G:$G),("LBS/DAY"))</f>
        <v>2338.2739999999999</v>
      </c>
      <c r="N16" s="87">
        <f>L16*365</f>
        <v>142245.00166666668</v>
      </c>
      <c r="O16" s="88" t="e">
        <f>((D16-J16))/D16</f>
        <v>#DIV/0!</v>
      </c>
      <c r="P16" s="89" t="e">
        <f>((F16-L16))/F16</f>
        <v>#DIV/0!</v>
      </c>
      <c r="Q16" s="90" t="s">
        <v>61</v>
      </c>
    </row>
    <row r="17" spans="1:19" s="40" customFormat="1" ht="5.25" customHeight="1" x14ac:dyDescent="0.2">
      <c r="A17" s="254"/>
      <c r="B17" s="91"/>
      <c r="C17" s="92"/>
      <c r="D17" s="93"/>
      <c r="E17" s="92"/>
      <c r="F17" s="94"/>
      <c r="G17" s="94"/>
      <c r="H17" s="94"/>
      <c r="I17" s="92"/>
      <c r="J17" s="93"/>
      <c r="K17" s="92"/>
      <c r="L17" s="93"/>
      <c r="M17" s="94"/>
      <c r="N17" s="94"/>
      <c r="O17" s="95"/>
      <c r="P17" s="95"/>
      <c r="Q17" s="96"/>
    </row>
    <row r="18" spans="1:19" s="107" customFormat="1" x14ac:dyDescent="0.2">
      <c r="A18" s="254"/>
      <c r="B18" s="97" t="s">
        <v>52</v>
      </c>
      <c r="C18" s="98">
        <f>COUNTIFS(ClintonNDD!$E:$E,"&gt;=1/1/2017",ClintonNDD!$E:$E,"&lt;=12/31/2017",ClintonNDD!$C:$C,"NITROGEN, TOTAL (AS N)",ClintonNDD!$G:$G,"MG/L",ClintonNDD!$H:$H,"RAW WASTE")</f>
        <v>0</v>
      </c>
      <c r="D18" s="99" t="e">
        <f>AVERAGEIFS(ClintonNDD!$F:$F,ClintonNDD!$E:$E,"&gt;=1/1/2017",ClintonNDD!$E:$E,"&lt;=12/31/2017",(ClintonNDD!$C:$C),("NITROGEN, TOTAL (AS N)"),(ClintonNDD!$H:$H),("RAW WASTE"),(ClintonNDD!$G:$G),("MG/L"))</f>
        <v>#DIV/0!</v>
      </c>
      <c r="E18" s="98">
        <f>COUNTIFS(ClintonNDD!$E:$E,"&gt;=1/1/2017",ClintonNDD!$E:$E,"&lt;=12/31/2017",ClintonNDD!$C:$C,"NITROGEN, TOTAL (AS N)",ClintonNDD!$G:$G,"LBS/DAY",ClintonNDD!$H:$H,"RAW WASTE")</f>
        <v>0</v>
      </c>
      <c r="F18" s="100" t="e">
        <f>AVERAGEIFS(ClintonNDD!$F:$F,ClintonNDD!$E:$E,"&gt;=1/1/2017",ClintonNDD!$E:$E,"&lt;=12/31/2017",(ClintonNDD!$C:$C),("NITROGEN, TOTAL (AS N)"),(ClintonNDD!$H:$H),("RAW WASTE"),(ClintonNDD!$G:$G),("LBS/DAY"))</f>
        <v>#DIV/0!</v>
      </c>
      <c r="G18" s="100">
        <f>SUMIFS(ClintonNDD!$F:$F,ClintonNDD!$E:$E,"&gt;=1/1/2017",ClintonNDD!$E:$E,"&lt;=12/31/2017",(ClintonNDD!$C:$C),("NITROGEN, TOTAL (AS N)"),(ClintonNDD!$H:$H),("RAW WASTE"),(ClintonNDD!$G:$G),("LBS/DAY"))</f>
        <v>0</v>
      </c>
      <c r="H18" s="101" t="e">
        <f>F18*365</f>
        <v>#DIV/0!</v>
      </c>
      <c r="I18" s="98">
        <f>COUNTIFS(ClintonNDD!$E:$E,"&gt;=1/1/2017",ClintonNDD!$E:$E,"&lt;=12/31/2017",ClintonNDD!$C:$C,"NITROGEN, TOTAL (AS N)",ClintonNDD!$G:$G,"MG/L",ClintonNDD!$H:$H,"FINAL EFFLUENT")</f>
        <v>6</v>
      </c>
      <c r="J18" s="102">
        <f>AVERAGEIFS(ClintonNDD!$F:$F,ClintonNDD!$E:$E,"&gt;=1/1/2017",ClintonNDD!$E:$E,"&lt;=12/31/2017",(ClintonNDD!$C:$C),("NITROGEN, TOTAL (AS N)"),(ClintonNDD!$H:$H),("FINAL EFFLUENT"),(ClintonNDD!$G:$G),("MG/L"))</f>
        <v>10.496666666666668</v>
      </c>
      <c r="K18" s="98">
        <f>COUNTIFS(ClintonNDD!$E:$E,"&gt;=1/1/2017",ClintonNDD!$E:$E,"&lt;=12/31/2017",ClintonNDD!$C:$C,"NITROGEN, TOTAL (AS N)",ClintonNDD!$G:$G,"LBS/DAY",ClintonNDD!$H:$H,"FINAL EFFLUENT")</f>
        <v>6</v>
      </c>
      <c r="L18" s="190">
        <f>AVERAGEIFS((ClintonNDD!$F:$F),ClintonNDD!$E:$E,"&gt;=1/1/2017",ClintonNDD!$E:$E,"&lt;=12/31/2017",(ClintonNDD!$C:$C),("NITROGEN, TOTAL (AS N)"),(ClintonNDD!$H:$H),("FINAL EFFLUENT"),(ClintonNDD!$G:$G),("LBS/DAY"))</f>
        <v>401.62866666666667</v>
      </c>
      <c r="M18" s="100">
        <f>SUMIFS(ClintonNDD!$F:$F,ClintonNDD!$E:$E,"&gt;=1/1/2017",ClintonNDD!$E:$E,"&lt;=12/31/2017",(ClintonNDD!$C:$C),("NITROGEN, TOTAL (AS N)"),(ClintonNDD!$H:$H),("FINAL EFFLUENT"),(ClintonNDD!$G:$G),("LBS/DAY"))</f>
        <v>2409.7719999999999</v>
      </c>
      <c r="N18" s="103">
        <f>L18*365</f>
        <v>146594.46333333335</v>
      </c>
      <c r="O18" s="104" t="e">
        <f>((D18-J18))/D18</f>
        <v>#DIV/0!</v>
      </c>
      <c r="P18" s="105" t="e">
        <f>((F18-L18))/F18</f>
        <v>#DIV/0!</v>
      </c>
      <c r="Q18" s="106" t="s">
        <v>61</v>
      </c>
    </row>
    <row r="19" spans="1:19" s="40" customFormat="1" x14ac:dyDescent="0.2">
      <c r="A19" s="254"/>
      <c r="B19" s="195" t="s">
        <v>53</v>
      </c>
      <c r="C19" s="111">
        <f>COUNTIFS(ClintonNDD!$E:$E,"&gt;=5/1/2017",ClintonNDD!$E:$E,"&lt;=4/30/2018",ClintonNDD!$C:$C,"NITROGEN, TOTAL (AS N)",ClintonNDD!$G:$G,"MG/L",ClintonNDD!$H:$H,"RAW WASTE")</f>
        <v>9</v>
      </c>
      <c r="D19" s="112">
        <f>AVERAGEIFS(ClintonNDD!$F:$F,ClintonNDD!$E:$E,"&gt;=5/1/2017",ClintonNDD!$E:$E,"&lt;=4/30/2018",(ClintonNDD!$C:$C),("NITROGEN, TOTAL (AS N)"),(ClintonNDD!$H:$H),("RAW WASTE"),(ClintonNDD!$G:$G),("MG/L"))</f>
        <v>32.62222222222222</v>
      </c>
      <c r="E19" s="111">
        <f>COUNTIFS(ClintonNDD!$E:$E,"&gt;=5/1/2017",ClintonNDD!$E:$E,"&lt;=4/30/2018",ClintonNDD!$C:$C,"NITROGEN, TOTAL (AS N)",ClintonNDD!$G:$G,"LBS/DAY",ClintonNDD!$H:$H,"RAW WASTE")</f>
        <v>9</v>
      </c>
      <c r="F19" s="113">
        <f>AVERAGEIFS(ClintonNDD!$F:$F,ClintonNDD!$E:$E,"&gt;=5/1/2017",ClintonNDD!$E:$E,"&lt;=4/30/2018",(ClintonNDD!$C:$C),("NITROGEN, TOTAL (AS N)"),(ClintonNDD!$H:$H),("RAW WASTE"),(ClintonNDD!$G:$G),("LBS/DAY"))</f>
        <v>1210.9477059999999</v>
      </c>
      <c r="G19" s="113">
        <f>SUMIFS(ClintonNDD!$F:$F,ClintonNDD!$E:$E,"&gt;=5/1/2017",ClintonNDD!$E:$E,"&lt;=4/30/2018",(ClintonNDD!$C:$C),("NITROGEN, TOTAL (AS N)"),(ClintonNDD!$H:$H),("RAW WASTE"),(ClintonNDD!$G:$G),("LBS/DAY"))</f>
        <v>10898.529353999998</v>
      </c>
      <c r="H19" s="114">
        <f>F19*365</f>
        <v>441995.91268999997</v>
      </c>
      <c r="I19" s="111">
        <f>COUNTIFS(ClintonNDD!$E:$E,"&gt;=5/1/2017",ClintonNDD!$E:$E,"&lt;=4/30/2018",ClintonNDD!$C:$C,"NITROGEN, TOTAL (AS N)",ClintonNDD!$G:$G,"MG/L",ClintonNDD!$H:$H,"FINAL EFFLUENT")</f>
        <v>14</v>
      </c>
      <c r="J19" s="112">
        <f>AVERAGEIFS(ClintonNDD!$F:$F,ClintonNDD!$E:$E,"&gt;=5/1/2017",ClintonNDD!$E:$E,"&lt;=4/30/2018",(ClintonNDD!$C:$C),("NITROGEN, TOTAL (AS N)"),(ClintonNDD!$H:$H),("FINAL EFFLUENT"),(ClintonNDD!$G:$G),("MG/L"))</f>
        <v>7.8699999999999992</v>
      </c>
      <c r="K19" s="111">
        <f>COUNTIFS(ClintonNDD!$E:$E,"&gt;=5/1/2017",ClintonNDD!$E:$E,"&lt;=4/30/2018",ClintonNDD!$C:$C,"NITROGEN, TOTAL (AS N)",ClintonNDD!$G:$G,"LBS/DAY",ClintonNDD!$H:$H,"FINAL EFFLUENT")</f>
        <v>14</v>
      </c>
      <c r="L19" s="191">
        <f>AVERAGEIFS((ClintonNDD!$F:$F),ClintonNDD!$E:$E,"&gt;=5/1/2017",ClintonNDD!$E:$E,"&lt;=4/30/2018",(ClintonNDD!$C:$C),("NITROGEN, TOTAL (AS N)"),(ClintonNDD!$H:$H),("FINAL EFFLUENT"),(ClintonNDD!$G:$G),("LBS/DAY"))</f>
        <v>293.58913590000003</v>
      </c>
      <c r="M19" s="113">
        <f>SUMIFS(ClintonNDD!$F:$F,ClintonNDD!$E:$E,"&gt;=5/1/2017",ClintonNDD!$E:$E,"&lt;=4/30/2018",(ClintonNDD!$C:$C),("NITROGEN, TOTAL (AS N)"),(ClintonNDD!$H:$H),("FINAL EFFLUENT"),(ClintonNDD!$G:$G),("LBS/DAY"))</f>
        <v>4110.2479026000001</v>
      </c>
      <c r="N19" s="114">
        <f>L19*365</f>
        <v>107160.03460350001</v>
      </c>
      <c r="O19" s="115">
        <f>((D19-J19))/D19</f>
        <v>0.75875340599455043</v>
      </c>
      <c r="P19" s="116">
        <f>((F19-L19))/F19</f>
        <v>0.75755424082697753</v>
      </c>
      <c r="Q19" s="117">
        <f>(F19-L19)*365</f>
        <v>334835.87808649999</v>
      </c>
    </row>
    <row r="20" spans="1:19" s="40" customFormat="1" ht="5.25" customHeight="1" x14ac:dyDescent="0.2">
      <c r="A20" s="254"/>
      <c r="B20" s="217"/>
      <c r="C20" s="163"/>
      <c r="D20" s="218"/>
      <c r="E20" s="163"/>
      <c r="F20" s="94"/>
      <c r="G20" s="94"/>
      <c r="H20" s="219"/>
      <c r="I20" s="163"/>
      <c r="J20" s="218"/>
      <c r="K20" s="163"/>
      <c r="L20" s="93"/>
      <c r="M20" s="94"/>
      <c r="N20" s="219"/>
      <c r="O20" s="95"/>
      <c r="P20" s="220"/>
      <c r="Q20" s="96"/>
    </row>
    <row r="21" spans="1:19" s="144" customFormat="1" x14ac:dyDescent="0.2">
      <c r="A21" s="254"/>
      <c r="B21" s="134" t="s">
        <v>63</v>
      </c>
      <c r="C21" s="135">
        <f>COUNTIFS(ClintonNDD!$E:$E,"&gt;=1/1/2018",ClintonNDD!$E:$E,"&lt;=12/31/2018",ClintonNDD!$C:$C,"NITROGEN, TOTAL (AS N)",ClintonNDD!$G:$G,"MG/L",ClintonNDD!$H:$H,"RAW WASTE")</f>
        <v>9</v>
      </c>
      <c r="D21" s="136">
        <f>AVERAGEIFS(ClintonNDD!$F:$F,ClintonNDD!$E:$E,"&gt;=1/1/2018",ClintonNDD!$E:$E,"&lt;=12/31/2018",(ClintonNDD!$C:$C),("NITROGEN, TOTAL (AS N)"),(ClintonNDD!$H:$H),("RAW WASTE"),(ClintonNDD!$G:$G),("MG/L"))</f>
        <v>32.62222222222222</v>
      </c>
      <c r="E21" s="135">
        <f>COUNTIFS(ClintonNDD!$E:$E,"&gt;=1/1/2018",ClintonNDD!$E:$E,"&lt;=12/31/2018",ClintonNDD!$C:$C,"NITROGEN, TOTAL (AS N)",ClintonNDD!$G:$G,"LBS/DAY",ClintonNDD!$H:$H,"RAW WASTE")</f>
        <v>9</v>
      </c>
      <c r="F21" s="137">
        <f>AVERAGEIFS(ClintonNDD!$F:$F,ClintonNDD!$E:$E,"&gt;=1/1/2018",ClintonNDD!$E:$E,"&lt;=12/31/2018",(ClintonNDD!$C:$C),("NITROGEN, TOTAL (AS N)"),(ClintonNDD!$H:$H),("RAW WASTE"),(ClintonNDD!$G:$G),("LBS/DAY"))</f>
        <v>1210.9477059999999</v>
      </c>
      <c r="G21" s="137">
        <f>SUMIFS(ClintonNDD!$F:$F,ClintonNDD!$E:$E,"&gt;=1/1/2018",ClintonNDD!$E:$E,"&lt;=12/31/2018",(ClintonNDD!$C:$C),("NITROGEN, TOTAL (AS N)"),(ClintonNDD!$H:$H),("RAW WASTE"),(ClintonNDD!$G:$G),("LBS/DAY"))</f>
        <v>10898.529353999998</v>
      </c>
      <c r="H21" s="138">
        <f>F21*365</f>
        <v>441995.91268999997</v>
      </c>
      <c r="I21" s="135">
        <f>COUNTIFS(ClintonNDD!$E:$E,"&gt;=1/1/2018",ClintonNDD!$E:$E,"&lt;=12/31/2018",ClintonNDD!$C:$C,"NITROGEN, TOTAL (AS N)",ClintonNDD!$G:$G,"MG/L",ClintonNDD!$H:$H,"FINAL EFFLUENT")</f>
        <v>10</v>
      </c>
      <c r="J21" s="139">
        <f>AVERAGEIFS(ClintonNDD!$F:$F,ClintonNDD!$E:$E,"&gt;=1/1/2018",ClintonNDD!$E:$E,"&lt;=12/31/2018",(ClintonNDD!$C:$C),("NITROGEN, TOTAL (AS N)"),(ClintonNDD!$H:$H),("FINAL EFFLUENT"),(ClintonNDD!$G:$G),("MG/L"))</f>
        <v>6.8789999999999996</v>
      </c>
      <c r="K21" s="135">
        <f>COUNTIFS(ClintonNDD!$E:$E,"&gt;=1/1/2018",ClintonNDD!$E:$E,"&lt;=12/31/2018",ClintonNDD!$C:$C,"NITROGEN, TOTAL (AS N)",ClintonNDD!$G:$G,"LBS/DAY",ClintonNDD!$H:$H,"FINAL EFFLUENT")</f>
        <v>10</v>
      </c>
      <c r="L21" s="193">
        <f>AVERAGEIFS((ClintonNDD!$F:$F),ClintonNDD!$E:$E,"&gt;=1/1/2018",ClintonNDD!$E:$E,"&lt;=12/31/2018",(ClintonNDD!$C:$C),("NITROGEN, TOTAL (AS N)"),(ClintonNDD!$H:$H),("FINAL EFFLUENT"),(ClintonNDD!$G:$G),("LBS/DAY"))</f>
        <v>258.47569026000002</v>
      </c>
      <c r="M21" s="137">
        <f>SUMIFS(ClintonNDD!$F:$F,ClintonNDD!$E:$E,"&gt;=1/1/2018",ClintonNDD!$E:$E,"&lt;=12/31/2018",(ClintonNDD!$C:$C),("NITROGEN, TOTAL (AS N)"),(ClintonNDD!$H:$H),("FINAL EFFLUENT"),(ClintonNDD!$G:$G),("LBS/DAY"))</f>
        <v>2584.7569026000001</v>
      </c>
      <c r="N21" s="140">
        <f>L21*365</f>
        <v>94343.62694490001</v>
      </c>
      <c r="O21" s="141">
        <f>((D21-J21))/D21</f>
        <v>0.78913147138964579</v>
      </c>
      <c r="P21" s="142">
        <f>((F21-L21))/F21</f>
        <v>0.78655090638571312</v>
      </c>
      <c r="Q21" s="143">
        <f>(F21-L21)*365</f>
        <v>347652.2857451</v>
      </c>
    </row>
    <row r="22" spans="1:19" s="40" customFormat="1" ht="12" thickBot="1" x14ac:dyDescent="0.25">
      <c r="A22" s="255"/>
      <c r="B22" s="145" t="s">
        <v>64</v>
      </c>
      <c r="C22" s="146">
        <f>COUNTIFS(ClintonNDD!$E:$E,"&gt;=5/1/2018",ClintonNDD!$E:$E,"&lt;=4/30/2019",ClintonNDD!$C:$C,"NITROGEN, TOTAL (AS N)",ClintonNDD!$G:$G,"MG/L",ClintonNDD!$H:$H,"RAW WASTE")</f>
        <v>0</v>
      </c>
      <c r="D22" s="147" t="e">
        <f>AVERAGEIFS(ClintonNDD!$F:$F,ClintonNDD!$E:$E,"&gt;=5/1/2018",ClintonNDD!$E:$E,"&lt;=4/30/2019",(ClintonNDD!$C:$C),("NITROGEN, TOTAL (AS N)"),(ClintonNDD!$H:$H),("RAW WASTE"),(ClintonNDD!$G:$G),("MG/L"))</f>
        <v>#DIV/0!</v>
      </c>
      <c r="E22" s="146">
        <f>COUNTIFS(ClintonNDD!$E:$E,"&gt;=5/1/2018",ClintonNDD!$E:$E,"&lt;=4/30/2019",ClintonNDD!$C:$C,"NITROGEN, TOTAL (AS N)",ClintonNDD!$G:$G,"LBS/DAY",ClintonNDD!$H:$H,"RAW WASTE")</f>
        <v>0</v>
      </c>
      <c r="F22" s="148" t="e">
        <f>AVERAGEIFS(ClintonNDD!$F:$F,ClintonNDD!$E:$E,"&gt;=5/1/2018",ClintonNDD!$E:$E,"&lt;=4/30/2019",(ClintonNDD!$C:$C),("NITROGEN, TOTAL (AS N)"),(ClintonNDD!$H:$H),("RAW WASTE"),(ClintonNDD!$G:$G),("LBS/DAY"))</f>
        <v>#DIV/0!</v>
      </c>
      <c r="G22" s="148">
        <f>SUMIFS(ClintonNDD!$F:$F,ClintonNDD!$E:$E,"&gt;=5/1/2018",ClintonNDD!$E:$E,"&lt;=4/30/2019",(ClintonNDD!$C:$C),("NITROGEN, TOTAL (AS N)"),(ClintonNDD!$H:$H),("RAW WASTE"),(ClintonNDD!$G:$G),("LBS/DAY"))</f>
        <v>0</v>
      </c>
      <c r="H22" s="149" t="e">
        <f>F22*365</f>
        <v>#DIV/0!</v>
      </c>
      <c r="I22" s="146">
        <f>COUNTIFS(ClintonNDD!$E:$E,"&gt;=5/1/2018",ClintonNDD!$E:$E,"&lt;=4/30/2019",ClintonNDD!$C:$C,"NITROGEN, TOTAL (AS N)",ClintonNDD!$G:$G,"MG/L",ClintonNDD!$H:$H,"FINAL EFFLUENT")</f>
        <v>0</v>
      </c>
      <c r="J22" s="147" t="e">
        <f>AVERAGEIFS(ClintonNDD!$F:$F,ClintonNDD!$E:$E,"&gt;=5/1/2018",ClintonNDD!$E:$E,"&lt;=4/30/2019",(ClintonNDD!$C:$C),("NITROGEN, TOTAL (AS N)"),(ClintonNDD!$H:$H),("FINAL EFFLUENT"),(ClintonNDD!$G:$G),("MG/L"))</f>
        <v>#DIV/0!</v>
      </c>
      <c r="K22" s="146">
        <f>COUNTIFS(ClintonNDD!$E:$E,"&gt;=5/1/2018",ClintonNDD!$E:$E,"&lt;=4/30/2019",ClintonNDD!$C:$C,"NITROGEN, TOTAL (AS N)",ClintonNDD!$G:$G,"LBS/DAY",ClintonNDD!$H:$H,"FINAL EFFLUENT")</f>
        <v>0</v>
      </c>
      <c r="L22" s="194" t="e">
        <f>AVERAGEIFS((ClintonNDD!$F:$F),ClintonNDD!$E:$E,"&gt;=5/1/2018",ClintonNDD!$E:$E,"&lt;=4/30/2019",(ClintonNDD!$C:$C),("NITROGEN, TOTAL (AS N)"),(ClintonNDD!$H:$H),("FINAL EFFLUENT"),(ClintonNDD!$G:$G),("LBS/DAY"))</f>
        <v>#DIV/0!</v>
      </c>
      <c r="M22" s="148">
        <f>SUMIFS(ClintonNDD!$F:$F,ClintonNDD!$E:$E,"&gt;=5/1/2018",ClintonNDD!$E:$E,"&lt;=4/30/2019",(ClintonNDD!$C:$C),("NITROGEN, TOTAL (AS N)"),(ClintonNDD!$H:$H),("FINAL EFFLUENT"),(ClintonNDD!$G:$G),("LBS/DAY"))</f>
        <v>0</v>
      </c>
      <c r="N22" s="149" t="e">
        <f>L22*365</f>
        <v>#DIV/0!</v>
      </c>
      <c r="O22" s="150" t="e">
        <f>((D22-J22))/D22</f>
        <v>#DIV/0!</v>
      </c>
      <c r="P22" s="151" t="e">
        <f>((F22-L22))/F22</f>
        <v>#DIV/0!</v>
      </c>
      <c r="Q22" s="152" t="e">
        <f>(F22-L22)*365</f>
        <v>#DIV/0!</v>
      </c>
    </row>
    <row r="23" spans="1:19" s="40" customFormat="1" ht="11.25" customHeight="1" x14ac:dyDescent="0.2">
      <c r="A23" s="110"/>
      <c r="B23" s="91"/>
      <c r="C23" s="92"/>
      <c r="D23" s="93"/>
      <c r="E23" s="92"/>
      <c r="F23" s="93"/>
      <c r="G23" s="94"/>
      <c r="H23" s="94"/>
      <c r="I23" s="92"/>
      <c r="J23" s="93"/>
      <c r="K23" s="92"/>
      <c r="L23" s="93"/>
      <c r="M23" s="94"/>
      <c r="N23" s="94"/>
      <c r="O23" s="95"/>
      <c r="P23" s="153" t="s">
        <v>65</v>
      </c>
      <c r="Q23" s="94">
        <f>_xlfn.STDEV.P(Q19)</f>
        <v>0</v>
      </c>
    </row>
    <row r="24" spans="1:19" s="40" customFormat="1" ht="11.25" customHeight="1" x14ac:dyDescent="0.2">
      <c r="A24" s="110"/>
      <c r="B24" s="91"/>
      <c r="C24" s="92"/>
      <c r="D24" s="93"/>
      <c r="E24" s="92"/>
      <c r="F24" s="93"/>
      <c r="G24" s="94"/>
      <c r="H24" s="94"/>
      <c r="I24" s="92"/>
      <c r="J24" s="93"/>
      <c r="K24" s="92"/>
      <c r="L24" s="93"/>
      <c r="M24" s="94"/>
      <c r="N24" s="94"/>
      <c r="O24" s="95"/>
      <c r="P24" s="153" t="s">
        <v>66</v>
      </c>
      <c r="Q24" s="154">
        <f>(Q23/(AVERAGE(Q19)))</f>
        <v>0</v>
      </c>
    </row>
    <row r="25" spans="1:19" s="40" customFormat="1" ht="11.25" customHeight="1" x14ac:dyDescent="0.2">
      <c r="A25" s="110"/>
      <c r="B25" s="91"/>
      <c r="C25" s="92"/>
      <c r="D25" s="93"/>
      <c r="E25" s="92"/>
      <c r="F25" s="93"/>
      <c r="G25" s="94"/>
      <c r="H25" s="94"/>
      <c r="I25" s="92"/>
      <c r="J25" s="93"/>
      <c r="K25" s="92"/>
      <c r="L25" s="93"/>
      <c r="M25" s="94"/>
      <c r="N25" s="94"/>
      <c r="O25" s="95"/>
      <c r="P25" s="153" t="s">
        <v>67</v>
      </c>
      <c r="Q25" s="94">
        <f>_xlfn.STDEV.P(Q21)</f>
        <v>0</v>
      </c>
    </row>
    <row r="26" spans="1:19" s="40" customFormat="1" ht="11.25" customHeight="1" x14ac:dyDescent="0.2">
      <c r="A26" s="110"/>
      <c r="B26" s="91"/>
      <c r="C26" s="92"/>
      <c r="D26" s="93"/>
      <c r="E26" s="92"/>
      <c r="F26" s="93"/>
      <c r="G26" s="94"/>
      <c r="H26" s="94"/>
      <c r="I26" s="92"/>
      <c r="J26" s="93"/>
      <c r="K26" s="92"/>
      <c r="L26" s="93"/>
      <c r="M26" s="94"/>
      <c r="N26" s="94"/>
      <c r="O26" s="95"/>
      <c r="P26" s="153" t="s">
        <v>68</v>
      </c>
      <c r="Q26" s="154">
        <f>Q25/(AVERAGE(Q21))</f>
        <v>0</v>
      </c>
    </row>
    <row r="27" spans="1:19" s="40" customFormat="1" ht="11.25" customHeight="1" x14ac:dyDescent="0.2">
      <c r="A27" s="110"/>
      <c r="B27" s="91"/>
      <c r="C27" s="92"/>
      <c r="D27" s="93"/>
      <c r="E27" s="92"/>
      <c r="F27" s="93"/>
      <c r="G27" s="94"/>
      <c r="H27" s="94"/>
      <c r="I27" s="92"/>
      <c r="J27" s="93"/>
      <c r="K27" s="92"/>
      <c r="L27" s="93"/>
      <c r="M27" s="94"/>
      <c r="N27" s="94"/>
      <c r="O27" s="95"/>
      <c r="P27" s="153" t="s">
        <v>69</v>
      </c>
      <c r="Q27" s="155">
        <f>_xlfn.STDEV.P(Q19)</f>
        <v>0</v>
      </c>
    </row>
    <row r="28" spans="1:19" s="40" customFormat="1" ht="11.25" customHeight="1" x14ac:dyDescent="0.2">
      <c r="A28" s="110"/>
      <c r="B28" s="91"/>
      <c r="C28" s="92"/>
      <c r="D28" s="93"/>
      <c r="E28" s="92"/>
      <c r="F28" s="93"/>
      <c r="G28" s="94"/>
      <c r="H28" s="94"/>
      <c r="I28" s="92"/>
      <c r="J28" s="93"/>
      <c r="K28" s="92"/>
      <c r="L28" s="93"/>
      <c r="M28" s="94"/>
      <c r="N28" s="94"/>
      <c r="O28" s="95"/>
      <c r="P28" s="153" t="s">
        <v>70</v>
      </c>
      <c r="Q28" s="95">
        <f>Q27/(AVERAGE(Q19))</f>
        <v>0</v>
      </c>
    </row>
    <row r="29" spans="1:19" s="40" customFormat="1" ht="11.25" customHeight="1" x14ac:dyDescent="0.2">
      <c r="A29" s="110"/>
      <c r="B29" s="91"/>
      <c r="C29" s="92"/>
      <c r="D29" s="93"/>
      <c r="E29" s="92"/>
      <c r="F29" s="93"/>
      <c r="G29" s="94"/>
      <c r="H29" s="94"/>
      <c r="I29" s="92"/>
      <c r="J29" s="93"/>
      <c r="K29" s="92"/>
      <c r="L29" s="93"/>
      <c r="M29" s="94"/>
      <c r="N29" s="94"/>
      <c r="O29" s="95"/>
      <c r="P29" s="153"/>
      <c r="Q29" s="95"/>
    </row>
    <row r="30" spans="1:19" ht="11.25" customHeight="1" thickBot="1" x14ac:dyDescent="0.25"/>
    <row r="31" spans="1:19" ht="11.25" customHeight="1" x14ac:dyDescent="0.2">
      <c r="A31" s="253" t="s">
        <v>38</v>
      </c>
      <c r="B31" s="239" t="s">
        <v>38</v>
      </c>
      <c r="C31" s="242" t="s">
        <v>39</v>
      </c>
      <c r="D31" s="243"/>
      <c r="E31" s="243"/>
      <c r="F31" s="243"/>
      <c r="G31" s="243"/>
      <c r="H31" s="243"/>
      <c r="I31" s="244" t="s">
        <v>48</v>
      </c>
      <c r="J31" s="244"/>
      <c r="K31" s="244"/>
      <c r="L31" s="244"/>
      <c r="M31" s="244"/>
      <c r="N31" s="244"/>
      <c r="O31" s="259" t="s">
        <v>40</v>
      </c>
      <c r="P31" s="260"/>
      <c r="Q31" s="263" t="s">
        <v>62</v>
      </c>
      <c r="S31" s="175"/>
    </row>
    <row r="32" spans="1:19" ht="11.25" customHeight="1" x14ac:dyDescent="0.2">
      <c r="A32" s="254"/>
      <c r="B32" s="240"/>
      <c r="C32" s="256" t="s">
        <v>28</v>
      </c>
      <c r="D32" s="257"/>
      <c r="E32" s="256" t="s">
        <v>29</v>
      </c>
      <c r="F32" s="258"/>
      <c r="G32" s="258"/>
      <c r="H32" s="257"/>
      <c r="I32" s="256" t="s">
        <v>28</v>
      </c>
      <c r="J32" s="257"/>
      <c r="K32" s="256" t="s">
        <v>29</v>
      </c>
      <c r="L32" s="258"/>
      <c r="M32" s="258"/>
      <c r="N32" s="258"/>
      <c r="O32" s="261"/>
      <c r="P32" s="262"/>
      <c r="Q32" s="264"/>
      <c r="S32" s="175"/>
    </row>
    <row r="33" spans="1:19" ht="33.75" x14ac:dyDescent="0.2">
      <c r="A33" s="254"/>
      <c r="B33" s="241"/>
      <c r="C33" s="6" t="s">
        <v>30</v>
      </c>
      <c r="D33" s="7" t="s">
        <v>31</v>
      </c>
      <c r="E33" s="6" t="s">
        <v>30</v>
      </c>
      <c r="F33" s="176" t="s">
        <v>32</v>
      </c>
      <c r="G33" s="8" t="s">
        <v>33</v>
      </c>
      <c r="H33" s="9" t="s">
        <v>43</v>
      </c>
      <c r="I33" s="6" t="s">
        <v>30</v>
      </c>
      <c r="J33" s="7" t="s">
        <v>31</v>
      </c>
      <c r="K33" s="6" t="s">
        <v>30</v>
      </c>
      <c r="L33" s="176" t="s">
        <v>32</v>
      </c>
      <c r="M33" s="177" t="s">
        <v>34</v>
      </c>
      <c r="N33" s="9" t="s">
        <v>44</v>
      </c>
      <c r="O33" s="10" t="s">
        <v>35</v>
      </c>
      <c r="P33" s="165" t="s">
        <v>36</v>
      </c>
      <c r="Q33" s="30" t="s">
        <v>45</v>
      </c>
      <c r="S33" s="175"/>
    </row>
    <row r="34" spans="1:19" s="18" customFormat="1" x14ac:dyDescent="0.2">
      <c r="A34" s="254"/>
      <c r="B34" s="69" t="s">
        <v>37</v>
      </c>
      <c r="C34" s="31">
        <f>COUNTIFS(ClintonNDD!C:C,"PHOSPHORUS, TOTAL (AS P)",ClintonNDD!G:G,"MG/L",ClintonNDD!H:H,"RAW WASTE")</f>
        <v>9</v>
      </c>
      <c r="D34" s="32">
        <f>AVERAGEIFS(ClintonNDD!F:F,(ClintonNDD!C:C),("PHOSPHORUS, TOTAL (AS P)"),(ClintonNDD!H:H),("RAW WASTE"),(ClintonNDD!G:G),("MG/L"))</f>
        <v>4.6133333333333333</v>
      </c>
      <c r="E34" s="33">
        <f>COUNTIFS(ClintonNDD!C:C,"PHOSPHORUS, TOTAL (AS P)",ClintonNDD!G:G,"LBS/DAY",ClintonNDD!H:H,"RAW WASTE")</f>
        <v>9</v>
      </c>
      <c r="F34" s="178">
        <f>AVERAGEIFS(ClintonNDD!F:F,(ClintonNDD!C:C),("PHOSPHORUS, TOTAL (AS P)"),(ClintonNDD!H:H),("RAW WASTE"),(ClintonNDD!G:G),("LBS/DAY"))</f>
        <v>171.15598199999997</v>
      </c>
      <c r="G34" s="34">
        <f>(SUMIFS(ClintonNDD!F:F,(ClintonNDD!C:C),("PHOSPHORUS, TOTAL (AS P)"),(ClintonNDD!H:H),("RAW WASTE"),(ClintonNDD!G:G),("LBS/DAY")))</f>
        <v>1540.4038379999997</v>
      </c>
      <c r="H34" s="35">
        <f>F34*365</f>
        <v>62471.93342999999</v>
      </c>
      <c r="I34" s="33">
        <f>COUNTIFS(ClintonNDD!C:C,"PHOSPHORUS, TOTAL (AS P)",ClintonNDD!G:G,"MG/L",ClintonNDD!H:H,"FINAL EFFLUENT")</f>
        <v>20</v>
      </c>
      <c r="J34" s="32">
        <f>(AVERAGEIFS(ClintonNDD!F:F,(ClintonNDD!C:C),("PHOSPHORUS, TOTAL (AS P)"),(ClintonNDD!H:H),("FINAL EFFLUENT"),(ClintonNDD!G:G),("MG/L")))</f>
        <v>0.69499999999999995</v>
      </c>
      <c r="K34" s="33">
        <f>COUNTIFS(ClintonNDD!C:C,"PHOSPHORUS, TOTAL (AS P)",ClintonNDD!G:G,"LBS/DAY",ClintonNDD!H:H,"FINAL EFFLUENT")</f>
        <v>20</v>
      </c>
      <c r="L34" s="178">
        <f>AVERAGEIFS(ClintonNDD!F:F,(ClintonNDD!C:C),("PHOSPHORUS, TOTAL (AS P)"),(ClintonNDD!H:H),("FINAL EFFLUENT"),(ClintonNDD!G:G),("LBS/DAY"))</f>
        <v>28.397389144999998</v>
      </c>
      <c r="M34" s="34">
        <f>SUMIFS(ClintonNDD!F:F,(ClintonNDD!C:C),("PHOSPHORUS, TOTAL (AS P)"),(ClintonNDD!H:H),("FINAL EFFLUENT"),(ClintonNDD!G:G),("LBS/DAY"))</f>
        <v>567.94778289999999</v>
      </c>
      <c r="N34" s="35">
        <f>L34*365</f>
        <v>10365.047037925</v>
      </c>
      <c r="O34" s="36">
        <f>((D34-J34))/D34</f>
        <v>0.84934971098265899</v>
      </c>
      <c r="P34" s="37">
        <f>((F34-L34))/F34</f>
        <v>0.83408474063734439</v>
      </c>
      <c r="Q34" s="38">
        <f>(F34-L34)*365</f>
        <v>52106.886392074986</v>
      </c>
    </row>
    <row r="35" spans="1:19" s="18" customFormat="1" ht="5.25" customHeight="1" x14ac:dyDescent="0.2">
      <c r="A35" s="254"/>
      <c r="B35" s="69"/>
      <c r="C35" s="11"/>
      <c r="D35" s="12"/>
      <c r="E35" s="13"/>
      <c r="F35" s="179"/>
      <c r="G35" s="14"/>
      <c r="H35" s="15"/>
      <c r="I35" s="13"/>
      <c r="J35" s="12"/>
      <c r="K35" s="13"/>
      <c r="L35" s="179"/>
      <c r="M35" s="14"/>
      <c r="N35" s="15"/>
      <c r="O35" s="16"/>
      <c r="P35" s="17"/>
      <c r="Q35" s="39"/>
    </row>
    <row r="36" spans="1:19" s="40" customFormat="1" x14ac:dyDescent="0.2">
      <c r="A36" s="254"/>
      <c r="B36" s="70" t="s">
        <v>49</v>
      </c>
      <c r="C36" s="71">
        <f>COUNTIFS(ClintonNDD!$E:$E,"&gt;=5/1/2014",ClintonNDD!$E:$E,"&lt;=4/30/2015",ClintonNDD!$C:$C,"PHOSPHORUS, TOTAL (AS P)",ClintonNDD!$G:$G,"MG/L",ClintonNDD!$H:$H,"RAW WASTE")</f>
        <v>0</v>
      </c>
      <c r="D36" s="72" t="e">
        <f>AVERAGEIFS(ClintonNDD!$F:$F,ClintonNDD!$E:$E,"&gt;=5/1/2014",ClintonNDD!$E:$E,"&lt;=4/30/2015",(ClintonNDD!$C:$C),("PHOSPHORUS, TOTAL (AS P)"),(ClintonNDD!$H:$H),("RAW WASTE"),(ClintonNDD!$G:$G),("MG/L"))</f>
        <v>#DIV/0!</v>
      </c>
      <c r="E36" s="73">
        <f>COUNTIFS(ClintonNDD!$E:$E,"&gt;=5/1/2014",ClintonNDD!$E:$E,"&lt;=4/30/2015",ClintonNDD!$C:$C,"PHOSPHORUS, TOTAL (AS P)",ClintonNDD!$G:$G,"LBS/DAY",ClintonNDD!$H:$H,"RAW WASTE")</f>
        <v>0</v>
      </c>
      <c r="F36" s="180" t="e">
        <f>AVERAGEIFS(ClintonNDD!$F:$F,ClintonNDD!$E:$E,"&gt;=5/1/2014",ClintonNDD!$E:$E,"&lt;=4/30/2015",(ClintonNDD!$C:$C),("PHOSPHORUS, TOTAL (AS P)"),(ClintonNDD!$H:$H),("RAW WASTE"),(ClintonNDD!$G:$G),("LBS/DAY"))</f>
        <v>#DIV/0!</v>
      </c>
      <c r="G36" s="74">
        <f>SUMIFS(ClintonNDD!$F:$F,ClintonNDD!$E:$E,"&gt;=5/1/2014",ClintonNDD!$E:$E,"&lt;=4/30/2015",(ClintonNDD!$C:$C),("PHOSPHORUS, TOTAL (AS P)"),(ClintonNDD!$H:$H),("RAW WASTE"),(ClintonNDD!$G:$G),("LBS/DAY"))</f>
        <v>0</v>
      </c>
      <c r="H36" s="75" t="e">
        <f>F36*365</f>
        <v>#DIV/0!</v>
      </c>
      <c r="I36" s="73">
        <f>COUNTIFS(ClintonNDD!$E:$E,"&gt;=5/1/2014",ClintonNDD!$E:$E,"&lt;=4/30/2015",ClintonNDD!$C:$C,"PHOSPHORUS, TOTAL (AS P)",ClintonNDD!$G:$G,"MG/L",ClintonNDD!$H:$H,"FINAL EFFLUENT")</f>
        <v>0</v>
      </c>
      <c r="J36" s="72" t="e">
        <f>AVERAGEIFS(ClintonNDD!$F:$F,ClintonNDD!$E:$E,"&gt;=5/1/2014",ClintonNDD!$E:$E,"&lt;=4/30/2015",(ClintonNDD!$C:$C),("PHOSPHORUS, TOTAL (AS P)"),(ClintonNDD!$H:$H),("FINAL EFFLUENT"),(ClintonNDD!$G:$G),("MG/L"))</f>
        <v>#DIV/0!</v>
      </c>
      <c r="K36" s="73">
        <f>COUNTIFS(ClintonNDD!$E:$E,"&gt;=5/1/2014",ClintonNDD!$E:$E,"&lt;=4/30/2015",ClintonNDD!$C:$C,"PHOSPHORUS, TOTAL (AS P)",ClintonNDD!$G:$G,"LBS/DAY",ClintonNDD!$H:$H,"FINAL EFFLUENT")</f>
        <v>0</v>
      </c>
      <c r="L36" s="180" t="e">
        <f>AVERAGEIFS((ClintonNDD!$F:$F),ClintonNDD!$E:$E,"&gt;=5/1/2014",ClintonNDD!$E:$E,"&lt;=4/30/2015",(ClintonNDD!$C:$C),("PHOSPHORUS, TOTAL (AS P)"),(ClintonNDD!$H:$H),("FINAL EFFLUENT"),(ClintonNDD!$G:$G),("LBS/DAY"))</f>
        <v>#DIV/0!</v>
      </c>
      <c r="M36" s="74">
        <f>SUMIFS(ClintonNDD!$F:$F,ClintonNDD!$E:$E,"&gt;=5/1/2014",ClintonNDD!$E:$E,"&lt;=4/30/2015",(ClintonNDD!$C:$C),("PHOSPHORUS, TOTAL (AS P)"),(ClintonNDD!$H:$H),("FINAL EFFLUENT"),(ClintonNDD!$G:$G),("LBS/DAY"))</f>
        <v>0</v>
      </c>
      <c r="N36" s="75" t="e">
        <f>L36*365</f>
        <v>#DIV/0!</v>
      </c>
      <c r="O36" s="76" t="e">
        <f>((D36-J36))/D36</f>
        <v>#DIV/0!</v>
      </c>
      <c r="P36" s="77" t="e">
        <f>((F36-L36))/F36</f>
        <v>#DIV/0!</v>
      </c>
      <c r="Q36" s="78" t="s">
        <v>61</v>
      </c>
    </row>
    <row r="37" spans="1:19" s="18" customFormat="1" ht="5.25" customHeight="1" x14ac:dyDescent="0.2">
      <c r="A37" s="254"/>
      <c r="B37" s="69"/>
      <c r="C37" s="11"/>
      <c r="D37" s="12"/>
      <c r="E37" s="13"/>
      <c r="F37" s="179"/>
      <c r="G37" s="14"/>
      <c r="H37" s="15"/>
      <c r="I37" s="13"/>
      <c r="J37" s="12"/>
      <c r="K37" s="13"/>
      <c r="L37" s="179"/>
      <c r="M37" s="179"/>
      <c r="N37" s="15"/>
      <c r="O37" s="16"/>
      <c r="P37" s="17"/>
      <c r="Q37" s="39"/>
    </row>
    <row r="38" spans="1:19" s="50" customFormat="1" x14ac:dyDescent="0.2">
      <c r="A38" s="254"/>
      <c r="B38" s="79" t="s">
        <v>46</v>
      </c>
      <c r="C38" s="41">
        <f>COUNTIFS(ClintonNDD!$E:$E,"&gt;=1/1/2015",ClintonNDD!$E:$E,"&lt;=12/31/2015",ClintonNDD!$C:$C,"PHOSPHORUS, TOTAL (AS P)",ClintonNDD!$G:$G,"MG/L",ClintonNDD!$H:$H,"RAW WASTE")</f>
        <v>0</v>
      </c>
      <c r="D38" s="42" t="e">
        <f>AVERAGEIFS(ClintonNDD!$F:$F,ClintonNDD!$E:$E,"&gt;=1/1/2015",ClintonNDD!$E:$E,"&lt;=12/31/2015",(ClintonNDD!$C:$C),("PHOSPHORUS, TOTAL (AS P)"),(ClintonNDD!$H:$H),("RAW WASTE"),(ClintonNDD!$G:$G),("MG/L"))</f>
        <v>#DIV/0!</v>
      </c>
      <c r="E38" s="41">
        <f>COUNTIFS(ClintonNDD!$E:$E,"&gt;=1/1/2015",ClintonNDD!$E:$E,"&lt;=12/31/2015",ClintonNDD!$C:$C,"PHOSPHORUS, TOTAL (AS P)",ClintonNDD!$G:$G,"LBS/DAY",ClintonNDD!$H:$H,"RAW WASTE")</f>
        <v>0</v>
      </c>
      <c r="F38" s="181" t="e">
        <f>AVERAGEIFS(ClintonNDD!$F:$F,ClintonNDD!$E:$E,"&gt;=1/1/2015",ClintonNDD!$E:$E,"&lt;=12/31/2015",(ClintonNDD!$C:$C),("PHOSPHORUS, TOTAL (AS P)"),(ClintonNDD!$H:$H),("RAW WASTE"),(ClintonNDD!$G:$G),("LBS/DAY"))</f>
        <v>#DIV/0!</v>
      </c>
      <c r="G38" s="43">
        <f>SUMIFS(ClintonNDD!$F:$F,ClintonNDD!$E:$E,"&gt;=1/1/2015",ClintonNDD!$E:$E,"&lt;=12/31/2015",(ClintonNDD!$C:$C),("PHOSPHORUS, TOTAL (AS P)"),(ClintonNDD!$H:$H),("RAW WASTE"),(ClintonNDD!$G:$G),("LBS/DAY"))</f>
        <v>0</v>
      </c>
      <c r="H38" s="44" t="e">
        <f>F38*365</f>
        <v>#DIV/0!</v>
      </c>
      <c r="I38" s="41">
        <f>COUNTIFS(ClintonNDD!$E:$E,"&gt;=1/1/2015",ClintonNDD!$E:$E,"&lt;=12/31/2015",ClintonNDD!$C:$C,"PHOSPHORUS, TOTAL (AS P)",ClintonNDD!$G:$G,"MG/L",ClintonNDD!$H:$H,"FINAL EFFLUENT")</f>
        <v>0</v>
      </c>
      <c r="J38" s="45" t="e">
        <f>AVERAGEIFS(ClintonNDD!$F:$F,ClintonNDD!$E:$E,"&gt;=1/1/2015",ClintonNDD!$E:$E,"&lt;=12/31/2015",(ClintonNDD!$C:$C),("PHOSPHORUS, TOTAL (AS P)"),(ClintonNDD!$H:$H),("FINAL EFFLUENT"),(ClintonNDD!$G:$G),("MG/L"))</f>
        <v>#DIV/0!</v>
      </c>
      <c r="K38" s="41">
        <f>COUNTIFS(ClintonNDD!$E:$E,"&gt;=1/1/2015",ClintonNDD!$E:$E,"&lt;=12/31/2015",ClintonNDD!$C:$C,"PHOSPHORUS, TOTAL (AS P)",ClintonNDD!$G:$G,"LBS/DAY",ClintonNDD!$H:$H,"FINAL EFFLUENT")</f>
        <v>0</v>
      </c>
      <c r="L38" s="182" t="e">
        <f>AVERAGEIFS((ClintonNDD!$F:$F),ClintonNDD!$E:$E,"&gt;=1/1/2015",ClintonNDD!$E:$E,"&lt;=12/31/2015",(ClintonNDD!$C:$C),("PHOSPHORUS, TOTAL (AS P)"),(ClintonNDD!$H:$H),("FINAL EFFLUENT"),(ClintonNDD!$G:$G),("LBS/DAY"))</f>
        <v>#DIV/0!</v>
      </c>
      <c r="M38" s="43">
        <f>SUMIFS(ClintonNDD!$F:$F,ClintonNDD!$E:$E,"&gt;=1/1/2015",ClintonNDD!$E:$E,"&lt;=12/31/2015",(ClintonNDD!$C:$C),("PHOSPHORUS, TOTAL (AS P)"),(ClintonNDD!$H:$H),("FINAL EFFLUENT"),(ClintonNDD!$G:$G),("LBS/DAY"))</f>
        <v>0</v>
      </c>
      <c r="N38" s="46" t="e">
        <f>L38*365</f>
        <v>#DIV/0!</v>
      </c>
      <c r="O38" s="47" t="e">
        <f>((D38-J38))/D38</f>
        <v>#DIV/0!</v>
      </c>
      <c r="P38" s="48" t="e">
        <f>((F38-L38))/F38</f>
        <v>#DIV/0!</v>
      </c>
      <c r="Q38" s="49" t="s">
        <v>61</v>
      </c>
    </row>
    <row r="39" spans="1:19" s="40" customFormat="1" x14ac:dyDescent="0.2">
      <c r="A39" s="254"/>
      <c r="B39" s="80" t="s">
        <v>50</v>
      </c>
      <c r="C39" s="51">
        <f>COUNTIFS(ClintonNDD!$E:$E,"&gt;=5/1/2015",ClintonNDD!$E:$E,"&lt;=4/30/2016",ClintonNDD!$C:$C,"PHOSPHORUS, TOTAL (AS P)",ClintonNDD!$G:$G,"MG/L",ClintonNDD!$H:$H,"RAW WASTE")</f>
        <v>0</v>
      </c>
      <c r="D39" s="52" t="e">
        <f>AVERAGEIFS(ClintonNDD!$F:$F,ClintonNDD!$E:$E,"&gt;=5/1/2015",ClintonNDD!$E:$E,"&lt;=4/30/2016",(ClintonNDD!$C:$C),("PHOSPHORUS, TOTAL (AS P)"),(ClintonNDD!$H:$H),("RAW WASTE"),(ClintonNDD!$G:$G),("MG/L"))</f>
        <v>#DIV/0!</v>
      </c>
      <c r="E39" s="51">
        <f>COUNTIFS(ClintonNDD!$E:$E,"&gt;=5/1/2015",ClintonNDD!$E:$E,"&lt;=4/30/2016",ClintonNDD!$C:$C,"PHOSPHORUS, TOTAL (AS P)",ClintonNDD!$G:$G,"LBS/DAY",ClintonNDD!$H:$H,"RAW WASTE")</f>
        <v>0</v>
      </c>
      <c r="F39" s="183" t="e">
        <f>AVERAGEIFS(ClintonNDD!$F:$F,ClintonNDD!$E:$E,"&gt;=5/1/2015",ClintonNDD!$E:$E,"&lt;=4/30/2016",(ClintonNDD!$C:$C),("PHOSPHORUS, TOTAL (AS P)"),(ClintonNDD!$H:$H),("RAW WASTE"),(ClintonNDD!$G:$G),("LBS/DAY"))</f>
        <v>#DIV/0!</v>
      </c>
      <c r="G39" s="53">
        <f>SUMIFS(ClintonNDD!$F:$F,ClintonNDD!$E:$E,"&gt;=5/1/2015",ClintonNDD!$E:$E,"&lt;=4/30/2016",(ClintonNDD!$C:$C),("PHOSPHORUS, TOTAL (AS P)"),(ClintonNDD!$H:$H),("RAW WASTE"),(ClintonNDD!$G:$G),("LBS/DAY"))</f>
        <v>0</v>
      </c>
      <c r="H39" s="54" t="e">
        <f>F39*365</f>
        <v>#DIV/0!</v>
      </c>
      <c r="I39" s="51">
        <f>COUNTIFS(ClintonNDD!$E:$E,"&gt;=5/1/2015",ClintonNDD!$E:$E,"&lt;=4/30/2016",ClintonNDD!$C:$C,"PHOSPHORUS, TOTAL (AS P)",ClintonNDD!$G:$G,"MG/L",ClintonNDD!$H:$H,"FINAL EFFLUENT")</f>
        <v>0</v>
      </c>
      <c r="J39" s="52" t="e">
        <f>AVERAGEIFS(ClintonNDD!$F:$F,ClintonNDD!$E:$E,"&gt;=5/1/2015",ClintonNDD!$E:$E,"&lt;=4/30/2016",(ClintonNDD!$C:$C),("PHOSPHORUS, TOTAL (AS P)"),(ClintonNDD!$H:$H),("FINAL EFFLUENT"),(ClintonNDD!$G:$G),("MG/L"))</f>
        <v>#DIV/0!</v>
      </c>
      <c r="K39" s="51">
        <f>COUNTIFS(ClintonNDD!$E:$E,"&gt;=5/1/2015",ClintonNDD!$E:$E,"&lt;=4/30/2016",ClintonNDD!$C:$C,"PHOSPHORUS, TOTAL (AS P)",ClintonNDD!$G:$G,"LBS/DAY",ClintonNDD!$H:$H,"FINAL EFFLUENT")</f>
        <v>0</v>
      </c>
      <c r="L39" s="183" t="e">
        <f>AVERAGEIFS((ClintonNDD!$F:$F),ClintonNDD!$E:$E,"&gt;=5/1/2015",ClintonNDD!$E:$E,"&lt;=4/30/2016",(ClintonNDD!$C:$C),("PHOSPHORUS, TOTAL (AS P)"),(ClintonNDD!$H:$H),("FINAL EFFLUENT"),(ClintonNDD!$G:$G),("LBS/DAY"))</f>
        <v>#DIV/0!</v>
      </c>
      <c r="M39" s="53">
        <f>SUMIFS(ClintonNDD!$F:$F,ClintonNDD!$E:$E,"&gt;=5/1/2015",ClintonNDD!$E:$E,"&lt;=4/30/2016",(ClintonNDD!$C:$C),("PHOSPHORUS, TOTAL (AS P)"),(ClintonNDD!$H:$H),("FINAL EFFLUENT"),(ClintonNDD!$G:$G),("LBS/DAY"))</f>
        <v>0</v>
      </c>
      <c r="N39" s="54" t="e">
        <f>L39*365</f>
        <v>#DIV/0!</v>
      </c>
      <c r="O39" s="55" t="e">
        <f>((D39-J39))/D39</f>
        <v>#DIV/0!</v>
      </c>
      <c r="P39" s="56" t="e">
        <f>((F39-L39))/F39</f>
        <v>#DIV/0!</v>
      </c>
      <c r="Q39" s="57" t="s">
        <v>61</v>
      </c>
    </row>
    <row r="40" spans="1:19" s="67" customFormat="1" ht="5.25" customHeight="1" x14ac:dyDescent="0.2">
      <c r="A40" s="254"/>
      <c r="B40" s="81"/>
      <c r="C40" s="58"/>
      <c r="D40" s="59"/>
      <c r="E40" s="58"/>
      <c r="F40" s="184"/>
      <c r="G40" s="60"/>
      <c r="H40" s="61"/>
      <c r="I40" s="58"/>
      <c r="J40" s="62"/>
      <c r="K40" s="58"/>
      <c r="L40" s="185"/>
      <c r="M40" s="60"/>
      <c r="N40" s="63"/>
      <c r="O40" s="64"/>
      <c r="P40" s="65"/>
      <c r="Q40" s="66"/>
    </row>
    <row r="41" spans="1:19" s="67" customFormat="1" x14ac:dyDescent="0.2">
      <c r="A41" s="254"/>
      <c r="B41" s="82" t="s">
        <v>47</v>
      </c>
      <c r="C41" s="19">
        <f>COUNTIFS(ClintonNDD!$E:$E,"&gt;=1/1/2016",ClintonNDD!$E:$E,"&lt;=12/31/2016",ClintonNDD!$C:$C,"PHOSPHORUS, TOTAL (AS P)",ClintonNDD!$G:$G,"MG/L",ClintonNDD!$H:$H,"RAW WASTE")</f>
        <v>0</v>
      </c>
      <c r="D41" s="20" t="e">
        <f>AVERAGEIFS(ClintonNDD!$F:$F,ClintonNDD!$E:$E,"&gt;=1/1/2016",ClintonNDD!$E:$E,"&lt;=12/31/2016",(ClintonNDD!$C:$C),("PHOSPHORUS, TOTAL (AS P)"),(ClintonNDD!$H:$H),("RAW WASTE"),(ClintonNDD!$G:$G),("MG/L"))</f>
        <v>#DIV/0!</v>
      </c>
      <c r="E41" s="19">
        <f>COUNTIFS(ClintonNDD!$E:$E,"&gt;=1/1/2016",ClintonNDD!$E:$E,"&lt;=12/31/2016",ClintonNDD!$C:$C,"PHOSPHORUS, TOTAL (AS P)",ClintonNDD!$G:$G,"LBS/DAY",ClintonNDD!$H:$H,"RAW WASTE")</f>
        <v>0</v>
      </c>
      <c r="F41" s="186" t="e">
        <f>AVERAGEIFS(ClintonNDD!$F:$F,ClintonNDD!$E:$E,"&gt;=1/1/2016",ClintonNDD!$E:$E,"&lt;=12/31/2016",(ClintonNDD!$C:$C),("PHOSPHORUS, TOTAL (AS P)"),(ClintonNDD!$H:$H),("RAW WASTE"),(ClintonNDD!$G:$G),("LBS/DAY"))</f>
        <v>#DIV/0!</v>
      </c>
      <c r="G41" s="21">
        <f>SUMIFS(ClintonNDD!$F:$F,ClintonNDD!$E:$E,"&gt;=1/1/2016",ClintonNDD!$E:$E,"&lt;=12/31/2016",(ClintonNDD!$C:$C),("PHOSPHORUS, TOTAL (AS P)"),(ClintonNDD!$H:$H),("RAW WASTE"),(ClintonNDD!$G:$G),("LBS/DAY"))</f>
        <v>0</v>
      </c>
      <c r="H41" s="22" t="e">
        <f>F41*365</f>
        <v>#DIV/0!</v>
      </c>
      <c r="I41" s="19">
        <f>COUNTIFS(ClintonNDD!$E:$E,"&gt;=1/1/2016",ClintonNDD!$E:$E,"&lt;=12/31/2016",ClintonNDD!$C:$C,"PHOSPHORUS, TOTAL (AS P)",ClintonNDD!$G:$G,"MG/L",ClintonNDD!$H:$H,"FINAL EFFLUENT")</f>
        <v>4</v>
      </c>
      <c r="J41" s="23">
        <f>AVERAGEIFS(ClintonNDD!$F:$F,ClintonNDD!$E:$E,"&gt;=1/1/2016",ClintonNDD!$E:$E,"&lt;=12/31/2016",(ClintonNDD!$C:$C),("PHOSPHORUS, TOTAL (AS P)"),(ClintonNDD!$H:$H),("FINAL EFFLUENT"),(ClintonNDD!$G:$G),("MG/L"))</f>
        <v>1.3345</v>
      </c>
      <c r="K41" s="19">
        <f>COUNTIFS(ClintonNDD!$E:$E,"&gt;=1/1/2016",ClintonNDD!$E:$E,"&lt;=12/31/2016",ClintonNDD!$C:$C,"PHOSPHORUS, TOTAL (AS P)",ClintonNDD!$G:$G,"LBS/DAY",ClintonNDD!$H:$H,"FINAL EFFLUENT")</f>
        <v>4</v>
      </c>
      <c r="L41" s="187">
        <f>AVERAGEIFS((ClintonNDD!$F:$F),ClintonNDD!$E:$E,"&gt;=1/1/2016",ClintonNDD!$E:$E,"&lt;=12/31/2016",(ClintonNDD!$C:$C),("PHOSPHORUS, TOTAL (AS P)"),(ClintonNDD!$H:$H),("FINAL EFFLUENT"),(ClintonNDD!$G:$G),("LBS/DAY"))</f>
        <v>59.512296774999996</v>
      </c>
      <c r="M41" s="21">
        <f>SUMIFS(ClintonNDD!$F:$F,ClintonNDD!$E:$E,"&gt;=1/1/2016",ClintonNDD!$E:$E,"&lt;=12/31/2016",(ClintonNDD!$C:$C),("PHOSPHORUS, TOTAL (AS P)"),(ClintonNDD!$H:$H),("FINAL EFFLUENT"),(ClintonNDD!$G:$G),("LBS/DAY"))</f>
        <v>238.04918709999998</v>
      </c>
      <c r="N41" s="24">
        <f>L41*365</f>
        <v>21721.988322874997</v>
      </c>
      <c r="O41" s="25" t="e">
        <f>((D41-J41))/D41</f>
        <v>#DIV/0!</v>
      </c>
      <c r="P41" s="26" t="e">
        <f>((F41-L41))/F41</f>
        <v>#DIV/0!</v>
      </c>
      <c r="Q41" s="68" t="s">
        <v>61</v>
      </c>
    </row>
    <row r="42" spans="1:19" s="40" customFormat="1" x14ac:dyDescent="0.2">
      <c r="A42" s="254"/>
      <c r="B42" s="83" t="s">
        <v>51</v>
      </c>
      <c r="C42" s="84">
        <f>COUNTIFS(ClintonNDD!$E:$E,"&gt;=5/1/2016",ClintonNDD!$E:$E,"&lt;=4/30/2017",ClintonNDD!$C:$C,"PHOSPHORUS, TOTAL (AS P)",ClintonNDD!$G:$G,"MG/L",ClintonNDD!$H:$H,"RAW WASTE")</f>
        <v>0</v>
      </c>
      <c r="D42" s="85" t="e">
        <f>AVERAGEIFS(ClintonNDD!$F:$F,ClintonNDD!$E:$E,"&gt;=5/1/2016",ClintonNDD!$E:$E,"&lt;=4/30/2017",(ClintonNDD!$C:$C),("PHOSPHORUS, TOTAL (AS P)"),(ClintonNDD!$H:$H),("RAW WASTE"),(ClintonNDD!$G:$G),("MG/L"))</f>
        <v>#DIV/0!</v>
      </c>
      <c r="E42" s="84">
        <f>COUNTIFS(ClintonNDD!$E:$E,"&gt;=5/1/2016",ClintonNDD!$E:$E,"&lt;=4/30/2017",ClintonNDD!$C:$C,"PHOSPHORUS, TOTAL (AS P)",ClintonNDD!$G:$G,"LBS/DAY",ClintonNDD!$H:$H,"RAW WASTE")</f>
        <v>0</v>
      </c>
      <c r="F42" s="188" t="e">
        <f>AVERAGEIFS(ClintonNDD!$F:$F,ClintonNDD!$E:$E,"&gt;=5/1/2016",ClintonNDD!$E:$E,"&lt;=4/30/2017",(ClintonNDD!$C:$C),("PHOSPHORUS, TOTAL (AS P)"),(ClintonNDD!$H:$H),("RAW WASTE"),(ClintonNDD!$G:$G),("LBS/DAY"))</f>
        <v>#DIV/0!</v>
      </c>
      <c r="G42" s="86">
        <f>SUMIFS(ClintonNDD!$F:$F,ClintonNDD!$E:$E,"&gt;=5/1/2016",ClintonNDD!$E:$E,"&lt;=4/30/2017",(ClintonNDD!$C:$C),("PHOSPHORUS, TOTAL (AS P)"),(ClintonNDD!$H:$H),("RAW WASTE"),(ClintonNDD!$G:$G),("LBS/DAY"))</f>
        <v>0</v>
      </c>
      <c r="H42" s="87" t="e">
        <f>F42*365</f>
        <v>#DIV/0!</v>
      </c>
      <c r="I42" s="84">
        <f>COUNTIFS(ClintonNDD!$E:$E,"&gt;=5/1/2016",ClintonNDD!$E:$E,"&lt;=4/30/2017",ClintonNDD!$C:$C,"PHOSPHORUS, TOTAL (AS P)",ClintonNDD!$G:$G,"MG/L",ClintonNDD!$H:$H,"FINAL EFFLUENT")</f>
        <v>6</v>
      </c>
      <c r="J42" s="85">
        <f>AVERAGEIFS(ClintonNDD!$F:$F,ClintonNDD!$E:$E,"&gt;=5/1/2016",ClintonNDD!$E:$E,"&lt;=4/30/2017",(ClintonNDD!$C:$C),("PHOSPHORUS, TOTAL (AS P)"),(ClintonNDD!$H:$H),("FINAL EFFLUENT"),(ClintonNDD!$G:$G),("MG/L"))</f>
        <v>1.3399999999999999</v>
      </c>
      <c r="K42" s="84">
        <f>COUNTIFS(ClintonNDD!$E:$E,"&gt;=5/1/2016",ClintonNDD!$E:$E,"&lt;=4/30/2017",ClintonNDD!$C:$C,"PHOSPHORUS, TOTAL (AS P)",ClintonNDD!$G:$G,"LBS/DAY",ClintonNDD!$H:$H,"FINAL EFFLUENT")</f>
        <v>6</v>
      </c>
      <c r="L42" s="188">
        <f>AVERAGEIFS((ClintonNDD!$F:$F),ClintonNDD!$E:$E,"&gt;=5/1/2016",ClintonNDD!$E:$E,"&lt;=4/30/2017",(ClintonNDD!$C:$C),("PHOSPHORUS, TOTAL (AS P)"),(ClintonNDD!$H:$H),("FINAL EFFLUENT"),(ClintonNDD!$G:$G),("LBS/DAY"))</f>
        <v>58.48237626666667</v>
      </c>
      <c r="M42" s="86">
        <f>SUMIFS(ClintonNDD!$F:$F,ClintonNDD!$E:$E,"&gt;=5/1/2016",ClintonNDD!$E:$E,"&lt;=4/30/2017",(ClintonNDD!$C:$C),("PHOSPHORUS, TOTAL (AS P)"),(ClintonNDD!$H:$H),("FINAL EFFLUENT"),(ClintonNDD!$G:$G),("LBS/DAY"))</f>
        <v>350.8942576</v>
      </c>
      <c r="N42" s="87">
        <f>L42*365</f>
        <v>21346.067337333334</v>
      </c>
      <c r="O42" s="88" t="e">
        <f>((D42-J42))/D42</f>
        <v>#DIV/0!</v>
      </c>
      <c r="P42" s="89" t="e">
        <f>((F42-L42))/F42</f>
        <v>#DIV/0!</v>
      </c>
      <c r="Q42" s="90" t="s">
        <v>61</v>
      </c>
    </row>
    <row r="43" spans="1:19" ht="5.25" customHeight="1" x14ac:dyDescent="0.2">
      <c r="A43" s="254"/>
      <c r="F43" s="174"/>
      <c r="L43" s="174"/>
      <c r="Q43" s="108"/>
    </row>
    <row r="44" spans="1:19" s="107" customFormat="1" x14ac:dyDescent="0.2">
      <c r="A44" s="254"/>
      <c r="B44" s="97" t="s">
        <v>52</v>
      </c>
      <c r="C44" s="98">
        <f>COUNTIFS(ClintonNDD!$E:$E,"&gt;=1/1/2017",ClintonNDD!$E:$E,"&lt;=12/31/2017",ClintonNDD!$C:$C,"PHOSPHORUS, TOTAL (AS P)",ClintonNDD!$G:$G,"MG/L",ClintonNDD!$H:$H,"RAW WASTE")</f>
        <v>0</v>
      </c>
      <c r="D44" s="99" t="e">
        <f>AVERAGEIFS(ClintonNDD!$F:$F,ClintonNDD!$E:$E,"&gt;=1/1/2017",ClintonNDD!$E:$E,"&lt;=12/31/2017",(ClintonNDD!$C:$C),("PHOSPHORUS, TOTAL (AS P)"),(ClintonNDD!$H:$H),("RAW WASTE"),(ClintonNDD!$G:$G),("MG/L"))</f>
        <v>#DIV/0!</v>
      </c>
      <c r="E44" s="98">
        <f>COUNTIFS(ClintonNDD!$E:$E,"&gt;=1/1/2017",ClintonNDD!$E:$E,"&lt;=12/31/2017",ClintonNDD!$C:$C,"PHOSPHORUS, TOTAL (AS P)",ClintonNDD!$G:$G,"LBS/DAY",ClintonNDD!$H:$H,"RAW WASTE")</f>
        <v>0</v>
      </c>
      <c r="F44" s="189" t="e">
        <f>AVERAGEIFS(ClintonNDD!$F:$F,ClintonNDD!$E:$E,"&gt;=1/1/2017",ClintonNDD!$E:$E,"&lt;=12/31/2017",(ClintonNDD!$C:$C),("PHOSPHORUS, TOTAL (AS P)"),(ClintonNDD!$H:$H),("RAW WASTE"),(ClintonNDD!$G:$G),("LBS/DAY"))</f>
        <v>#DIV/0!</v>
      </c>
      <c r="G44" s="100">
        <f>SUMIFS(ClintonNDD!$F:$F,ClintonNDD!$E:$E,"&gt;=1/1/2017",ClintonNDD!$E:$E,"&lt;=12/31/2017",(ClintonNDD!$C:$C),("PHOSPHORUS, TOTAL (AS P)"),(ClintonNDD!$H:$H),("RAW WASTE"),(ClintonNDD!$G:$G),("LBS/DAY"))</f>
        <v>0</v>
      </c>
      <c r="H44" s="101" t="e">
        <f>F44*365</f>
        <v>#DIV/0!</v>
      </c>
      <c r="I44" s="98">
        <f>COUNTIFS(ClintonNDD!$E:$E,"&gt;=1/1/2017",ClintonNDD!$E:$E,"&lt;=12/31/2017",ClintonNDD!$C:$C,"PHOSPHORUS, TOTAL (AS P)",ClintonNDD!$G:$G,"MG/L",ClintonNDD!$H:$H,"FINAL EFFLUENT")</f>
        <v>6</v>
      </c>
      <c r="J44" s="102">
        <f>AVERAGEIFS(ClintonNDD!$F:$F,ClintonNDD!$E:$E,"&gt;=1/1/2017",ClintonNDD!$E:$E,"&lt;=12/31/2017",(ClintonNDD!$C:$C),("PHOSPHORUS, TOTAL (AS P)"),(ClintonNDD!$H:$H),("FINAL EFFLUENT"),(ClintonNDD!$G:$G),("MG/L"))</f>
        <v>0.8606666666666668</v>
      </c>
      <c r="K44" s="98">
        <f>COUNTIFS(ClintonNDD!$E:$E,"&gt;=1/1/2017",ClintonNDD!$E:$E,"&lt;=12/31/2017",ClintonNDD!$C:$C,"PHOSPHORUS, TOTAL (AS P)",ClintonNDD!$G:$G,"LBS/DAY",ClintonNDD!$H:$H,"FINAL EFFLUENT")</f>
        <v>6</v>
      </c>
      <c r="L44" s="190">
        <f>AVERAGEIFS((ClintonNDD!$F:$F),ClintonNDD!$E:$E,"&gt;=1/1/2017",ClintonNDD!$E:$E,"&lt;=12/31/2017",(ClintonNDD!$C:$C),("PHOSPHORUS, TOTAL (AS P)"),(ClintonNDD!$H:$H),("FINAL EFFLUENT"),(ClintonNDD!$G:$G),("LBS/DAY"))</f>
        <v>34.809925083333333</v>
      </c>
      <c r="M44" s="100">
        <f>SUMIFS(ClintonNDD!$F:$F,ClintonNDD!$E:$E,"&gt;=1/1/2017",ClintonNDD!$E:$E,"&lt;=12/31/2017",(ClintonNDD!$C:$C),("PHOSPHORUS, TOTAL (AS P)"),(ClintonNDD!$H:$H),("FINAL EFFLUENT"),(ClintonNDD!$G:$G),("LBS/DAY"))</f>
        <v>208.85955050000001</v>
      </c>
      <c r="N44" s="103">
        <f>L44*365</f>
        <v>12705.622655416666</v>
      </c>
      <c r="O44" s="104" t="e">
        <f>((D44-J44))/D44</f>
        <v>#DIV/0!</v>
      </c>
      <c r="P44" s="105" t="e">
        <f>((F44-L44))/F44</f>
        <v>#DIV/0!</v>
      </c>
      <c r="Q44" s="106" t="s">
        <v>61</v>
      </c>
    </row>
    <row r="45" spans="1:19" s="40" customFormat="1" x14ac:dyDescent="0.2">
      <c r="A45" s="254"/>
      <c r="B45" s="195" t="s">
        <v>53</v>
      </c>
      <c r="C45" s="111">
        <f>COUNTIFS(ClintonNDD!$E:$E,"&gt;=5/1/2017",ClintonNDD!$E:$E,"&lt;=4/30/2018",ClintonNDD!$C:$C,"PHOSPHORUS, TOTAL (AS P)",ClintonNDD!$G:$G,"MG/L",ClintonNDD!$H:$H,"RAW WASTE")</f>
        <v>9</v>
      </c>
      <c r="D45" s="112">
        <f>AVERAGEIFS(ClintonNDD!$F:$F,ClintonNDD!$E:$E,"&gt;=5/1/2017",ClintonNDD!$E:$E,"&lt;=4/30/2018",(ClintonNDD!$C:$C),("PHOSPHORUS, TOTAL (AS P)"),(ClintonNDD!$H:$H),("RAW WASTE"),(ClintonNDD!$G:$G),("MG/L"))</f>
        <v>4.6133333333333333</v>
      </c>
      <c r="E45" s="111">
        <f>COUNTIFS(ClintonNDD!$E:$E,"&gt;=5/1/2017",ClintonNDD!$E:$E,"&lt;=4/30/2018",ClintonNDD!$C:$C,"PHOSPHORUS, TOTAL (AS P)",ClintonNDD!$G:$G,"LBS/DAY",ClintonNDD!$H:$H,"RAW WASTE")</f>
        <v>9</v>
      </c>
      <c r="F45" s="191">
        <f>AVERAGEIFS(ClintonNDD!$F:$F,ClintonNDD!$E:$E,"&gt;=5/1/2017",ClintonNDD!$E:$E,"&lt;=4/30/2018",(ClintonNDD!$C:$C),("PHOSPHORUS, TOTAL (AS P)"),(ClintonNDD!$H:$H),("RAW WASTE"),(ClintonNDD!$G:$G),("LBS/DAY"))</f>
        <v>171.15598199999997</v>
      </c>
      <c r="G45" s="113">
        <f>SUMIFS(ClintonNDD!$F:$F,ClintonNDD!$E:$E,"&gt;=5/1/2017",ClintonNDD!$E:$E,"&lt;=4/30/2018",(ClintonNDD!$C:$C),("PHOSPHORUS, TOTAL (AS P)"),(ClintonNDD!$H:$H),("RAW WASTE"),(ClintonNDD!$G:$G),("LBS/DAY"))</f>
        <v>1540.4038379999997</v>
      </c>
      <c r="H45" s="114">
        <f>F45*365</f>
        <v>62471.93342999999</v>
      </c>
      <c r="I45" s="111">
        <f>COUNTIFS(ClintonNDD!$E:$E,"&gt;=5/1/2017",ClintonNDD!$E:$E,"&lt;=4/30/2018",ClintonNDD!$C:$C,"PHOSPHORUS, TOTAL (AS P)",ClintonNDD!$G:$G,"MG/L",ClintonNDD!$H:$H,"FINAL EFFLUENT")</f>
        <v>14</v>
      </c>
      <c r="J45" s="112">
        <f>AVERAGEIFS(ClintonNDD!$F:$F,ClintonNDD!$E:$E,"&gt;=5/1/2017",ClintonNDD!$E:$E,"&lt;=4/30/2018",(ClintonNDD!$C:$C),("PHOSPHORUS, TOTAL (AS P)"),(ClintonNDD!$H:$H),("FINAL EFFLUENT"),(ClintonNDD!$G:$G),("MG/L"))</f>
        <v>0.41857142857142854</v>
      </c>
      <c r="K45" s="111">
        <f>COUNTIFS(ClintonNDD!$E:$E,"&gt;=5/1/2017",ClintonNDD!$E:$E,"&lt;=4/30/2018",ClintonNDD!$C:$C,"PHOSPHORUS, TOTAL (AS P)",ClintonNDD!$G:$G,"LBS/DAY",ClintonNDD!$H:$H,"FINAL EFFLUENT")</f>
        <v>14</v>
      </c>
      <c r="L45" s="191">
        <f>AVERAGEIFS((ClintonNDD!$F:$F),ClintonNDD!$E:$E,"&gt;=5/1/2017",ClintonNDD!$E:$E,"&lt;=4/30/2018",(ClintonNDD!$C:$C),("PHOSPHORUS, TOTAL (AS P)"),(ClintonNDD!$H:$H),("FINAL EFFLUENT"),(ClintonNDD!$G:$G),("LBS/DAY"))</f>
        <v>15.503823235714288</v>
      </c>
      <c r="M45" s="113">
        <f>SUMIFS(ClintonNDD!$F:$F,ClintonNDD!$E:$E,"&gt;=5/1/2017",ClintonNDD!$E:$E,"&lt;=4/30/2018",(ClintonNDD!$C:$C),("PHOSPHORUS, TOTAL (AS P)"),(ClintonNDD!$H:$H),("FINAL EFFLUENT"),(ClintonNDD!$G:$G),("LBS/DAY"))</f>
        <v>217.05352530000002</v>
      </c>
      <c r="N45" s="114">
        <f>L45*365</f>
        <v>5658.8954810357154</v>
      </c>
      <c r="O45" s="115">
        <f>((D45-J45))/D45</f>
        <v>0.90926919900908354</v>
      </c>
      <c r="P45" s="116">
        <f>((F45-L45))/F45</f>
        <v>0.90941699463525438</v>
      </c>
      <c r="Q45" s="117">
        <f>(F45-L45)*365</f>
        <v>56813.037948964273</v>
      </c>
    </row>
    <row r="46" spans="1:19" s="40" customFormat="1" ht="5.25" customHeight="1" x14ac:dyDescent="0.2">
      <c r="A46" s="254"/>
      <c r="B46" s="91"/>
      <c r="C46" s="92"/>
      <c r="D46" s="93"/>
      <c r="E46" s="92"/>
      <c r="F46" s="93"/>
      <c r="G46" s="94"/>
      <c r="H46" s="94"/>
      <c r="I46" s="92"/>
      <c r="J46" s="93"/>
      <c r="K46" s="92"/>
      <c r="L46" s="93"/>
      <c r="M46" s="94"/>
      <c r="N46" s="94"/>
      <c r="O46" s="95"/>
      <c r="P46" s="95"/>
      <c r="Q46" s="96"/>
    </row>
    <row r="47" spans="1:19" s="144" customFormat="1" x14ac:dyDescent="0.2">
      <c r="A47" s="254"/>
      <c r="B47" s="134" t="s">
        <v>63</v>
      </c>
      <c r="C47" s="135">
        <f>COUNTIFS(ClintonNDD!$E:$E,"&gt;=1/1/2018",ClintonNDD!$E:$E,"&lt;=12/31/2018",ClintonNDD!$C:$C,"PHOSPHORUS, TOTAL (AS P)",ClintonNDD!$G:$G,"MG/L",ClintonNDD!$H:$H,"RAW WASTE")</f>
        <v>9</v>
      </c>
      <c r="D47" s="136">
        <f>AVERAGEIFS(ClintonNDD!$F:$F,ClintonNDD!$E:$E,"&gt;=1/1/2018",ClintonNDD!$E:$E,"&lt;=12/31/2018",(ClintonNDD!$C:$C),("PHOSPHORUS, TOTAL (AS P)"),(ClintonNDD!$H:$H),("RAW WASTE"),(ClintonNDD!$G:$G),("MG/L"))</f>
        <v>4.6133333333333333</v>
      </c>
      <c r="E47" s="135">
        <f>COUNTIFS(ClintonNDD!$E:$E,"&gt;=1/1/2018",ClintonNDD!$E:$E,"&lt;=12/31/2018",ClintonNDD!$C:$C,"PHOSPHORUS, TOTAL (AS P)",ClintonNDD!$G:$G,"LBS/DAY",ClintonNDD!$H:$H,"RAW WASTE")</f>
        <v>9</v>
      </c>
      <c r="F47" s="192">
        <f>AVERAGEIFS(ClintonNDD!$F:$F,ClintonNDD!$E:$E,"&gt;=1/1/2018",ClintonNDD!$E:$E,"&lt;=12/31/2018",(ClintonNDD!$C:$C),("PHOSPHORUS, TOTAL (AS P)"),(ClintonNDD!$H:$H),("RAW WASTE"),(ClintonNDD!$G:$G),("LBS/DAY"))</f>
        <v>171.15598199999997</v>
      </c>
      <c r="G47" s="137">
        <f>SUMIFS(ClintonNDD!$F:$F,ClintonNDD!$E:$E,"&gt;=1/1/2018",ClintonNDD!$E:$E,"&lt;=12/31/2018",(ClintonNDD!$C:$C),("PHOSPHORUS, TOTAL (AS P)"),(ClintonNDD!$H:$H),("RAW WASTE"),(ClintonNDD!$G:$G),("LBS/DAY"))</f>
        <v>1540.4038379999997</v>
      </c>
      <c r="H47" s="138">
        <f>F47*365</f>
        <v>62471.93342999999</v>
      </c>
      <c r="I47" s="135">
        <f>COUNTIFS(ClintonNDD!$E:$E,"&gt;=1/1/2018",ClintonNDD!$E:$E,"&lt;=12/31/2018",ClintonNDD!$C:$C,"PHOSPHORUS, TOTAL (AS P)",ClintonNDD!$G:$G,"MG/L",ClintonNDD!$H:$H,"FINAL EFFLUENT")</f>
        <v>10</v>
      </c>
      <c r="J47" s="139">
        <f>AVERAGEIFS(ClintonNDD!$F:$F,ClintonNDD!$E:$E,"&gt;=1/1/2018",ClintonNDD!$E:$E,"&lt;=12/31/2018",(ClintonNDD!$C:$C),("PHOSPHORUS, TOTAL (AS P)"),(ClintonNDD!$H:$H),("FINAL EFFLUENT"),(ClintonNDD!$G:$G),("MG/L"))</f>
        <v>0.33979999999999999</v>
      </c>
      <c r="K47" s="135">
        <f>COUNTIFS(ClintonNDD!$E:$E,"&gt;=1/1/2018",ClintonNDD!$E:$E,"&lt;=12/31/2018",ClintonNDD!$C:$C,"PHOSPHORUS, TOTAL (AS P)",ClintonNDD!$G:$G,"LBS/DAY",ClintonNDD!$H:$H,"FINAL EFFLUENT")</f>
        <v>10</v>
      </c>
      <c r="L47" s="193">
        <f>AVERAGEIFS((ClintonNDD!$F:$F),ClintonNDD!$E:$E,"&gt;=1/1/2018",ClintonNDD!$E:$E,"&lt;=12/31/2018",(ClintonNDD!$C:$C),("PHOSPHORUS, TOTAL (AS P)"),(ClintonNDD!$H:$H),("FINAL EFFLUENT"),(ClintonNDD!$G:$G),("LBS/DAY"))</f>
        <v>12.103904529999999</v>
      </c>
      <c r="M47" s="137">
        <f>SUMIFS(ClintonNDD!$F:$F,ClintonNDD!$E:$E,"&gt;=1/1/2018",ClintonNDD!$E:$E,"&lt;=12/31/2018",(ClintonNDD!$C:$C),("PHOSPHORUS, TOTAL (AS P)"),(ClintonNDD!$H:$H),("FINAL EFFLUENT"),(ClintonNDD!$G:$G),("LBS/DAY"))</f>
        <v>121.0390453</v>
      </c>
      <c r="N47" s="140">
        <f>L47*365</f>
        <v>4417.9251534499999</v>
      </c>
      <c r="O47" s="141">
        <f>((D47-J47))/D47</f>
        <v>0.92634393063583809</v>
      </c>
      <c r="P47" s="142">
        <f>((F47-L47))/F47</f>
        <v>0.929281440306305</v>
      </c>
      <c r="Q47" s="143">
        <f>(F47-L47)*365</f>
        <v>58054.00827654999</v>
      </c>
    </row>
    <row r="48" spans="1:19" s="40" customFormat="1" ht="12" thickBot="1" x14ac:dyDescent="0.25">
      <c r="A48" s="255"/>
      <c r="B48" s="145" t="s">
        <v>64</v>
      </c>
      <c r="C48" s="146" t="s">
        <v>114</v>
      </c>
      <c r="D48" s="147" t="e">
        <f>AVERAGEIFS(ClintonNDD!$F:$F,ClintonNDD!$E:$E,"&gt;=5/1/2018",ClintonNDD!$E:$E,"&lt;=4/30/2019",(ClintonNDD!$C:$C),("PHOSPHORUS, TOTAL (AS P)"),(ClintonNDD!$H:$H),("RAW WASTE"),(ClintonNDD!$G:$G),("MG/L"))</f>
        <v>#DIV/0!</v>
      </c>
      <c r="E48" s="146">
        <f>COUNTIFS(ClintonNDD!$E:$E,"&gt;=5/1/2018",ClintonNDD!$E:$E,"&lt;=4/30/2019",ClintonNDD!$C:$C,"PHOSPHORUS, TOTAL (AS P)",ClintonNDD!$G:$G,"LBS/DAY",ClintonNDD!$H:$H,"RAW WASTE")</f>
        <v>0</v>
      </c>
      <c r="F48" s="194" t="e">
        <f>AVERAGEIFS(ClintonNDD!$F:$F,ClintonNDD!$E:$E,"&gt;=5/1/2018",ClintonNDD!$E:$E,"&lt;=4/30/2019",(ClintonNDD!$C:$C),("PHOSPHORUS, TOTAL (AS P)"),(ClintonNDD!$H:$H),("RAW WASTE"),(ClintonNDD!$G:$G),("LBS/DAY"))</f>
        <v>#DIV/0!</v>
      </c>
      <c r="G48" s="148">
        <f>SUMIFS(ClintonNDD!$F:$F,ClintonNDD!$E:$E,"&gt;=5/1/2018",ClintonNDD!$E:$E,"&lt;=4/30/2019",(ClintonNDD!$C:$C),("PHOSPHORUS, TOTAL (AS P)"),(ClintonNDD!$H:$H),("RAW WASTE"),(ClintonNDD!$G:$G),("LBS/DAY"))</f>
        <v>0</v>
      </c>
      <c r="H48" s="149" t="e">
        <f>F48*365</f>
        <v>#DIV/0!</v>
      </c>
      <c r="I48" s="146">
        <f>COUNTIFS(ClintonNDD!$E:$E,"&gt;=5/1/2018",ClintonNDD!$E:$E,"&lt;=4/30/2019",ClintonNDD!$C:$C,"PHOSPHORUS, TOTAL (AS P)",ClintonNDD!$G:$G,"MG/L",ClintonNDD!$H:$H,"FINAL EFFLUENT")</f>
        <v>0</v>
      </c>
      <c r="J48" s="147" t="e">
        <f>AVERAGEIFS(ClintonNDD!$F:$F,ClintonNDD!$E:$E,"&gt;=5/1/2018",ClintonNDD!$E:$E,"&lt;=4/30/2019",(ClintonNDD!$C:$C),("PHOSPHORUS, TOTAL (AS P)"),(ClintonNDD!$H:$H),("FINAL EFFLUENT"),(ClintonNDD!$G:$G),("MG/L"))</f>
        <v>#DIV/0!</v>
      </c>
      <c r="K48" s="146">
        <f>COUNTIFS(ClintonNDD!$E:$E,"&gt;=5/1/2018",ClintonNDD!$E:$E,"&lt;=4/30/2019",ClintonNDD!$C:$C,"PHOSPHORUS, TOTAL (AS P)",ClintonNDD!$G:$G,"LBS/DAY",ClintonNDD!$H:$H,"FINAL EFFLUENT")</f>
        <v>0</v>
      </c>
      <c r="L48" s="194" t="e">
        <f>AVERAGEIFS((ClintonNDD!$F:$F),ClintonNDD!$E:$E,"&gt;=5/1/2018",ClintonNDD!$E:$E,"&lt;=4/30/2019",(ClintonNDD!$C:$C),("PHOSPHORUS, TOTAL (AS P)"),(ClintonNDD!$H:$H),("FINAL EFFLUENT"),(ClintonNDD!$G:$G),("LBS/DAY"))</f>
        <v>#DIV/0!</v>
      </c>
      <c r="M48" s="148">
        <f>SUMIFS(ClintonNDD!$F:$F,ClintonNDD!$E:$E,"&gt;=5/1/2018",ClintonNDD!$E:$E,"&lt;=4/30/2019",(ClintonNDD!$C:$C),("PHOSPHORUS, TOTAL (AS P)"),(ClintonNDD!$H:$H),("FINAL EFFLUENT"),(ClintonNDD!$G:$G),("LBS/DAY"))</f>
        <v>0</v>
      </c>
      <c r="N48" s="149" t="e">
        <f>L48*365</f>
        <v>#DIV/0!</v>
      </c>
      <c r="O48" s="150" t="e">
        <f>((D48-J48))/D48</f>
        <v>#DIV/0!</v>
      </c>
      <c r="P48" s="151" t="e">
        <f>((F48-L48))/F48</f>
        <v>#DIV/0!</v>
      </c>
      <c r="Q48" s="152" t="e">
        <f>(F48-L48)*365</f>
        <v>#DIV/0!</v>
      </c>
    </row>
    <row r="49" spans="16:17" x14ac:dyDescent="0.2">
      <c r="P49" s="153" t="s">
        <v>65</v>
      </c>
      <c r="Q49" s="94">
        <f>_xlfn.STDEV.P(Q45)</f>
        <v>0</v>
      </c>
    </row>
    <row r="50" spans="16:17" x14ac:dyDescent="0.2">
      <c r="P50" s="153" t="s">
        <v>66</v>
      </c>
      <c r="Q50" s="154">
        <f>(Q49/(AVERAGE(Q45)))</f>
        <v>0</v>
      </c>
    </row>
    <row r="51" spans="16:17" x14ac:dyDescent="0.2">
      <c r="P51" s="153" t="s">
        <v>67</v>
      </c>
      <c r="Q51" s="94">
        <f>_xlfn.STDEV.P(Q47)</f>
        <v>0</v>
      </c>
    </row>
    <row r="52" spans="16:17" x14ac:dyDescent="0.2">
      <c r="P52" s="153" t="s">
        <v>68</v>
      </c>
      <c r="Q52" s="154">
        <f>Q51/(AVERAGE(Q47))</f>
        <v>0</v>
      </c>
    </row>
    <row r="53" spans="16:17" x14ac:dyDescent="0.2">
      <c r="P53" s="153" t="s">
        <v>69</v>
      </c>
      <c r="Q53" s="155">
        <f>_xlfn.STDEV.P(Q45)</f>
        <v>0</v>
      </c>
    </row>
    <row r="54" spans="16:17" x14ac:dyDescent="0.2">
      <c r="P54" s="153" t="s">
        <v>70</v>
      </c>
      <c r="Q54" s="95">
        <f>Q53/(AVERAGE(Q45))</f>
        <v>0</v>
      </c>
    </row>
  </sheetData>
  <mergeCells count="26"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5:A22"/>
    <mergeCell ref="B5:B7"/>
    <mergeCell ref="C5:H5"/>
    <mergeCell ref="I5:N5"/>
    <mergeCell ref="O5:P6"/>
    <mergeCell ref="C3:F3"/>
    <mergeCell ref="A1:B1"/>
    <mergeCell ref="C1:D1"/>
    <mergeCell ref="E1:F1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CedarRapNDD</vt:lpstr>
      <vt:lpstr>CedarRapCalcs</vt:lpstr>
      <vt:lpstr>CharlesCityNDD</vt:lpstr>
      <vt:lpstr>CharlesCityCalcs</vt:lpstr>
      <vt:lpstr>CLSD_NDD</vt:lpstr>
      <vt:lpstr>CLSD_Calcs</vt:lpstr>
      <vt:lpstr>ClintonNDD</vt:lpstr>
      <vt:lpstr>ClintonCalcs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cp:lastPrinted>2018-03-09T18:03:03Z</cp:lastPrinted>
  <dcterms:created xsi:type="dcterms:W3CDTF">2017-04-14T15:15:25Z</dcterms:created>
  <dcterms:modified xsi:type="dcterms:W3CDTF">2019-02-22T15:32:37Z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