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mc:AlternateContent xmlns:mc="http://schemas.openxmlformats.org/markup-compatibility/2006">
    <mc:Choice Requires="x15">
      <x15ac:absPath xmlns:x15ac="http://schemas.microsoft.com/office/spreadsheetml/2010/11/ac" url="C:\Hard drive\Manual\New chapters\"/>
    </mc:Choice>
  </mc:AlternateContent>
  <xr:revisionPtr revIDLastSave="0" documentId="13_ncr:1_{B6DD5993-2413-4435-8AE2-14489C219720}" xr6:coauthVersionLast="36" xr6:coauthVersionMax="36" xr10:uidLastSave="{00000000-0000-0000-0000-000000000000}"/>
  <bookViews>
    <workbookView xWindow="-28920" yWindow="-7230" windowWidth="29040" windowHeight="17640" tabRatio="796" xr2:uid="{00000000-000D-0000-FFFF-FFFF00000000}"/>
  </bookViews>
  <sheets>
    <sheet name="DISCLAIMER" sheetId="11" r:id="rId1"/>
    <sheet name="CL_1 - Site Screening" sheetId="3" r:id="rId2"/>
    <sheet name="CL_2 - Design Summary" sheetId="10" r:id="rId3"/>
    <sheet name="DE_1 - Watershed Info" sheetId="4" r:id="rId4"/>
    <sheet name="Step 3 - Hydrology" sheetId="5" r:id="rId5"/>
    <sheet name="Step 4 - Pre-treat" sheetId="7" r:id="rId6"/>
    <sheet name="Step 5-7 Final Storage Volumes" sheetId="2" r:id="rId7"/>
    <sheet name="Step 9 - Results" sheetId="8" r:id="rId8"/>
  </sheets>
  <definedNames>
    <definedName name="_xlnm.Print_Area" localSheetId="1">'CL_1 - Site Screening'!$A$1:$J$71</definedName>
    <definedName name="_xlnm.Print_Area" localSheetId="2">'CL_2 - Design Summary'!$A$1:$I$73</definedName>
    <definedName name="_xlnm.Print_Area" localSheetId="3">'DE_1 - Watershed Info'!$A$1:$G$52</definedName>
    <definedName name="_xlnm.Print_Area" localSheetId="0">DISCLAIMER!$A$1:$J$58</definedName>
    <definedName name="_xlnm.Print_Area" localSheetId="4">'Step 3 - Hydrology'!$A$1:$H$47</definedName>
    <definedName name="_xlnm.Print_Area" localSheetId="5">'Step 4 - Pre-treat'!$A$1:$F$51</definedName>
    <definedName name="_xlnm.Print_Area" localSheetId="6">'Step 5-7 Final Storage Volumes'!$A$1:$I$68</definedName>
    <definedName name="_xlnm.Print_Area" localSheetId="7">'Step 9 - Results'!$A$1:$G$43</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3" l="1"/>
  <c r="C41" i="2" l="1"/>
  <c r="G43" i="8"/>
  <c r="I68" i="2"/>
  <c r="F51" i="7"/>
  <c r="H47" i="5"/>
  <c r="G52" i="4"/>
  <c r="I73" i="10"/>
  <c r="F53" i="10" l="1"/>
  <c r="H52" i="10"/>
  <c r="H58" i="10"/>
  <c r="H57" i="10"/>
  <c r="H56" i="10"/>
  <c r="H47" i="10"/>
  <c r="H48" i="10"/>
  <c r="H45" i="10"/>
  <c r="I45" i="10" s="1"/>
  <c r="E62" i="2" l="1"/>
  <c r="D33" i="2"/>
  <c r="D34" i="2"/>
  <c r="A16" i="2"/>
  <c r="A17" i="2" s="1"/>
  <c r="A18" i="2" s="1"/>
  <c r="A19" i="2" s="1"/>
  <c r="A20" i="2" s="1"/>
  <c r="A21" i="2" s="1"/>
  <c r="A22" i="2" s="1"/>
  <c r="A23" i="2" s="1"/>
  <c r="A24" i="2" s="1"/>
  <c r="A25" i="2" s="1"/>
  <c r="A26" i="2" s="1"/>
  <c r="A27" i="2" s="1"/>
  <c r="A28" i="2" s="1"/>
  <c r="A29" i="2" s="1"/>
  <c r="A30" i="2" s="1"/>
  <c r="A31" i="2" s="1"/>
  <c r="A32" i="2" s="1"/>
  <c r="A33" i="2" s="1"/>
  <c r="D16" i="2"/>
  <c r="E16" i="2" s="1"/>
  <c r="D18" i="2"/>
  <c r="D19" i="2"/>
  <c r="D20" i="2"/>
  <c r="D21" i="2"/>
  <c r="D22" i="2"/>
  <c r="D23" i="2"/>
  <c r="D24" i="2"/>
  <c r="D25" i="2"/>
  <c r="D26" i="2"/>
  <c r="D27" i="2"/>
  <c r="D28" i="2"/>
  <c r="D29" i="2"/>
  <c r="D30" i="2"/>
  <c r="D31" i="2"/>
  <c r="D32" i="2"/>
  <c r="D15" i="2"/>
  <c r="E15" i="2" s="1"/>
  <c r="A1" i="3"/>
  <c r="A1" i="10" s="1"/>
  <c r="A34" i="2" l="1"/>
  <c r="C19" i="10"/>
  <c r="D19" i="10"/>
  <c r="B19" i="10"/>
  <c r="B37" i="5" l="1"/>
  <c r="S39" i="5"/>
  <c r="B39" i="5" s="1"/>
  <c r="S44" i="5" l="1"/>
  <c r="S43" i="5"/>
  <c r="B43" i="5" s="1"/>
  <c r="S42" i="5"/>
  <c r="B42" i="5" s="1"/>
  <c r="S41" i="5"/>
  <c r="B41" i="5" s="1"/>
  <c r="S40" i="5"/>
  <c r="B40" i="5" s="1"/>
  <c r="F37" i="5" l="1"/>
  <c r="B13" i="8"/>
  <c r="B18" i="10" s="1"/>
  <c r="H54" i="10"/>
  <c r="B17" i="10"/>
  <c r="C44" i="5"/>
  <c r="C38" i="5"/>
  <c r="C39" i="5"/>
  <c r="D39" i="5" s="1"/>
  <c r="C40" i="5"/>
  <c r="C41" i="5"/>
  <c r="C42" i="5"/>
  <c r="C43" i="5"/>
  <c r="C37" i="5"/>
  <c r="B15" i="8"/>
  <c r="B16" i="8"/>
  <c r="B17" i="8"/>
  <c r="B18" i="8"/>
  <c r="B19" i="8"/>
  <c r="B44" i="5"/>
  <c r="B20" i="8" s="1"/>
  <c r="A34" i="5"/>
  <c r="B21" i="10" l="1"/>
  <c r="F13" i="8"/>
  <c r="B27" i="8" s="1"/>
  <c r="D27" i="8" s="1"/>
  <c r="D37" i="5"/>
  <c r="E37" i="5" s="1"/>
  <c r="G37" i="5" s="1"/>
  <c r="F27" i="8"/>
  <c r="E27" i="8" l="1"/>
  <c r="G27" i="8" s="1"/>
  <c r="H37" i="5"/>
  <c r="D31" i="5"/>
  <c r="S37" i="5" s="1"/>
  <c r="E31" i="5"/>
  <c r="S38" i="5" s="1"/>
  <c r="B38" i="5" s="1"/>
  <c r="B14" i="8" s="1"/>
  <c r="D7" i="7" l="1"/>
  <c r="D46" i="7"/>
  <c r="D42" i="7"/>
  <c r="D43" i="7"/>
  <c r="D44" i="7"/>
  <c r="D45" i="7"/>
  <c r="D31" i="7"/>
  <c r="D33" i="7"/>
  <c r="B42" i="7"/>
  <c r="B43" i="7"/>
  <c r="B44" i="7"/>
  <c r="B45" i="7"/>
  <c r="B31" i="7"/>
  <c r="D32" i="7" s="1"/>
  <c r="B32" i="7"/>
  <c r="B33" i="7"/>
  <c r="D34" i="7" s="1"/>
  <c r="B34" i="7"/>
  <c r="B20" i="7"/>
  <c r="B21" i="7"/>
  <c r="B22" i="7"/>
  <c r="B23" i="7"/>
  <c r="D21" i="7" l="1"/>
  <c r="D23" i="7"/>
  <c r="D22" i="7"/>
  <c r="B41" i="7"/>
  <c r="B40" i="7"/>
  <c r="B30" i="7"/>
  <c r="B29" i="7"/>
  <c r="D30" i="7" s="1"/>
  <c r="E30" i="7" s="1"/>
  <c r="E31" i="7" s="1"/>
  <c r="E32" i="7" s="1"/>
  <c r="E33" i="7" s="1"/>
  <c r="E34" i="7" s="1"/>
  <c r="B19" i="7"/>
  <c r="D20" i="7" s="1"/>
  <c r="B18" i="7"/>
  <c r="D19" i="7" l="1"/>
  <c r="D41" i="7"/>
  <c r="E41" i="7" s="1"/>
  <c r="E42" i="7" s="1"/>
  <c r="E43" i="7" s="1"/>
  <c r="E44" i="7" s="1"/>
  <c r="E45" i="7" s="1"/>
  <c r="F28" i="8"/>
  <c r="F31" i="8"/>
  <c r="F30" i="8"/>
  <c r="F29" i="8"/>
  <c r="F46" i="4"/>
  <c r="F30" i="4"/>
  <c r="I25" i="10"/>
  <c r="F26" i="10"/>
  <c r="E26" i="10"/>
  <c r="D26" i="10"/>
  <c r="I24" i="10"/>
  <c r="I12" i="10"/>
  <c r="I11" i="10"/>
  <c r="E29" i="3"/>
  <c r="G31" i="3"/>
  <c r="A5" i="2"/>
  <c r="D48" i="2"/>
  <c r="D49" i="2"/>
  <c r="E49" i="2" s="1"/>
  <c r="D50" i="2"/>
  <c r="E50" i="2" s="1"/>
  <c r="D51" i="2"/>
  <c r="E51" i="2" s="1"/>
  <c r="D52" i="2"/>
  <c r="E52" i="2" s="1"/>
  <c r="A43" i="2"/>
  <c r="A44" i="2" s="1"/>
  <c r="A45" i="2" s="1"/>
  <c r="A46" i="2" s="1"/>
  <c r="A47" i="2" s="1"/>
  <c r="A48" i="2" s="1"/>
  <c r="A49" i="2" s="1"/>
  <c r="A50" i="2" s="1"/>
  <c r="A51" i="2" s="1"/>
  <c r="A52" i="2" s="1"/>
  <c r="E24" i="10" l="1"/>
  <c r="E25" i="10" s="1"/>
  <c r="D24" i="10"/>
  <c r="D25" i="10" s="1"/>
  <c r="F24" i="10"/>
  <c r="F51" i="10"/>
  <c r="H50" i="10"/>
  <c r="F25" i="10"/>
  <c r="A6" i="2"/>
  <c r="A7" i="2"/>
  <c r="B41" i="2"/>
  <c r="B14" i="2"/>
  <c r="E63" i="2" l="1"/>
  <c r="B43" i="2"/>
  <c r="B33" i="2"/>
  <c r="B34" i="2"/>
  <c r="B44" i="2"/>
  <c r="D44" i="2" s="1"/>
  <c r="B45" i="2"/>
  <c r="B46" i="2"/>
  <c r="B47" i="2"/>
  <c r="B48" i="2"/>
  <c r="B42" i="2"/>
  <c r="B16" i="2"/>
  <c r="D17" i="2" s="1"/>
  <c r="E17" i="2" s="1"/>
  <c r="E18" i="2" s="1"/>
  <c r="E19" i="2" s="1"/>
  <c r="E20" i="2" s="1"/>
  <c r="E21" i="2" s="1"/>
  <c r="E22" i="2" s="1"/>
  <c r="E23" i="2" s="1"/>
  <c r="E24" i="2" s="1"/>
  <c r="E25" i="2" s="1"/>
  <c r="E26" i="2" s="1"/>
  <c r="E27" i="2" s="1"/>
  <c r="E28" i="2" s="1"/>
  <c r="E29" i="2" s="1"/>
  <c r="E30" i="2" s="1"/>
  <c r="E31" i="2" s="1"/>
  <c r="E32" i="2" s="1"/>
  <c r="E33" i="2" s="1"/>
  <c r="E34" i="2" s="1"/>
  <c r="B17" i="2"/>
  <c r="B18" i="2"/>
  <c r="B19" i="2"/>
  <c r="B15" i="2"/>
  <c r="I19" i="10"/>
  <c r="H19" i="10"/>
  <c r="G19" i="10"/>
  <c r="F19" i="10"/>
  <c r="E19" i="10"/>
  <c r="C5" i="10"/>
  <c r="C3" i="10"/>
  <c r="B2" i="4"/>
  <c r="G63" i="2" l="1"/>
  <c r="E35" i="10"/>
  <c r="E60" i="2"/>
  <c r="E33" i="10" s="1"/>
  <c r="G54" i="2"/>
  <c r="B21" i="2"/>
  <c r="B20" i="2"/>
  <c r="D47" i="2"/>
  <c r="D45" i="2"/>
  <c r="D46" i="2"/>
  <c r="D42" i="2"/>
  <c r="E42" i="2" s="1"/>
  <c r="D43" i="2"/>
  <c r="B49" i="2"/>
  <c r="B2" i="8"/>
  <c r="B2" i="2"/>
  <c r="B2" i="7"/>
  <c r="B2" i="5"/>
  <c r="F32" i="8"/>
  <c r="F33" i="8"/>
  <c r="F34" i="8"/>
  <c r="D29" i="8"/>
  <c r="D30" i="8"/>
  <c r="D31" i="8"/>
  <c r="D32" i="8"/>
  <c r="D33" i="8"/>
  <c r="D34" i="8"/>
  <c r="D28" i="8"/>
  <c r="E19" i="7"/>
  <c r="F39" i="5"/>
  <c r="F40" i="5"/>
  <c r="F41" i="5"/>
  <c r="F42" i="5"/>
  <c r="F43" i="5"/>
  <c r="F44" i="5"/>
  <c r="F38" i="5"/>
  <c r="D41" i="5"/>
  <c r="E41" i="5" s="1"/>
  <c r="D42" i="5"/>
  <c r="E42" i="5" s="1"/>
  <c r="D43" i="5"/>
  <c r="E43" i="5" s="1"/>
  <c r="D44" i="5"/>
  <c r="E44" i="5" s="1"/>
  <c r="D18" i="10"/>
  <c r="D21" i="10" s="1"/>
  <c r="E18" i="10"/>
  <c r="E21" i="10" s="1"/>
  <c r="F18" i="10"/>
  <c r="F21" i="10" s="1"/>
  <c r="C44" i="4"/>
  <c r="C28" i="4"/>
  <c r="C13" i="4"/>
  <c r="C14" i="4" s="1"/>
  <c r="E54" i="2" l="1"/>
  <c r="E43" i="2"/>
  <c r="E44" i="2" s="1"/>
  <c r="E45" i="2" s="1"/>
  <c r="E46" i="2" s="1"/>
  <c r="G42" i="5"/>
  <c r="H42" i="5" s="1"/>
  <c r="G43" i="5"/>
  <c r="H43" i="5" s="1"/>
  <c r="G44" i="5"/>
  <c r="E34" i="8" s="1"/>
  <c r="G34" i="8" s="1"/>
  <c r="C45" i="4"/>
  <c r="F44" i="4" s="1"/>
  <c r="C29" i="3"/>
  <c r="E29" i="10" s="1"/>
  <c r="B22" i="2"/>
  <c r="E64" i="2" s="1"/>
  <c r="B50" i="2"/>
  <c r="D40" i="5"/>
  <c r="E40" i="5" s="1"/>
  <c r="G40" i="5" s="1"/>
  <c r="E30" i="8" s="1"/>
  <c r="G30" i="8" s="1"/>
  <c r="D38" i="5"/>
  <c r="E38" i="5" s="1"/>
  <c r="H18" i="10"/>
  <c r="H21" i="10" s="1"/>
  <c r="G41" i="5"/>
  <c r="E31" i="8" s="1"/>
  <c r="G31" i="8" s="1"/>
  <c r="E39" i="5"/>
  <c r="G39" i="5" s="1"/>
  <c r="I18" i="10"/>
  <c r="I21" i="10" s="1"/>
  <c r="G18" i="10"/>
  <c r="G21" i="10" s="1"/>
  <c r="D46" i="4"/>
  <c r="C29" i="4"/>
  <c r="F28" i="4" s="1"/>
  <c r="G2" i="4"/>
  <c r="G5" i="10"/>
  <c r="C7" i="5"/>
  <c r="C7" i="8"/>
  <c r="G2" i="5"/>
  <c r="F2" i="8"/>
  <c r="G2" i="2"/>
  <c r="E2" i="7"/>
  <c r="E20" i="7"/>
  <c r="D30" i="4"/>
  <c r="E36" i="10" l="1"/>
  <c r="G64" i="2"/>
  <c r="E21" i="7"/>
  <c r="E22" i="7" s="1"/>
  <c r="E23" i="7" s="1"/>
  <c r="D47" i="7"/>
  <c r="F12" i="10" s="1"/>
  <c r="E28" i="5"/>
  <c r="E29" i="5" s="1"/>
  <c r="D28" i="5"/>
  <c r="D29" i="5" s="1"/>
  <c r="H44" i="5"/>
  <c r="E32" i="8"/>
  <c r="G32" i="8" s="1"/>
  <c r="F15" i="8"/>
  <c r="B29" i="8" s="1"/>
  <c r="C18" i="10"/>
  <c r="C21" i="10" s="1"/>
  <c r="E33" i="8"/>
  <c r="G33" i="8" s="1"/>
  <c r="G38" i="5"/>
  <c r="E28" i="8" s="1"/>
  <c r="G28" i="8" s="1"/>
  <c r="G47" i="4"/>
  <c r="F9" i="5" s="1"/>
  <c r="F45" i="4"/>
  <c r="B23" i="2"/>
  <c r="H40" i="5"/>
  <c r="H41" i="5"/>
  <c r="B51" i="2"/>
  <c r="B52" i="2"/>
  <c r="H39" i="5"/>
  <c r="E29" i="8"/>
  <c r="G29" i="8" s="1"/>
  <c r="F18" i="8"/>
  <c r="B32" i="8" s="1"/>
  <c r="F16" i="8"/>
  <c r="B30" i="8" s="1"/>
  <c r="F17" i="8"/>
  <c r="B31" i="8" s="1"/>
  <c r="F14" i="8"/>
  <c r="B28" i="8" s="1"/>
  <c r="F19" i="8"/>
  <c r="B33" i="8" s="1"/>
  <c r="F20" i="8"/>
  <c r="B34" i="8" s="1"/>
  <c r="D47" i="4"/>
  <c r="F7" i="5"/>
  <c r="C5" i="2" l="1"/>
  <c r="B7" i="7"/>
  <c r="B8" i="7" s="1"/>
  <c r="C6" i="2" s="1"/>
  <c r="H38" i="5"/>
  <c r="B24" i="2"/>
  <c r="C11" i="10"/>
  <c r="E47" i="2"/>
  <c r="C8" i="5"/>
  <c r="F8" i="5"/>
  <c r="D10" i="5"/>
  <c r="D9" i="5"/>
  <c r="F29" i="4"/>
  <c r="C12" i="10" l="1"/>
  <c r="H12" i="10" s="1"/>
  <c r="B25" i="2"/>
  <c r="E48" i="2"/>
  <c r="B11" i="7"/>
  <c r="C7" i="2" s="1"/>
  <c r="E59" i="2" s="1"/>
  <c r="E32" i="10" s="1"/>
  <c r="G32" i="10" s="1"/>
  <c r="D31" i="4"/>
  <c r="G31" i="4"/>
  <c r="G55" i="2" l="1"/>
  <c r="E55" i="2" s="1"/>
  <c r="E56" i="2" s="1"/>
  <c r="B26" i="2"/>
  <c r="D48" i="7"/>
  <c r="F48" i="7" s="1"/>
  <c r="G36" i="10"/>
  <c r="B27" i="2" l="1"/>
  <c r="G59" i="2"/>
  <c r="G35" i="10"/>
  <c r="E70" i="2"/>
  <c r="E39" i="10"/>
  <c r="B28" i="2" l="1"/>
  <c r="F11" i="10"/>
  <c r="H11" i="10" s="1"/>
  <c r="B29" i="2" l="1"/>
  <c r="B30" i="2" l="1"/>
  <c r="E38" i="10"/>
  <c r="B32" i="2" l="1"/>
  <c r="B31" i="2"/>
  <c r="E4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E13" authorId="0" shapeId="0" xr:uid="{70F0E8AF-2313-4059-8CAC-E1B52949031C}">
      <text>
        <r>
          <rPr>
            <sz val="9"/>
            <color indexed="81"/>
            <rFont val="Tahoma"/>
            <family val="2"/>
          </rPr>
          <t>Mark with "X" as applicable</t>
        </r>
      </text>
    </comment>
    <comment ref="A22" authorId="0" shapeId="0" xr:uid="{A28B9102-7A8B-4D21-AB4C-F6C93CCE9092}">
      <text>
        <r>
          <rPr>
            <sz val="9"/>
            <color indexed="81"/>
            <rFont val="Tahoma"/>
            <family val="2"/>
          </rPr>
          <t>i.e. Other tests that would indicate soil permeability</t>
        </r>
      </text>
    </comment>
    <comment ref="C27" authorId="0" shapeId="0" xr:uid="{0A8D3538-DC03-4E57-A6CA-1A8653F295EE}">
      <text>
        <r>
          <rPr>
            <sz val="9"/>
            <color indexed="81"/>
            <rFont val="Tahoma"/>
            <family val="2"/>
          </rPr>
          <t>Example: "Row crop", "Trees", "Impervious", "Lawn", etc.</t>
        </r>
      </text>
    </comment>
    <comment ref="C29" authorId="0" shapeId="0" xr:uid="{493FE101-8884-45CC-A54B-6253D7FD9411}">
      <text>
        <r>
          <rPr>
            <sz val="9"/>
            <color indexed="81"/>
            <rFont val="Tahoma"/>
            <family val="2"/>
          </rPr>
          <t xml:space="preserve">Populates when sheet DE_1 is completed
May be manually entered at right
</t>
        </r>
      </text>
    </comment>
    <comment ref="E31" authorId="0" shapeId="0" xr:uid="{FDE20617-1CCA-4852-A3E1-4055A7E8E739}">
      <text>
        <r>
          <rPr>
            <sz val="9"/>
            <color indexed="81"/>
            <rFont val="Tahoma"/>
            <family val="2"/>
          </rPr>
          <t xml:space="preserve">Example, 1-2%
</t>
        </r>
      </text>
    </comment>
    <comment ref="E50" authorId="0" shapeId="0" xr:uid="{AB427C58-2F03-41DD-9214-6AFF89B7304F}">
      <text>
        <r>
          <rPr>
            <sz val="9"/>
            <color indexed="81"/>
            <rFont val="Tahoma"/>
            <family val="2"/>
          </rPr>
          <t>Example: Compacted clay, bentonite, etc.</t>
        </r>
      </text>
    </comment>
    <comment ref="D59" authorId="0" shapeId="0" xr:uid="{6E783EA1-DBC8-4818-B7D7-5F848963CBD4}">
      <text>
        <r>
          <rPr>
            <sz val="9"/>
            <color indexed="81"/>
            <rFont val="Tahoma"/>
            <family val="2"/>
          </rPr>
          <t>City or county where local stormwater regulations must be met</t>
        </r>
      </text>
    </comment>
    <comment ref="F60" authorId="0" shapeId="0" xr:uid="{63AD183D-FA81-4698-BE4F-6FD848C61AEE}">
      <text>
        <r>
          <rPr>
            <sz val="9"/>
            <color indexed="81"/>
            <rFont val="Tahoma"/>
            <family val="2"/>
          </rPr>
          <t>Example: "Release rates at pre-settlement for similar storm event or 5-yr existing condition, whichever is less."</t>
        </r>
      </text>
    </comment>
    <comment ref="E63" authorId="0" shapeId="0" xr:uid="{1D6938BC-A48E-4222-B241-954C9EFC9F6E}">
      <text>
        <r>
          <rPr>
            <sz val="9"/>
            <color indexed="81"/>
            <rFont val="Tahoma"/>
            <family val="2"/>
          </rPr>
          <t>Is the perimeter buffer met, yes or no?</t>
        </r>
      </text>
    </comment>
    <comment ref="E64" authorId="0" shapeId="0" xr:uid="{D0998F15-8A63-4266-85EB-EA1C81A705AA}">
      <text>
        <r>
          <rPr>
            <sz val="9"/>
            <color indexed="81"/>
            <rFont val="Tahoma"/>
            <family val="2"/>
          </rPr>
          <t>Fill in the distances, or mark "NA"</t>
        </r>
      </text>
    </comment>
    <comment ref="E68" authorId="0" shapeId="0" xr:uid="{D658E970-E0DD-4369-B920-32FB8E02E7E5}">
      <text>
        <r>
          <rPr>
            <sz val="9"/>
            <color indexed="81"/>
            <rFont val="Tahoma"/>
            <family val="2"/>
          </rPr>
          <t>Is the utility setback met, yes or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C11" authorId="0" shapeId="0" xr:uid="{504AF0BD-1C04-4EB8-A288-F2EB5AB05386}">
      <text>
        <r>
          <rPr>
            <sz val="9"/>
            <color indexed="81"/>
            <rFont val="Tahoma"/>
            <family val="2"/>
          </rPr>
          <t>These values pull automatically from the DE_1 and Step 4 spreadsheets.  It is recommended to complete these sheets.
In special circumstances, data can be entered manually at right.</t>
        </r>
      </text>
    </comment>
    <comment ref="D24" authorId="0" shapeId="0" xr:uid="{77E15F6A-711F-4F0B-B692-11ADC5370892}">
      <text>
        <r>
          <rPr>
            <sz val="9"/>
            <color indexed="81"/>
            <rFont val="Tahoma"/>
            <family val="2"/>
          </rPr>
          <t>These cells will pull data from Step 9 spreadsheet.  It is recommended to complete that sheet.
Data can be entered manually at right.</t>
        </r>
      </text>
    </comment>
    <comment ref="I24" authorId="0" shapeId="0" xr:uid="{B7429622-646D-4F27-AB71-6C99202AD751}">
      <text>
        <r>
          <rPr>
            <sz val="9"/>
            <color indexed="81"/>
            <rFont val="Tahoma"/>
            <family val="2"/>
          </rPr>
          <t>Will pull from Step 5-7 sheet or manually enter at right.</t>
        </r>
      </text>
    </comment>
    <comment ref="E29" authorId="0" shapeId="0" xr:uid="{C0985DFB-9C13-4E04-B7C1-9D8CBFF95C86}">
      <text>
        <r>
          <rPr>
            <sz val="9"/>
            <color indexed="81"/>
            <rFont val="Tahoma"/>
            <family val="2"/>
          </rPr>
          <t>Sheet DE_1 must be completed to have this calculate correctly.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I10" authorId="0" shapeId="0" xr:uid="{21392C0C-FD46-4C8E-B24E-527B3028C0A8}">
      <text>
        <r>
          <rPr>
            <sz val="9"/>
            <color indexed="81"/>
            <rFont val="Tahoma"/>
            <family val="2"/>
          </rPr>
          <t>Background CN data used for different land uses and soil types.  Not to be edited.</t>
        </r>
      </text>
    </comment>
    <comment ref="D13" authorId="0" shapeId="0" xr:uid="{AE1C50B1-0115-4C05-922B-BD1D2594A37C}">
      <text>
        <r>
          <rPr>
            <sz val="9"/>
            <color indexed="81"/>
            <rFont val="Tahoma"/>
            <family val="2"/>
          </rPr>
          <t>Calculates when data above is filled</t>
        </r>
      </text>
    </comment>
    <comment ref="I16" authorId="0" shapeId="0" xr:uid="{CBB65ABA-B58D-49B1-9234-4F7068B1C8B5}">
      <text>
        <r>
          <rPr>
            <sz val="9"/>
            <color indexed="81"/>
            <rFont val="Tahoma"/>
            <family val="2"/>
          </rPr>
          <t>If a local jurisdiction sets limits on what CN is to be used for natural conditions, it may be entered here.</t>
        </r>
      </text>
    </comment>
    <comment ref="C24" authorId="0" shapeId="0" xr:uid="{A18AE49D-C023-4276-A7E7-1BFC4F673E17}">
      <text>
        <r>
          <rPr>
            <sz val="9"/>
            <color indexed="81"/>
            <rFont val="Tahoma"/>
            <family val="2"/>
          </rPr>
          <t>Only use "other areas" to account for land uses that don't fall into "Impervious", "Open Space" or "Row Crop" areas (such as green roofs, permeable pavers).  WQv for these areas must be calculated separately and manually entered at right (or check the box below to treat these areas as impervious).</t>
        </r>
      </text>
    </comment>
    <comment ref="E26" authorId="0" shapeId="0" xr:uid="{EC600F96-649C-4244-A41B-BB189535E83C}">
      <text>
        <r>
          <rPr>
            <sz val="9"/>
            <color indexed="81"/>
            <rFont val="Tahoma"/>
            <family val="2"/>
          </rPr>
          <t>Answer "Y" if "Other Areas" are to be treated as impervious for WQv calculations.</t>
        </r>
      </text>
    </comment>
    <comment ref="I26" authorId="0" shapeId="0" xr:uid="{5ACCA930-8671-4229-A527-9DC1E859A9CB}">
      <text>
        <r>
          <rPr>
            <sz val="9"/>
            <color indexed="81"/>
            <rFont val="Tahoma"/>
            <family val="2"/>
          </rPr>
          <t>If "Other Areas" land use is used, calculate the WQv of that area separately and enter it here.</t>
        </r>
      </text>
    </comment>
    <comment ref="D28" authorId="0" shapeId="0" xr:uid="{0CE676D5-AD0C-49FC-AA67-1A2FE3436102}">
      <text>
        <r>
          <rPr>
            <sz val="9"/>
            <color indexed="81"/>
            <rFont val="Tahoma"/>
            <family val="2"/>
          </rPr>
          <t>Calculates when data above is filled</t>
        </r>
      </text>
    </comment>
    <comment ref="C40" authorId="0" shapeId="0" xr:uid="{B4E33414-2206-4D67-BA1E-6A51D50BECC4}">
      <text>
        <r>
          <rPr>
            <sz val="9"/>
            <color indexed="81"/>
            <rFont val="Tahoma"/>
            <family val="2"/>
          </rPr>
          <t>Only use "other areas" to account for land uses that don't fall into "Impervious", "Open Space" or "Row Crop" areas (such as green roofs, permeable pavers).  WQv for these areas must be calculated separately and manually entered at right  (or check the box below to treat these areas as impervious).</t>
        </r>
      </text>
    </comment>
    <comment ref="E42" authorId="0" shapeId="0" xr:uid="{89B5515C-C4E9-4D3A-8D4E-3794C751BE31}">
      <text>
        <r>
          <rPr>
            <sz val="9"/>
            <color indexed="81"/>
            <rFont val="Tahoma"/>
            <family val="2"/>
          </rPr>
          <t>Answer "Y" if "Other Areas" are to be treated as impervious for WQv calculations.</t>
        </r>
      </text>
    </comment>
    <comment ref="I42" authorId="0" shapeId="0" xr:uid="{9D9443EF-0055-440C-A0AF-6AD7160F2249}">
      <text>
        <r>
          <rPr>
            <sz val="9"/>
            <color indexed="81"/>
            <rFont val="Tahoma"/>
            <family val="2"/>
          </rPr>
          <t>If "Other Areas" land use is used, calculate the WQv of that area separately and enter it here.</t>
        </r>
      </text>
    </comment>
    <comment ref="D44" authorId="0" shapeId="0" xr:uid="{5B61A8AE-8CE8-4D0C-8AA8-7625167236D5}">
      <text>
        <r>
          <rPr>
            <sz val="9"/>
            <color indexed="81"/>
            <rFont val="Tahoma"/>
            <family val="2"/>
          </rPr>
          <t>Calculates when data above is filled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RDG</author>
    <author>Greg Pierce</author>
  </authors>
  <commentList>
    <comment ref="F7" authorId="0" shapeId="0" xr:uid="{B95EFC90-5CF7-48EE-9197-E162953CED6D}">
      <text>
        <r>
          <rPr>
            <sz val="9"/>
            <color indexed="81"/>
            <rFont val="Tahoma"/>
            <family val="2"/>
          </rPr>
          <t>These values automatically calculate if sheet DE_1 is completed.</t>
        </r>
      </text>
    </comment>
    <comment ref="G18" authorId="0" shapeId="0" xr:uid="{50514BA6-A172-463C-9922-16A3CA78307B}">
      <text>
        <r>
          <rPr>
            <sz val="9"/>
            <color indexed="81"/>
            <rFont val="Tahoma"/>
            <family val="2"/>
          </rPr>
          <t>Enter data from the WQv TR-55 model (remember to use adjusted CNs for this event)</t>
        </r>
      </text>
    </comment>
    <comment ref="B19" authorId="0" shapeId="0" xr:uid="{A289042E-7F2B-4050-A12B-E4DEA93B6C34}">
      <text>
        <r>
          <rPr>
            <sz val="9"/>
            <color indexed="81"/>
            <rFont val="Tahoma"/>
            <family val="2"/>
          </rPr>
          <t xml:space="preserve">Enter other data from TR-55 model for all other events (1-yr thru 100-yr).
</t>
        </r>
      </text>
    </comment>
    <comment ref="G19" authorId="0" shapeId="0" xr:uid="{6C631636-DC45-4D0F-9548-753EE71F7A87}">
      <text>
        <r>
          <rPr>
            <sz val="9"/>
            <color indexed="81"/>
            <rFont val="Tahoma"/>
            <family val="2"/>
          </rPr>
          <t>Values for developed rates and volumes are TR-55 model output for runoff that enters or falls within the wet pond.</t>
        </r>
      </text>
    </comment>
    <comment ref="B37" authorId="1" shapeId="0" xr:uid="{6144F567-4F22-44CA-BE78-C01CEA9B141D}">
      <text>
        <r>
          <rPr>
            <sz val="9"/>
            <color indexed="81"/>
            <rFont val="Tahoma"/>
            <family val="2"/>
          </rPr>
          <t>Allowable release rate (qo) has been set to use the lesser value of (1) pre-settlement rate for the same storm event or (2) the existing rate for the 5-year storm event.  Other values may be manually entered at right.</t>
        </r>
      </text>
    </comment>
    <comment ref="H37" authorId="0" shapeId="0" xr:uid="{77819505-698A-40D7-990E-C79554310608}">
      <text>
        <r>
          <rPr>
            <sz val="9"/>
            <color indexed="81"/>
            <rFont val="Tahoma"/>
            <family val="2"/>
          </rPr>
          <t>This sheet can be used to estimate required storage volumes prior to developing a detailed grading plan for a certain site.  This allows an estimate of required land area to be determined, prior to extensive design.</t>
        </r>
      </text>
    </comment>
    <comment ref="J37" authorId="1" shapeId="0" xr:uid="{81664934-B0FC-4A91-ABD1-A65EEAE33CB1}">
      <text>
        <r>
          <rPr>
            <sz val="9"/>
            <color indexed="81"/>
            <rFont val="Tahoma"/>
            <family val="2"/>
          </rPr>
          <t>As needed, enter allowable release rate data manually here.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B7" authorId="0" shapeId="0" xr:uid="{27CABC90-CB2C-44F1-81FA-D418E9588CE7}">
      <text>
        <r>
          <rPr>
            <sz val="9"/>
            <color indexed="81"/>
            <rFont val="Tahoma"/>
            <family val="2"/>
          </rPr>
          <t>Cells will calculate based on data entered on sheet DE_1.</t>
        </r>
      </text>
    </comment>
    <comment ref="H7" authorId="0" shapeId="0" xr:uid="{FC853E4C-3F78-4FDE-A0B3-461253C59320}">
      <text>
        <r>
          <rPr>
            <sz val="9"/>
            <color indexed="81"/>
            <rFont val="Tahoma"/>
            <family val="2"/>
          </rPr>
          <t>Data may be entered manually here.</t>
        </r>
      </text>
    </comment>
    <comment ref="D9" authorId="0" shapeId="0" xr:uid="{48E7B61E-6CED-4856-AA9C-28D28BC93C19}">
      <text>
        <r>
          <rPr>
            <sz val="9"/>
            <color indexed="81"/>
            <rFont val="Tahoma"/>
            <family val="2"/>
          </rPr>
          <t>Example: "Vegetative buffer strip, etc."</t>
        </r>
      </text>
    </comment>
    <comment ref="B18" authorId="0" shapeId="0" xr:uid="{5315F026-00E4-4424-A707-3CC3830FCCA7}">
      <text>
        <r>
          <rPr>
            <sz val="9"/>
            <color indexed="81"/>
            <rFont val="Tahoma"/>
            <family val="2"/>
          </rPr>
          <t>Enter stage-area information for each forebay here…</t>
        </r>
      </text>
    </comment>
    <comment ref="B29" authorId="0" shapeId="0" xr:uid="{ED2CC6A0-3E0B-4515-A1F4-EE258169E362}">
      <text>
        <r>
          <rPr>
            <sz val="9"/>
            <color indexed="81"/>
            <rFont val="Tahoma"/>
            <family val="2"/>
          </rPr>
          <t>Enter stage-area information for each forebay here…</t>
        </r>
      </text>
    </comment>
    <comment ref="B40" authorId="0" shapeId="0" xr:uid="{1527ED4C-5FCF-41AA-BC74-DDFBF4218D37}">
      <text>
        <r>
          <rPr>
            <sz val="9"/>
            <color indexed="81"/>
            <rFont val="Tahoma"/>
            <family val="2"/>
          </rPr>
          <t>Enter stage-area information for each forebay here…</t>
        </r>
      </text>
    </comment>
    <comment ref="D47" authorId="0" shapeId="0" xr:uid="{BB875381-10F5-4935-9BAA-85B0908A6805}">
      <text>
        <r>
          <rPr>
            <sz val="9"/>
            <color indexed="81"/>
            <rFont val="Tahoma"/>
            <family val="2"/>
          </rPr>
          <t>Enter stage-storage data above to calculate this value</t>
        </r>
      </text>
    </comment>
    <comment ref="H47" authorId="0" shapeId="0" xr:uid="{2DDE57BF-8B29-4123-8220-56FF2E169A2B}">
      <text>
        <r>
          <rPr>
            <sz val="9"/>
            <color indexed="81"/>
            <rFont val="Tahoma"/>
            <family val="2"/>
          </rPr>
          <t>Data may be entered manually here.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A5" authorId="0" shapeId="0" xr:uid="{45B903CB-C3C9-4A2B-AD33-D3CF1E3319BB}">
      <text>
        <r>
          <rPr>
            <sz val="9"/>
            <color indexed="81"/>
            <rFont val="Tahoma"/>
            <family val="2"/>
          </rPr>
          <t>"MANUAL" will appear here if data is manually entered to override data taken from Step 3 and Step 4 spreadsheets.</t>
        </r>
      </text>
    </comment>
    <comment ref="G5" authorId="0" shapeId="0" xr:uid="{A08B07B3-6174-4FEA-9F99-C3740F0120E8}">
      <text>
        <r>
          <rPr>
            <sz val="9"/>
            <color indexed="81"/>
            <rFont val="Tahoma"/>
            <family val="2"/>
          </rPr>
          <t xml:space="preserve">Enter the normal water surface elevation here.
</t>
        </r>
      </text>
    </comment>
    <comment ref="L5" authorId="0" shapeId="0" xr:uid="{B1D8E176-2708-4AB1-8787-BE8FA146C16B}">
      <text>
        <r>
          <rPr>
            <sz val="9"/>
            <color indexed="81"/>
            <rFont val="Tahoma"/>
            <family val="2"/>
          </rPr>
          <t>Data may be entered here manually, if data from Step 3 and Step 4 spreadsheet calculations is not to be used.</t>
        </r>
      </text>
    </comment>
    <comment ref="G6" authorId="0" shapeId="0" xr:uid="{40E5C3D3-A32B-4708-A406-621CC66BF2CF}">
      <text>
        <r>
          <rPr>
            <sz val="9"/>
            <color indexed="81"/>
            <rFont val="Tahoma"/>
            <family val="2"/>
          </rPr>
          <t xml:space="preserve">Enter the difference in elevation between the edge of the safety bench and the normal water surface elevation here.
</t>
        </r>
      </text>
    </comment>
    <comment ref="I11" authorId="0" shapeId="0" xr:uid="{249FEC82-C9C9-4F1D-92C3-B0FA5515A01A}">
      <text>
        <r>
          <rPr>
            <sz val="9"/>
            <color indexed="81"/>
            <rFont val="Tahoma"/>
            <family val="2"/>
          </rPr>
          <t xml:space="preserve">This method of storage calculation is used to calculate the water stored by zone (high-low marsh, shallow-deep pool).
This procedure ensures that the volume of water less than 18" deep over the shallow and deep pool zones are appropriately assigned to pool zones (not marshes).
</t>
        </r>
      </text>
    </comment>
    <comment ref="A14" authorId="0" shapeId="0" xr:uid="{E54F5ABA-9E65-45FD-9A03-D1B8991BAEF1}">
      <text>
        <r>
          <rPr>
            <sz val="9"/>
            <color indexed="81"/>
            <rFont val="Tahoma"/>
            <family val="2"/>
          </rPr>
          <t>Depth vs. Area data must be entered for these intervals from 0 to 3 feet depth below water surface for the spreadsheet to calculate marsh vs. pool volumes correctly.
Beyond 3 feet in depth, there is more flexibility for the user to enter data.</t>
        </r>
      </text>
    </comment>
    <comment ref="C14" authorId="0" shapeId="0" xr:uid="{C3CAADD0-E25C-4402-A742-44C7735C401D}">
      <text>
        <r>
          <rPr>
            <sz val="9"/>
            <color indexed="81"/>
            <rFont val="Tahoma"/>
            <family val="2"/>
          </rPr>
          <t xml:space="preserve">Enter contour area information derived from grading plan here.  Cells may be left blank as needed.
</t>
        </r>
      </text>
    </comment>
    <comment ref="C41" authorId="0" shapeId="0" xr:uid="{53C8C5BD-C8D1-4661-AAE4-F11E818EB28E}">
      <text>
        <r>
          <rPr>
            <sz val="9"/>
            <color indexed="81"/>
            <rFont val="Tahoma"/>
            <family val="2"/>
          </rPr>
          <t>Enter contour area information derived from grading plan here.  Cells may be left blank as needed.</t>
        </r>
      </text>
    </comment>
    <comment ref="A42" authorId="0" shapeId="0" xr:uid="{CD2A230A-7B97-40E0-B9B9-7A61F8660F44}">
      <text>
        <r>
          <rPr>
            <sz val="9"/>
            <color indexed="81"/>
            <rFont val="Tahoma"/>
            <family val="2"/>
          </rPr>
          <t>Data may be entered at any interval the user wishes to use, although generally 0.5 or 1.0 foot increments are recommended.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E13" authorId="0" shapeId="0" xr:uid="{289A3F52-7D89-488F-AD68-1C6F27387096}">
      <text>
        <r>
          <rPr>
            <sz val="9"/>
            <color indexed="81"/>
            <rFont val="Tahoma"/>
            <family val="2"/>
          </rPr>
          <t>This data can usually be obtained from routing output
Peak outflow rate (cfs), High water elevation (feet) and Maximum Storage Volume above Permanent Pool (feet)</t>
        </r>
      </text>
    </comment>
    <comment ref="C27" authorId="0" shapeId="0" xr:uid="{69C229DE-B850-41FA-83C4-8EA75F59AB4D}">
      <text>
        <r>
          <rPr>
            <sz val="9"/>
            <color indexed="81"/>
            <rFont val="Tahoma"/>
            <family val="2"/>
          </rPr>
          <t>This is the difference (in minutes) between the peak of the inflow hydrograph to the wetland and the peak of the outflow hydrograph.  This can usually be determined from routing output.</t>
        </r>
      </text>
    </comment>
  </commentList>
</comments>
</file>

<file path=xl/sharedStrings.xml><?xml version="1.0" encoding="utf-8"?>
<sst xmlns="http://schemas.openxmlformats.org/spreadsheetml/2006/main" count="540" uniqueCount="314">
  <si>
    <t>Storage Calculation Sheets</t>
  </si>
  <si>
    <t>Elevation</t>
  </si>
  <si>
    <t>Contour Area</t>
  </si>
  <si>
    <t>Inc. Volume</t>
  </si>
  <si>
    <t>Cumulative Volume</t>
  </si>
  <si>
    <t>WQv Required</t>
  </si>
  <si>
    <t>of WQv</t>
  </si>
  <si>
    <t>Pretreat Req.</t>
  </si>
  <si>
    <t>Pretreat by Other Practices</t>
  </si>
  <si>
    <t>Forebay Required Volume</t>
  </si>
  <si>
    <t>Forebay Capacity</t>
  </si>
  <si>
    <t>of Req.</t>
  </si>
  <si>
    <t>Temporary Storage</t>
  </si>
  <si>
    <t>Soils Information</t>
  </si>
  <si>
    <t>Source:</t>
  </si>
  <si>
    <t>County Soils Map</t>
  </si>
  <si>
    <t>Site Specific Geotechnical Report</t>
  </si>
  <si>
    <t>HSG</t>
  </si>
  <si>
    <t>A</t>
  </si>
  <si>
    <t>B</t>
  </si>
  <si>
    <t>C</t>
  </si>
  <si>
    <t>D</t>
  </si>
  <si>
    <t>Other available soils information (permeability, soil properties, etc.):</t>
  </si>
  <si>
    <t>Existing vegetation:</t>
  </si>
  <si>
    <t>prairie remnants</t>
  </si>
  <si>
    <t>native vegetation</t>
  </si>
  <si>
    <t>savanna</t>
  </si>
  <si>
    <t>other</t>
  </si>
  <si>
    <t>Tributary area:</t>
  </si>
  <si>
    <t>acres</t>
  </si>
  <si>
    <t>%</t>
  </si>
  <si>
    <t>Depth to groundwater table:</t>
  </si>
  <si>
    <t>feet (below pre-construction surface)</t>
  </si>
  <si>
    <t>Approximate slope across site (pre-construction):</t>
  </si>
  <si>
    <t>Hotspot uses expected in watershed:</t>
  </si>
  <si>
    <t>(Y or N)</t>
  </si>
  <si>
    <t>Site Evaluation Criteria</t>
  </si>
  <si>
    <t>Pretreatment</t>
  </si>
  <si>
    <t>forebay</t>
  </si>
  <si>
    <t>vegetative buffer</t>
  </si>
  <si>
    <t>grass swale</t>
  </si>
  <si>
    <t>Multi-stage outlet</t>
  </si>
  <si>
    <t>Dam</t>
  </si>
  <si>
    <t>Stable outfall</t>
  </si>
  <si>
    <t>Setbacks</t>
  </si>
  <si>
    <t>Perimeter</t>
  </si>
  <si>
    <t>Property line</t>
  </si>
  <si>
    <t>(25' min - Y or N?)</t>
  </si>
  <si>
    <t xml:space="preserve">Private well </t>
  </si>
  <si>
    <t>Building structure</t>
  </si>
  <si>
    <t>(25' min)</t>
  </si>
  <si>
    <t>(10' min)</t>
  </si>
  <si>
    <t>(100' min / 250' for hotspot)</t>
  </si>
  <si>
    <t>Septic / leach field</t>
  </si>
  <si>
    <t>(50' feet)</t>
  </si>
  <si>
    <t>Utilities</t>
  </si>
  <si>
    <t xml:space="preserve"> </t>
  </si>
  <si>
    <t>(Outside perimeter or access provision - Y or N?)</t>
  </si>
  <si>
    <t>Existing wetlands within site area:</t>
  </si>
  <si>
    <t>Watershed Properties</t>
  </si>
  <si>
    <t>Impervious*</t>
  </si>
  <si>
    <t>(area in acres)</t>
  </si>
  <si>
    <t>Open Space (w/8" SQR)</t>
  </si>
  <si>
    <t>Open Space (w/4" SQR)</t>
  </si>
  <si>
    <t>Open Space (&lt;4" SQR)</t>
  </si>
  <si>
    <t>Other Areas</t>
  </si>
  <si>
    <t>Total Watershed Area:</t>
  </si>
  <si>
    <t>Effective Impervious Area:</t>
  </si>
  <si>
    <t>Rv:</t>
  </si>
  <si>
    <t>WQv:</t>
  </si>
  <si>
    <t>WQv precip:</t>
  </si>
  <si>
    <t>inches</t>
  </si>
  <si>
    <t>CN for most events:</t>
  </si>
  <si>
    <t>Adjusted CN (for WQv modeling):</t>
  </si>
  <si>
    <t>Storm Event</t>
  </si>
  <si>
    <t>WQv</t>
  </si>
  <si>
    <t>Rainfall</t>
  </si>
  <si>
    <t>Existing</t>
  </si>
  <si>
    <t>Developed</t>
  </si>
  <si>
    <t>Peak rate</t>
  </si>
  <si>
    <t>Volume</t>
  </si>
  <si>
    <t>cfs</t>
  </si>
  <si>
    <t>CF</t>
  </si>
  <si>
    <t>Existing Watershed Area</t>
  </si>
  <si>
    <t>Proposed Watershed Area</t>
  </si>
  <si>
    <t>Water Quality Volume</t>
  </si>
  <si>
    <t>feet</t>
  </si>
  <si>
    <t>Describe "other":</t>
  </si>
  <si>
    <t>Meadow in Good Condition</t>
  </si>
  <si>
    <t>CN of Other Areas**</t>
  </si>
  <si>
    <t>Row Crops (C+CR, good condition)</t>
  </si>
  <si>
    <t>Other Areas Counted as Impervious for WQv calculation?</t>
  </si>
  <si>
    <t>(Y/N)</t>
  </si>
  <si>
    <t>N</t>
  </si>
  <si>
    <t>** Provide calculations of weighted CNs for "Other Areas" if more than one land use type</t>
  </si>
  <si>
    <t>Qa:</t>
  </si>
  <si>
    <t>watershed-inches</t>
  </si>
  <si>
    <t>Applicant:</t>
  </si>
  <si>
    <t>Submitted by:</t>
  </si>
  <si>
    <t>Date:</t>
  </si>
  <si>
    <t>Location:</t>
  </si>
  <si>
    <t>csm/in</t>
  </si>
  <si>
    <t>qo/qi:</t>
  </si>
  <si>
    <t>qo:</t>
  </si>
  <si>
    <t>qo</t>
  </si>
  <si>
    <t>qi</t>
  </si>
  <si>
    <t>qo/qi</t>
  </si>
  <si>
    <t>Vs/Vr</t>
  </si>
  <si>
    <t>Vr</t>
  </si>
  <si>
    <t>Vs</t>
  </si>
  <si>
    <t>Vs *1.15</t>
  </si>
  <si>
    <t>Forebay #1 Storage</t>
  </si>
  <si>
    <t>Forebay #2 Storage</t>
  </si>
  <si>
    <t>Forebay #3 Storage</t>
  </si>
  <si>
    <t>Total Forebay Storage</t>
  </si>
  <si>
    <t>SF</t>
  </si>
  <si>
    <t>Pretreatment Calculations</t>
  </si>
  <si>
    <t>WQv Remaining</t>
  </si>
  <si>
    <t>Temporary Storage (Above Permanent Pool)</t>
  </si>
  <si>
    <t>Contour Area*</t>
  </si>
  <si>
    <t>* Does not include areas within forebays</t>
  </si>
  <si>
    <t>Total Permanent Pool Storage</t>
  </si>
  <si>
    <t>Total Temporary Storage</t>
  </si>
  <si>
    <t>Permanent Pool Storage</t>
  </si>
  <si>
    <t>of WQv (&gt;100%)</t>
  </si>
  <si>
    <t>Allowed</t>
  </si>
  <si>
    <t>Out</t>
  </si>
  <si>
    <t>High Water Elevation</t>
  </si>
  <si>
    <t>Max. Temp. Storage above Pool</t>
  </si>
  <si>
    <t>(cfs)</t>
  </si>
  <si>
    <t>(feet)</t>
  </si>
  <si>
    <t>(CF)</t>
  </si>
  <si>
    <t>(watershed-inches)</t>
  </si>
  <si>
    <t>1-year (CPv)</t>
  </si>
  <si>
    <t>2-year</t>
  </si>
  <si>
    <t>5-year</t>
  </si>
  <si>
    <t>10-year</t>
  </si>
  <si>
    <t>25-year</t>
  </si>
  <si>
    <t>50-year</t>
  </si>
  <si>
    <t>100-year</t>
  </si>
  <si>
    <t> </t>
  </si>
  <si>
    <t>Max. Rainfall Volume Stored</t>
  </si>
  <si>
    <t>Initial Storage Estimate*</t>
  </si>
  <si>
    <t>Reduction</t>
  </si>
  <si>
    <t>In vs. Out</t>
  </si>
  <si>
    <t>Event</t>
  </si>
  <si>
    <t>(min)</t>
  </si>
  <si>
    <t>(%)</t>
  </si>
  <si>
    <t>CPv (1-year)</t>
  </si>
  <si>
    <t>Peak Delay In vs. Out</t>
  </si>
  <si>
    <t>Peak Flow Reduction In vs. Out</t>
  </si>
  <si>
    <t>Final / Estimate</t>
  </si>
  <si>
    <t>*Original "Vs" Storage Estimate Without Safety Factor</t>
  </si>
  <si>
    <t>Initial Storage Estimation</t>
  </si>
  <si>
    <t>Project:</t>
  </si>
  <si>
    <t>Step 3.   Compute runoff control volumes from the stormwater Unified Sizing Criteria</t>
  </si>
  <si>
    <t>Step 4.   Determine pre-treatment measures</t>
  </si>
  <si>
    <t>Steps 5-7.  Preliminary stage-storage, refine, develop grading plan.</t>
  </si>
  <si>
    <t>Step 9.  Revise stage-storage relationships.  Perform a stage-storage-discharge routing.</t>
  </si>
  <si>
    <t>&lt; Date</t>
  </si>
  <si>
    <t>Describe other pre-treatment measures (below)</t>
  </si>
  <si>
    <t>If yes: jurisdictional determination made?</t>
  </si>
  <si>
    <t>Copy of Geotech Report Provided? (Y or N)</t>
  </si>
  <si>
    <t>(mark with X below)</t>
  </si>
  <si>
    <t>Pond liner</t>
  </si>
  <si>
    <t>type</t>
  </si>
  <si>
    <t>(Page 1 -- Site Screening / Initial Planning)</t>
  </si>
  <si>
    <t>(Page 2 -- Design Summary)</t>
  </si>
  <si>
    <t>Unified Sizing Criteria</t>
  </si>
  <si>
    <t>Required:</t>
  </si>
  <si>
    <t>Provided:</t>
  </si>
  <si>
    <t>CPv (1-yr)</t>
  </si>
  <si>
    <t>2-yr</t>
  </si>
  <si>
    <t>5-yr</t>
  </si>
  <si>
    <t>10-yr</t>
  </si>
  <si>
    <t>25-yr</t>
  </si>
  <si>
    <t>50-yr</t>
  </si>
  <si>
    <t>100-yr</t>
  </si>
  <si>
    <t>Allowed Release</t>
  </si>
  <si>
    <t>Predicted Outflow</t>
  </si>
  <si>
    <t>Criteria Met?</t>
  </si>
  <si>
    <t>Normal pool elevation</t>
  </si>
  <si>
    <t>Pretreatment Volume</t>
  </si>
  <si>
    <t>CF*</t>
  </si>
  <si>
    <t>* Includes pre-treatment required volume (if requirements met)</t>
  </si>
  <si>
    <t>Is Extended Detention (ED) being used to meet WQv requirements?</t>
  </si>
  <si>
    <t>Ratio</t>
  </si>
  <si>
    <t>H:V slope</t>
  </si>
  <si>
    <t>Safety bench of 10' to any water depth of 2' or more</t>
  </si>
  <si>
    <t>acre-feet</t>
  </si>
  <si>
    <t>Total Storage</t>
  </si>
  <si>
    <t>**based on permanent pool footprint area</t>
  </si>
  <si>
    <t>of watershed area</t>
  </si>
  <si>
    <t>Is site located within a regulated floodplain?</t>
  </si>
  <si>
    <t>Habitat for endangered / threatened species found?</t>
  </si>
  <si>
    <t>Other Information</t>
  </si>
  <si>
    <t>Is a Joint Permit Application to IDNR / USCOE required?</t>
  </si>
  <si>
    <t>Has it been obtained?</t>
  </si>
  <si>
    <t>Inlet / outlet details</t>
  </si>
  <si>
    <t>Required for review</t>
  </si>
  <si>
    <t>Landscaping plan (temporary and permanent stabilization)</t>
  </si>
  <si>
    <t>Establishment and maintenance plan</t>
  </si>
  <si>
    <t>Completed IDNR Form 542-1014</t>
  </si>
  <si>
    <t>Provided?                   (Y or N)</t>
  </si>
  <si>
    <t>Dam review required?</t>
  </si>
  <si>
    <t>Design calculations following ISWMM procedure</t>
  </si>
  <si>
    <t>Plans and specifications</t>
  </si>
  <si>
    <t>Watershed Data Entry Sheet</t>
  </si>
  <si>
    <t>Enter values in blue</t>
  </si>
  <si>
    <t>Hydrology Data Entry Sheet</t>
  </si>
  <si>
    <t>Pretreatment Data Entry Sheet</t>
  </si>
  <si>
    <t>Stage-Storage Data Entry Sheet</t>
  </si>
  <si>
    <t>Routing Results Data Entry Sheet</t>
  </si>
  <si>
    <t>Outfall protection calcs</t>
  </si>
  <si>
    <t>Describe local stormwater management requirements</t>
  </si>
  <si>
    <t>Predicted high water elev above normal pool (ft)</t>
  </si>
  <si>
    <t>Below W.S.</t>
  </si>
  <si>
    <t>Normal Water Surface Elevation (W.S.)</t>
  </si>
  <si>
    <t>Above W.S.</t>
  </si>
  <si>
    <t>NA</t>
  </si>
  <si>
    <t>acre-feet***</t>
  </si>
  <si>
    <t>Area Check</t>
  </si>
  <si>
    <t>Manual Entry</t>
  </si>
  <si>
    <t>(mark all that apply with X)</t>
  </si>
  <si>
    <t>Local review jurisdiction</t>
  </si>
  <si>
    <t>Tributary Area (acres)</t>
  </si>
  <si>
    <t>WQv Required (CF)</t>
  </si>
  <si>
    <t>Pretreatment Required (CF)</t>
  </si>
  <si>
    <t>CPv elevation</t>
  </si>
  <si>
    <t>10-year elevation</t>
  </si>
  <si>
    <t>100-year elevation</t>
  </si>
  <si>
    <t>WQv Required for Other Areas (CF)</t>
  </si>
  <si>
    <t>Allowable Release</t>
  </si>
  <si>
    <t>WQv required</t>
  </si>
  <si>
    <t>Pretreatment required</t>
  </si>
  <si>
    <t>Enter values in grey from TR-55 routing output</t>
  </si>
  <si>
    <t>Final Storage Routing Result</t>
  </si>
  <si>
    <t>Open Space (w/&gt;=4" SQR, &lt;8")</t>
  </si>
  <si>
    <t>Open Space (w/&gt;=8" SQR)</t>
  </si>
  <si>
    <t>Forebay Pool Elevation=</t>
  </si>
  <si>
    <t>Depth Below Pool</t>
  </si>
  <si>
    <t>Forebay Storage</t>
  </si>
  <si>
    <t>***Excludes forebays</t>
  </si>
  <si>
    <t>Natural Condition Watershed Area</t>
  </si>
  <si>
    <t>Adjusted CN (for WQv event modeling):</t>
  </si>
  <si>
    <t>* Do not include any impervious areas that are included as "Other Areas" (e.g. green roofs, etc.)</t>
  </si>
  <si>
    <t>Extended Detention Metrics:</t>
  </si>
  <si>
    <t>qu:</t>
  </si>
  <si>
    <t>CPv</t>
  </si>
  <si>
    <t>Open space / Row Crop CNs</t>
  </si>
  <si>
    <t>Natural</t>
  </si>
  <si>
    <t>WQv treated by other practices upstream</t>
  </si>
  <si>
    <t>EXAMPLE OF FIGURE FROM SMALL STORM HYDROLOGY SECTION TO BE USED TO DETERMINE (qo/qi)</t>
  </si>
  <si>
    <t>(From ISWMM Small Storm Hydrology Figure)</t>
  </si>
  <si>
    <t>Incremental Volume</t>
  </si>
  <si>
    <t>CL_1 - Screening / Planning</t>
  </si>
  <si>
    <t>Page 1</t>
  </si>
  <si>
    <t>CL_2 - Design Summary</t>
  </si>
  <si>
    <t>Page 2</t>
  </si>
  <si>
    <t>DE_1 - Watershed Information</t>
  </si>
  <si>
    <t>Page 3</t>
  </si>
  <si>
    <t>Step 3 - Hydrology</t>
  </si>
  <si>
    <t>Page 4</t>
  </si>
  <si>
    <t>Step 4 - Pretreatment</t>
  </si>
  <si>
    <t>Page 5</t>
  </si>
  <si>
    <t>Step 5 to 7 - Final Storage Volumes</t>
  </si>
  <si>
    <t>Page 6</t>
  </si>
  <si>
    <t>Step 9 - Results</t>
  </si>
  <si>
    <t>Page 7</t>
  </si>
  <si>
    <t>CN for modeling natural conditions:</t>
  </si>
  <si>
    <t>Natural Condition CN</t>
  </si>
  <si>
    <t>Red arrows show an example of how to use this chart: For qu = 780 csm/in, qo/qi = 0.025.</t>
  </si>
  <si>
    <t>Design Review Checklist for Wet Detention Ponds</t>
  </si>
  <si>
    <t>Iowa Wet Detention Pond Review Checklist</t>
  </si>
  <si>
    <t>HSG of Soils at Detention Pond Site:</t>
  </si>
  <si>
    <t>Wet Detention Pond Metrics</t>
  </si>
  <si>
    <t>Wet Detention Pond Topography</t>
  </si>
  <si>
    <t>Wet Detention Pond Permanent Pool Storage</t>
  </si>
  <si>
    <t>Depth of Edge of Safety Bench (below pool)</t>
  </si>
  <si>
    <t>Safety Bench / Shallow Water Elevation</t>
  </si>
  <si>
    <t>of perm. pool (&lt; 15%)</t>
  </si>
  <si>
    <t>Deep Water Area (&gt; 8 feet depth)</t>
  </si>
  <si>
    <t>Shallow Water Area (&lt; Safety Bench Depth)</t>
  </si>
  <si>
    <t>of perm. pool (&gt; 25%)</t>
  </si>
  <si>
    <t>Required WQv Pool Volume</t>
  </si>
  <si>
    <t>Initial Planning - Wet Detention Pond Elements</t>
  </si>
  <si>
    <t>Max slope below permanent pool</t>
  </si>
  <si>
    <t>Maximum pool depth</t>
  </si>
  <si>
    <t>Dam Crest Elevation</t>
  </si>
  <si>
    <t>Auxiliary Spillway Crest Elevation</t>
  </si>
  <si>
    <t>Height of dam (measured on downstream face)</t>
  </si>
  <si>
    <t>Subsurface pipe at outlet</t>
  </si>
  <si>
    <t>Maintenance path</t>
  </si>
  <si>
    <t>Maintenance drawdown</t>
  </si>
  <si>
    <t>Maximum slope within 20' of pool (above shoreline edge)</t>
  </si>
  <si>
    <t>Maximum slope below 10-year high water elevation (above shoreline edge)</t>
  </si>
  <si>
    <t>Maximum surface slope (overall)</t>
  </si>
  <si>
    <t>Pond to Watershed Ratio**</t>
  </si>
  <si>
    <t>Maximum width of pond</t>
  </si>
  <si>
    <t>Maxiumum flow length through pond</t>
  </si>
  <si>
    <t>Model Output (Flow to Pond Location)</t>
  </si>
  <si>
    <t>Wet Detention Pond Performance Table</t>
  </si>
  <si>
    <t>Wet Detention Pond Metrics Table</t>
  </si>
  <si>
    <t>&lt; 15%</t>
  </si>
  <si>
    <t>&gt; 25%</t>
  </si>
  <si>
    <t>Iowa Department of Agriculture and Land Stewardship (IDALS) - Issue date: August 3, 2020</t>
  </si>
  <si>
    <t>Auxiliary spillway</t>
  </si>
  <si>
    <t>IDALS: Issue Date: 08/03/2020</t>
  </si>
  <si>
    <t>Provide project information above and in blank fields below</t>
  </si>
  <si>
    <t>Provide information in blank fields below (other information populates from data entry sheets)</t>
  </si>
  <si>
    <r>
      <rPr>
        <b/>
        <sz val="9"/>
        <color rgb="FFFF0000"/>
        <rFont val="Calibri"/>
        <family val="2"/>
      </rPr>
      <t>Red Text = Area in acres</t>
    </r>
    <r>
      <rPr>
        <b/>
        <sz val="9"/>
        <color theme="1"/>
        <rFont val="Calibri"/>
        <family val="2"/>
      </rPr>
      <t xml:space="preserve">, </t>
    </r>
    <r>
      <rPr>
        <b/>
        <sz val="9"/>
        <color theme="9" tint="-0.249977111117893"/>
        <rFont val="Calibri"/>
        <family val="2"/>
      </rPr>
      <t>Green Text = CN</t>
    </r>
    <r>
      <rPr>
        <b/>
        <sz val="9"/>
        <color theme="1"/>
        <rFont val="Calibri"/>
        <family val="2"/>
      </rPr>
      <t xml:space="preserve">, </t>
    </r>
    <r>
      <rPr>
        <b/>
        <sz val="9"/>
        <color rgb="FF0070C0"/>
        <rFont val="Calibri"/>
        <family val="2"/>
      </rPr>
      <t>Blue Text = Y or N</t>
    </r>
  </si>
  <si>
    <t>Enter values related to stage-storage information</t>
  </si>
  <si>
    <t>Enter values in  cells from model data input / output</t>
  </si>
  <si>
    <t>Enter Data in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</si>
</sst>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
    <numFmt numFmtId="167" formatCode="#,##0.0"/>
    <numFmt numFmtId="168" formatCode="_(* #,##0_);_(* \(#,##0\);_(* &quot;-&quot;??_);_(@_)"/>
  </numFmts>
  <fonts count="29" x14ac:knownFonts="1">
    <font>
      <sz val="11"/>
      <color theme="1"/>
      <name val="Arial Narrow"/>
      <family val="2"/>
      <scheme val="minor"/>
    </font>
    <font>
      <sz val="11"/>
      <color theme="1"/>
      <name val="Arial Narrow"/>
      <family val="2"/>
      <scheme val="minor"/>
    </font>
    <font>
      <sz val="9"/>
      <color indexed="81"/>
      <name val="Tahoma"/>
      <family val="2"/>
    </font>
    <font>
      <b/>
      <u/>
      <sz val="10"/>
      <color theme="1"/>
      <name val="Calibri"/>
      <family val="2"/>
    </font>
    <font>
      <b/>
      <sz val="10"/>
      <color theme="1"/>
      <name val="Calibri"/>
      <family val="2"/>
    </font>
    <font>
      <sz val="9"/>
      <color theme="1"/>
      <name val="Calibri"/>
      <family val="2"/>
    </font>
    <font>
      <b/>
      <sz val="9"/>
      <color theme="1"/>
      <name val="Calibri"/>
      <family val="2"/>
    </font>
    <font>
      <sz val="11"/>
      <color theme="1"/>
      <name val="Calibri"/>
      <family val="2"/>
    </font>
    <font>
      <b/>
      <u/>
      <sz val="9"/>
      <color rgb="FFFF0000"/>
      <name val="Calibri"/>
      <family val="2"/>
    </font>
    <font>
      <sz val="9"/>
      <color theme="8" tint="-0.249977111117893"/>
      <name val="Calibri"/>
      <family val="2"/>
    </font>
    <font>
      <b/>
      <u/>
      <sz val="9"/>
      <color rgb="FFC00000"/>
      <name val="Calibri"/>
      <family val="2"/>
    </font>
    <font>
      <sz val="10"/>
      <color theme="1"/>
      <name val="Calibri"/>
      <family val="2"/>
    </font>
    <font>
      <i/>
      <sz val="8"/>
      <color theme="1"/>
      <name val="Calibri"/>
      <family val="2"/>
    </font>
    <font>
      <sz val="8"/>
      <color theme="1"/>
      <name val="Calibri"/>
      <family val="2"/>
    </font>
    <font>
      <sz val="8"/>
      <color rgb="FFC00000"/>
      <name val="Calibri"/>
      <family val="2"/>
    </font>
    <font>
      <b/>
      <u/>
      <sz val="9"/>
      <color theme="1"/>
      <name val="Calibri"/>
      <family val="2"/>
    </font>
    <font>
      <b/>
      <sz val="9"/>
      <color rgb="FFFF0000"/>
      <name val="Calibri"/>
      <family val="2"/>
    </font>
    <font>
      <b/>
      <sz val="9"/>
      <color theme="9" tint="-0.249977111117893"/>
      <name val="Calibri"/>
      <family val="2"/>
    </font>
    <font>
      <b/>
      <sz val="9"/>
      <color rgb="FF0070C0"/>
      <name val="Calibri"/>
      <family val="2"/>
    </font>
    <font>
      <sz val="9"/>
      <color rgb="FFFF0000"/>
      <name val="Calibri"/>
      <family val="2"/>
    </font>
    <font>
      <sz val="9"/>
      <color theme="9" tint="-0.249977111117893"/>
      <name val="Calibri"/>
      <family val="2"/>
    </font>
    <font>
      <sz val="9"/>
      <color rgb="FF0070C0"/>
      <name val="Calibri"/>
      <family val="2"/>
    </font>
    <font>
      <b/>
      <i/>
      <sz val="10"/>
      <color theme="1"/>
      <name val="Calibri"/>
      <family val="2"/>
    </font>
    <font>
      <sz val="10"/>
      <color rgb="FFC00000"/>
      <name val="Calibri"/>
      <family val="2"/>
    </font>
    <font>
      <b/>
      <sz val="11"/>
      <color theme="1"/>
      <name val="Calibri"/>
      <family val="2"/>
    </font>
    <font>
      <sz val="11"/>
      <color theme="4"/>
      <name val="Calibri"/>
      <family val="2"/>
    </font>
    <font>
      <b/>
      <i/>
      <sz val="9"/>
      <color theme="1"/>
      <name val="Calibri"/>
      <family val="2"/>
    </font>
    <font>
      <i/>
      <sz val="9"/>
      <color theme="1"/>
      <name val="Calibri"/>
      <family val="2"/>
    </font>
    <font>
      <sz val="9"/>
      <color theme="0" tint="-0.34998626667073579"/>
      <name val="Calibri"/>
      <family val="2"/>
    </font>
  </fonts>
  <fills count="23">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darkDown">
        <fgColor theme="0" tint="-0.34998626667073579"/>
        <bgColor theme="9" tint="0.79998168889431442"/>
      </patternFill>
    </fill>
    <fill>
      <patternFill patternType="darkDown">
        <fgColor theme="0" tint="-0.34998626667073579"/>
        <bgColor theme="7" tint="0.79998168889431442"/>
      </patternFill>
    </fill>
    <fill>
      <patternFill patternType="solid">
        <fgColor theme="2"/>
        <bgColor indexed="64"/>
      </patternFill>
    </fill>
    <fill>
      <patternFill patternType="darkUp">
        <fgColor theme="5" tint="0.79998168889431442"/>
        <bgColor auto="1"/>
      </patternFill>
    </fill>
    <fill>
      <patternFill patternType="darkUp">
        <fgColor theme="8" tint="0.79998168889431442"/>
        <bgColor auto="1"/>
      </patternFill>
    </fill>
  </fills>
  <borders count="1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19">
    <xf numFmtId="0" fontId="0" fillId="0" borderId="0" xfId="0"/>
    <xf numFmtId="0" fontId="3" fillId="0" borderId="0" xfId="0" applyFont="1"/>
    <xf numFmtId="0" fontId="5" fillId="0" borderId="0" xfId="0" applyFont="1" applyFill="1" applyAlignment="1">
      <alignment horizontal="right"/>
    </xf>
    <xf numFmtId="0" fontId="6" fillId="0" borderId="0" xfId="0" applyFont="1" applyFill="1" applyAlignment="1">
      <alignment horizontal="right"/>
    </xf>
    <xf numFmtId="0" fontId="5" fillId="0" borderId="0" xfId="0" applyFont="1" applyFill="1" applyAlignment="1"/>
    <xf numFmtId="0" fontId="5" fillId="0" borderId="0" xfId="0" applyFont="1" applyAlignment="1">
      <alignment horizontal="right"/>
    </xf>
    <xf numFmtId="0" fontId="5" fillId="0" borderId="0" xfId="0" applyFont="1" applyFill="1" applyAlignment="1">
      <alignment horizontal="left"/>
    </xf>
    <xf numFmtId="0" fontId="6" fillId="0" borderId="0" xfId="0" applyFont="1" applyFill="1" applyAlignment="1"/>
    <xf numFmtId="14" fontId="5" fillId="0" borderId="0" xfId="0" applyNumberFormat="1" applyFont="1" applyFill="1" applyAlignment="1"/>
    <xf numFmtId="0" fontId="5" fillId="0" borderId="0" xfId="0" applyFont="1" applyFill="1"/>
    <xf numFmtId="0" fontId="5" fillId="0" borderId="0" xfId="0" applyFont="1"/>
    <xf numFmtId="0" fontId="6" fillId="0" borderId="0" xfId="0" applyFont="1" applyFill="1"/>
    <xf numFmtId="0" fontId="5" fillId="0" borderId="0" xfId="0" applyFont="1" applyFill="1" applyAlignment="1">
      <alignment horizontal="center"/>
    </xf>
    <xf numFmtId="0" fontId="5" fillId="0" borderId="0" xfId="0" applyFont="1" applyFill="1" applyAlignment="1">
      <alignment vertical="center"/>
    </xf>
    <xf numFmtId="16" fontId="5" fillId="0" borderId="0" xfId="0" applyNumberFormat="1" applyFont="1" applyFill="1" applyAlignment="1">
      <alignment horizontal="center"/>
    </xf>
    <xf numFmtId="0" fontId="5" fillId="0" borderId="0" xfId="0" applyFont="1" applyFill="1" applyAlignment="1">
      <alignment vertical="top"/>
    </xf>
    <xf numFmtId="0" fontId="5" fillId="0" borderId="0" xfId="0" applyFont="1" applyFill="1" applyAlignment="1">
      <alignment vertical="top" wrapText="1"/>
    </xf>
    <xf numFmtId="0" fontId="5" fillId="2" borderId="0" xfId="0" applyFont="1" applyFill="1" applyAlignment="1"/>
    <xf numFmtId="0" fontId="3" fillId="0" borderId="0" xfId="0" applyFont="1" applyProtection="1"/>
    <xf numFmtId="0" fontId="3" fillId="0" borderId="0" xfId="0" applyFont="1" applyAlignment="1" applyProtection="1">
      <alignment horizontal="center"/>
    </xf>
    <xf numFmtId="0" fontId="5" fillId="0" borderId="0" xfId="0" applyFont="1" applyAlignment="1" applyProtection="1">
      <alignment horizontal="right"/>
    </xf>
    <xf numFmtId="0" fontId="6" fillId="0" borderId="0" xfId="0" applyFont="1" applyAlignment="1" applyProtection="1">
      <alignment horizontal="right"/>
    </xf>
    <xf numFmtId="0" fontId="5" fillId="0" borderId="0" xfId="0" applyFont="1" applyAlignment="1" applyProtection="1">
      <alignment horizontal="center"/>
    </xf>
    <xf numFmtId="0" fontId="5" fillId="0" borderId="0" xfId="0" applyFont="1" applyFill="1" applyAlignment="1" applyProtection="1">
      <alignment horizontal="right"/>
    </xf>
    <xf numFmtId="0" fontId="6" fillId="0" borderId="0" xfId="0" applyFont="1" applyFill="1" applyAlignment="1" applyProtection="1">
      <alignment horizontal="right"/>
    </xf>
    <xf numFmtId="0" fontId="5" fillId="0" borderId="0" xfId="0" applyFont="1" applyFill="1" applyAlignment="1" applyProtection="1">
      <alignment horizontal="left"/>
    </xf>
    <xf numFmtId="0" fontId="5" fillId="0" borderId="0" xfId="0" applyFont="1" applyFill="1" applyAlignment="1" applyProtection="1">
      <alignment horizontal="center"/>
    </xf>
    <xf numFmtId="0" fontId="5" fillId="0" borderId="0" xfId="0" applyFont="1" applyProtection="1"/>
    <xf numFmtId="0" fontId="5" fillId="0" borderId="0" xfId="0" applyFont="1" applyFill="1" applyProtection="1"/>
    <xf numFmtId="0" fontId="6" fillId="4" borderId="0" xfId="0" applyFont="1" applyFill="1" applyProtection="1"/>
    <xf numFmtId="0" fontId="5" fillId="4" borderId="0" xfId="0" applyFont="1" applyFill="1" applyProtection="1"/>
    <xf numFmtId="0" fontId="5" fillId="3" borderId="0" xfId="0" applyFont="1" applyFill="1" applyAlignment="1" applyProtection="1">
      <alignment horizontal="center"/>
      <protection locked="0"/>
    </xf>
    <xf numFmtId="0" fontId="5" fillId="0" borderId="0" xfId="0" applyFont="1" applyAlignment="1" applyProtection="1">
      <alignment vertical="center"/>
    </xf>
    <xf numFmtId="0" fontId="5" fillId="0" borderId="2" xfId="0" applyFont="1" applyBorder="1" applyAlignment="1" applyProtection="1">
      <alignment horizontal="center"/>
    </xf>
    <xf numFmtId="0" fontId="9" fillId="0" borderId="0" xfId="0" applyFont="1" applyAlignment="1" applyProtection="1">
      <alignment horizontal="center"/>
    </xf>
    <xf numFmtId="0" fontId="5" fillId="0" borderId="2" xfId="0" applyFont="1" applyBorder="1" applyAlignment="1" applyProtection="1">
      <alignment horizontal="center"/>
      <protection locked="0"/>
    </xf>
    <xf numFmtId="49" fontId="5" fillId="3" borderId="0" xfId="0" applyNumberFormat="1" applyFont="1" applyFill="1" applyAlignment="1" applyProtection="1">
      <alignment horizontal="center"/>
      <protection locked="0"/>
    </xf>
    <xf numFmtId="0" fontId="6" fillId="5" borderId="0" xfId="0" applyFont="1" applyFill="1" applyProtection="1"/>
    <xf numFmtId="0" fontId="5" fillId="5" borderId="0" xfId="0" applyFont="1" applyFill="1" applyProtection="1"/>
    <xf numFmtId="0" fontId="5" fillId="2" borderId="0" xfId="0" applyFont="1" applyFill="1" applyAlignment="1" applyProtection="1">
      <alignment horizontal="center"/>
      <protection locked="0"/>
    </xf>
    <xf numFmtId="0" fontId="5" fillId="0" borderId="0" xfId="0" applyFont="1" applyFill="1" applyAlignment="1" applyProtection="1">
      <alignment horizontal="center"/>
      <protection locked="0"/>
    </xf>
    <xf numFmtId="0" fontId="5" fillId="2" borderId="0" xfId="0" applyFont="1" applyFill="1" applyAlignment="1" applyProtection="1"/>
    <xf numFmtId="0" fontId="7" fillId="0" borderId="13" xfId="0" applyFont="1" applyBorder="1" applyProtection="1"/>
    <xf numFmtId="0" fontId="7" fillId="0" borderId="0" xfId="0" applyFont="1" applyProtection="1"/>
    <xf numFmtId="0" fontId="7" fillId="0" borderId="0" xfId="0" applyFont="1" applyAlignment="1" applyProtection="1">
      <alignment horizontal="right"/>
    </xf>
    <xf numFmtId="14" fontId="5" fillId="0" borderId="0" xfId="0" applyNumberFormat="1" applyFont="1" applyFill="1" applyAlignment="1" applyProtection="1">
      <alignment horizontal="left"/>
    </xf>
    <xf numFmtId="0" fontId="6" fillId="10" borderId="0" xfId="0" applyFont="1" applyFill="1" applyAlignment="1" applyProtection="1"/>
    <xf numFmtId="0" fontId="5" fillId="0" borderId="0" xfId="0" applyFont="1" applyFill="1" applyAlignment="1" applyProtection="1"/>
    <xf numFmtId="0" fontId="6" fillId="4" borderId="0" xfId="0" applyFont="1" applyFill="1" applyAlignment="1" applyProtection="1"/>
    <xf numFmtId="0" fontId="5" fillId="4" borderId="0" xfId="0" applyFont="1" applyFill="1" applyAlignment="1" applyProtection="1"/>
    <xf numFmtId="0" fontId="5" fillId="0" borderId="2" xfId="0" applyFont="1" applyBorder="1" applyProtection="1"/>
    <xf numFmtId="0" fontId="5" fillId="0" borderId="9" xfId="0" applyFont="1" applyBorder="1" applyProtection="1"/>
    <xf numFmtId="0" fontId="6" fillId="0" borderId="0" xfId="0" applyFont="1" applyFill="1" applyAlignment="1" applyProtection="1"/>
    <xf numFmtId="3" fontId="5" fillId="0" borderId="0" xfId="0" applyNumberFormat="1" applyFont="1" applyFill="1" applyAlignment="1" applyProtection="1"/>
    <xf numFmtId="0" fontId="11" fillId="0" borderId="0" xfId="0" applyFont="1" applyAlignment="1" applyProtection="1">
      <alignment horizontal="center"/>
    </xf>
    <xf numFmtId="168" fontId="5" fillId="0" borderId="10" xfId="2" applyNumberFormat="1" applyFont="1" applyBorder="1" applyProtection="1">
      <protection locked="0"/>
    </xf>
    <xf numFmtId="0" fontId="5" fillId="0" borderId="4" xfId="0" applyFont="1" applyBorder="1" applyProtection="1"/>
    <xf numFmtId="168" fontId="5" fillId="0" borderId="11" xfId="2" applyNumberFormat="1" applyFont="1" applyBorder="1" applyProtection="1">
      <protection locked="0"/>
    </xf>
    <xf numFmtId="0" fontId="5" fillId="0" borderId="6" xfId="0" applyFont="1" applyBorder="1" applyProtection="1"/>
    <xf numFmtId="0" fontId="12" fillId="0" borderId="0" xfId="0" applyFont="1" applyFill="1" applyAlignment="1" applyProtection="1"/>
    <xf numFmtId="0" fontId="13" fillId="0" borderId="0" xfId="0" applyFont="1" applyFill="1" applyAlignment="1" applyProtection="1"/>
    <xf numFmtId="3" fontId="13" fillId="0" borderId="0" xfId="0" applyNumberFormat="1" applyFont="1" applyFill="1" applyAlignment="1" applyProtection="1"/>
    <xf numFmtId="0" fontId="13" fillId="0" borderId="0" xfId="0" applyFont="1" applyProtection="1"/>
    <xf numFmtId="0" fontId="13" fillId="0" borderId="0" xfId="0" applyFont="1" applyAlignment="1" applyProtection="1">
      <alignment horizontal="center"/>
    </xf>
    <xf numFmtId="3" fontId="5" fillId="3" borderId="0" xfId="0" applyNumberFormat="1" applyFont="1" applyFill="1" applyAlignment="1" applyProtection="1">
      <alignment horizontal="center"/>
      <protection locked="0"/>
    </xf>
    <xf numFmtId="3" fontId="5" fillId="22" borderId="0" xfId="0" applyNumberFormat="1" applyFont="1" applyFill="1" applyAlignment="1" applyProtection="1">
      <alignment horizontal="center"/>
      <protection locked="0"/>
    </xf>
    <xf numFmtId="0" fontId="6" fillId="0" borderId="1" xfId="0" applyFont="1" applyFill="1" applyBorder="1" applyAlignment="1" applyProtection="1"/>
    <xf numFmtId="0" fontId="6" fillId="0" borderId="1" xfId="0" applyFont="1" applyFill="1" applyBorder="1" applyAlignment="1" applyProtection="1">
      <alignment horizontal="center"/>
    </xf>
    <xf numFmtId="166" fontId="5" fillId="0" borderId="0" xfId="0" applyNumberFormat="1" applyFont="1" applyFill="1" applyAlignment="1" applyProtection="1">
      <alignment horizontal="center"/>
    </xf>
    <xf numFmtId="0" fontId="5" fillId="0" borderId="1" xfId="0" applyFont="1" applyFill="1" applyBorder="1" applyAlignment="1" applyProtection="1"/>
    <xf numFmtId="0" fontId="5" fillId="0" borderId="1" xfId="0" applyFont="1" applyBorder="1" applyProtection="1"/>
    <xf numFmtId="2" fontId="6" fillId="0" borderId="1" xfId="0" applyNumberFormat="1" applyFont="1" applyFill="1" applyBorder="1" applyAlignment="1" applyProtection="1">
      <alignment horizontal="center"/>
    </xf>
    <xf numFmtId="39" fontId="5" fillId="0" borderId="0" xfId="0" applyNumberFormat="1" applyFont="1" applyFill="1" applyAlignment="1" applyProtection="1">
      <alignment horizontal="center"/>
    </xf>
    <xf numFmtId="2" fontId="5" fillId="0" borderId="0" xfId="0" applyNumberFormat="1" applyFont="1" applyFill="1" applyAlignment="1" applyProtection="1">
      <alignment horizontal="center"/>
    </xf>
    <xf numFmtId="43" fontId="5" fillId="0" borderId="2" xfId="2" applyNumberFormat="1" applyFont="1" applyBorder="1" applyProtection="1">
      <protection locked="0"/>
    </xf>
    <xf numFmtId="0" fontId="6" fillId="5" borderId="0" xfId="0" applyFont="1" applyFill="1" applyAlignment="1" applyProtection="1"/>
    <xf numFmtId="0" fontId="5" fillId="5" borderId="0" xfId="0" applyFont="1" applyFill="1" applyAlignment="1" applyProtection="1"/>
    <xf numFmtId="164" fontId="5" fillId="0" borderId="0" xfId="1" applyNumberFormat="1" applyFont="1" applyFill="1" applyAlignment="1" applyProtection="1">
      <alignment horizontal="center"/>
    </xf>
    <xf numFmtId="164" fontId="5" fillId="0" borderId="0" xfId="1" applyNumberFormat="1" applyFont="1" applyAlignment="1" applyProtection="1">
      <alignment horizontal="center"/>
    </xf>
    <xf numFmtId="166" fontId="5" fillId="0" borderId="0" xfId="0" applyNumberFormat="1" applyFont="1" applyAlignment="1" applyProtection="1">
      <alignment horizontal="center"/>
    </xf>
    <xf numFmtId="0" fontId="6" fillId="15" borderId="0" xfId="0" applyFont="1" applyFill="1" applyAlignment="1" applyProtection="1"/>
    <xf numFmtId="0" fontId="5" fillId="9" borderId="0" xfId="0" applyFont="1" applyFill="1" applyAlignment="1" applyProtection="1">
      <alignment horizontal="center"/>
      <protection locked="0"/>
    </xf>
    <xf numFmtId="0" fontId="14" fillId="0" borderId="0" xfId="0" applyFont="1" applyFill="1" applyAlignment="1" applyProtection="1">
      <alignment horizontal="center"/>
    </xf>
    <xf numFmtId="0" fontId="6" fillId="8" borderId="0" xfId="0" applyFont="1" applyFill="1" applyAlignment="1" applyProtection="1"/>
    <xf numFmtId="0" fontId="6" fillId="0" borderId="0" xfId="0" applyFont="1" applyAlignment="1" applyProtection="1">
      <alignment horizontal="center" wrapText="1"/>
    </xf>
    <xf numFmtId="0" fontId="5" fillId="10" borderId="0" xfId="0" applyFont="1" applyFill="1" applyAlignment="1" applyProtection="1">
      <alignment horizontal="center"/>
      <protection locked="0"/>
    </xf>
    <xf numFmtId="14" fontId="5" fillId="0" borderId="0" xfId="0" applyNumberFormat="1" applyFont="1" applyAlignment="1" applyProtection="1">
      <alignment horizontal="left"/>
    </xf>
    <xf numFmtId="0" fontId="15" fillId="0" borderId="0" xfId="0" applyFont="1" applyProtection="1"/>
    <xf numFmtId="0" fontId="6" fillId="0" borderId="0" xfId="0" applyFont="1" applyFill="1" applyProtection="1"/>
    <xf numFmtId="0" fontId="6" fillId="12" borderId="0" xfId="0" applyFont="1" applyFill="1" applyProtection="1"/>
    <xf numFmtId="0" fontId="5" fillId="12" borderId="0" xfId="0" applyFont="1" applyFill="1" applyProtection="1"/>
    <xf numFmtId="0" fontId="6" fillId="0" borderId="1" xfId="0" applyFont="1" applyBorder="1" applyProtection="1"/>
    <xf numFmtId="0" fontId="6" fillId="0" borderId="1" xfId="0" applyFont="1" applyBorder="1" applyAlignment="1" applyProtection="1">
      <alignment horizontal="center"/>
    </xf>
    <xf numFmtId="0" fontId="19" fillId="7" borderId="0" xfId="0" applyFont="1" applyFill="1" applyAlignment="1" applyProtection="1">
      <alignment horizontal="center"/>
      <protection locked="0"/>
    </xf>
    <xf numFmtId="0" fontId="5" fillId="11" borderId="0" xfId="0" applyFont="1" applyFill="1" applyAlignment="1" applyProtection="1">
      <alignment horizontal="center"/>
    </xf>
    <xf numFmtId="165" fontId="5" fillId="0" borderId="0" xfId="0" applyNumberFormat="1" applyFont="1" applyBorder="1" applyAlignment="1" applyProtection="1">
      <alignment horizontal="right"/>
    </xf>
    <xf numFmtId="3" fontId="5" fillId="0" borderId="0" xfId="0" applyNumberFormat="1" applyFont="1" applyBorder="1" applyAlignment="1" applyProtection="1">
      <alignment horizontal="right"/>
    </xf>
    <xf numFmtId="0" fontId="5" fillId="0" borderId="7" xfId="0" applyFont="1" applyBorder="1" applyProtection="1"/>
    <xf numFmtId="0" fontId="5" fillId="0" borderId="8" xfId="0" applyFont="1" applyBorder="1" applyProtection="1"/>
    <xf numFmtId="168" fontId="5" fillId="0" borderId="7" xfId="2" applyNumberFormat="1" applyFont="1" applyBorder="1" applyProtection="1">
      <protection locked="0"/>
    </xf>
    <xf numFmtId="0" fontId="6" fillId="14" borderId="0" xfId="0" applyFont="1" applyFill="1" applyProtection="1"/>
    <xf numFmtId="0" fontId="5" fillId="14" borderId="0" xfId="0" applyFont="1" applyFill="1" applyProtection="1"/>
    <xf numFmtId="0" fontId="20" fillId="7" borderId="0" xfId="0" applyFont="1" applyFill="1" applyAlignment="1" applyProtection="1">
      <alignment horizontal="center"/>
      <protection locked="0"/>
    </xf>
    <xf numFmtId="0" fontId="21" fillId="7" borderId="0" xfId="0" applyFont="1" applyFill="1" applyAlignment="1" applyProtection="1">
      <alignment horizontal="center"/>
      <protection locked="0"/>
    </xf>
    <xf numFmtId="0" fontId="5" fillId="2" borderId="0" xfId="0" applyFont="1" applyFill="1" applyAlignment="1" applyProtection="1">
      <alignment horizontal="center"/>
    </xf>
    <xf numFmtId="165" fontId="5" fillId="2" borderId="0" xfId="0" applyNumberFormat="1" applyFont="1" applyFill="1" applyBorder="1" applyAlignment="1" applyProtection="1">
      <alignment horizontal="center"/>
    </xf>
    <xf numFmtId="164" fontId="5" fillId="2" borderId="0" xfId="1" applyNumberFormat="1" applyFont="1" applyFill="1" applyAlignment="1" applyProtection="1">
      <alignment horizontal="center"/>
    </xf>
    <xf numFmtId="3" fontId="5" fillId="2" borderId="0" xfId="0" applyNumberFormat="1" applyFont="1" applyFill="1" applyBorder="1" applyAlignment="1" applyProtection="1">
      <alignment horizontal="center"/>
    </xf>
    <xf numFmtId="165" fontId="5" fillId="2" borderId="0" xfId="0" applyNumberFormat="1" applyFont="1" applyFill="1" applyAlignment="1" applyProtection="1">
      <alignment horizontal="center"/>
    </xf>
    <xf numFmtId="0" fontId="6" fillId="6" borderId="0" xfId="0" applyFont="1" applyFill="1" applyProtection="1"/>
    <xf numFmtId="0" fontId="5" fillId="6" borderId="0" xfId="0" applyFont="1" applyFill="1" applyProtection="1"/>
    <xf numFmtId="0" fontId="5" fillId="9" borderId="0" xfId="0" applyFont="1" applyFill="1" applyAlignment="1" applyProtection="1">
      <alignment horizontal="center"/>
    </xf>
    <xf numFmtId="165" fontId="5" fillId="9" borderId="0" xfId="0" applyNumberFormat="1" applyFont="1" applyFill="1" applyBorder="1" applyAlignment="1" applyProtection="1">
      <alignment horizontal="center"/>
    </xf>
    <xf numFmtId="164" fontId="5" fillId="9" borderId="0" xfId="1" applyNumberFormat="1" applyFont="1" applyFill="1" applyAlignment="1" applyProtection="1">
      <alignment horizontal="center"/>
    </xf>
    <xf numFmtId="3" fontId="5" fillId="9" borderId="0" xfId="0" applyNumberFormat="1" applyFont="1" applyFill="1" applyBorder="1" applyAlignment="1" applyProtection="1">
      <alignment horizontal="center"/>
    </xf>
    <xf numFmtId="165" fontId="5" fillId="9" borderId="0" xfId="0" applyNumberFormat="1" applyFont="1" applyFill="1" applyAlignment="1" applyProtection="1">
      <alignment horizontal="center"/>
    </xf>
    <xf numFmtId="0" fontId="12" fillId="0" borderId="0" xfId="0" applyFont="1" applyProtection="1"/>
    <xf numFmtId="0" fontId="3" fillId="0" borderId="0" xfId="0" applyFont="1" applyAlignment="1" applyProtection="1"/>
    <xf numFmtId="0" fontId="11" fillId="0" borderId="0" xfId="0" applyFont="1" applyProtection="1"/>
    <xf numFmtId="0" fontId="22" fillId="0" borderId="1" xfId="0" applyFont="1" applyBorder="1" applyProtection="1"/>
    <xf numFmtId="0" fontId="22" fillId="0" borderId="0" xfId="0" applyFont="1" applyProtection="1"/>
    <xf numFmtId="0" fontId="4" fillId="8" borderId="0" xfId="0" applyFont="1" applyFill="1" applyProtection="1"/>
    <xf numFmtId="0" fontId="11" fillId="0" borderId="0" xfId="0" applyFont="1" applyAlignment="1" applyProtection="1">
      <alignment horizontal="right"/>
    </xf>
    <xf numFmtId="165" fontId="11" fillId="0" borderId="0" xfId="0" applyNumberFormat="1" applyFont="1" applyBorder="1" applyAlignment="1" applyProtection="1">
      <alignment horizontal="right"/>
    </xf>
    <xf numFmtId="164" fontId="11" fillId="0" borderId="0" xfId="1" applyNumberFormat="1" applyFont="1" applyAlignment="1" applyProtection="1">
      <alignment horizontal="center"/>
    </xf>
    <xf numFmtId="3" fontId="11" fillId="0" borderId="0" xfId="0" applyNumberFormat="1" applyFont="1" applyBorder="1" applyAlignment="1" applyProtection="1">
      <alignment horizontal="right"/>
    </xf>
    <xf numFmtId="165" fontId="11" fillId="0" borderId="0" xfId="0" applyNumberFormat="1" applyFont="1" applyProtection="1"/>
    <xf numFmtId="0" fontId="4" fillId="0" borderId="0" xfId="0" applyFont="1" applyFill="1" applyProtection="1"/>
    <xf numFmtId="0" fontId="4" fillId="0" borderId="0" xfId="0" applyFont="1" applyFill="1" applyAlignment="1" applyProtection="1">
      <alignment horizontal="center"/>
    </xf>
    <xf numFmtId="0" fontId="4" fillId="0" borderId="1" xfId="0" applyFont="1" applyBorder="1" applyProtection="1"/>
    <xf numFmtId="0" fontId="11" fillId="0" borderId="1" xfId="0" applyFont="1" applyFill="1" applyBorder="1" applyAlignment="1" applyProtection="1">
      <alignment horizontal="center"/>
    </xf>
    <xf numFmtId="2" fontId="11" fillId="17" borderId="0" xfId="0" applyNumberFormat="1" applyFont="1" applyFill="1" applyAlignment="1" applyProtection="1">
      <alignment horizontal="center"/>
      <protection locked="0"/>
    </xf>
    <xf numFmtId="166" fontId="11" fillId="18" borderId="0" xfId="0" applyNumberFormat="1" applyFont="1" applyFill="1" applyAlignment="1" applyProtection="1">
      <alignment horizontal="center"/>
    </xf>
    <xf numFmtId="37" fontId="11" fillId="18" borderId="0" xfId="0" applyNumberFormat="1" applyFont="1" applyFill="1" applyAlignment="1" applyProtection="1">
      <alignment horizontal="center"/>
    </xf>
    <xf numFmtId="166" fontId="11" fillId="19" borderId="0" xfId="0" applyNumberFormat="1" applyFont="1" applyFill="1" applyAlignment="1" applyProtection="1">
      <alignment horizontal="center"/>
    </xf>
    <xf numFmtId="37" fontId="11" fillId="19" borderId="0" xfId="0" applyNumberFormat="1" applyFont="1" applyFill="1" applyAlignment="1" applyProtection="1">
      <alignment horizontal="center"/>
    </xf>
    <xf numFmtId="0" fontId="11" fillId="9" borderId="0" xfId="0" applyFont="1" applyFill="1" applyAlignment="1" applyProtection="1">
      <alignment horizontal="center"/>
      <protection locked="0"/>
    </xf>
    <xf numFmtId="37" fontId="11" fillId="9" borderId="0" xfId="2" applyNumberFormat="1" applyFont="1" applyFill="1" applyAlignment="1" applyProtection="1">
      <alignment horizontal="center"/>
      <protection locked="0"/>
    </xf>
    <xf numFmtId="0" fontId="11" fillId="11" borderId="0" xfId="0" applyFont="1" applyFill="1" applyAlignment="1" applyProtection="1">
      <alignment horizontal="center"/>
      <protection locked="0"/>
    </xf>
    <xf numFmtId="37" fontId="11" fillId="11"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37" fontId="11" fillId="2" borderId="0" xfId="0" applyNumberFormat="1" applyFont="1" applyFill="1" applyAlignment="1" applyProtection="1">
      <alignment horizontal="center"/>
      <protection locked="0"/>
    </xf>
    <xf numFmtId="2" fontId="11" fillId="0" borderId="0" xfId="0" applyNumberFormat="1" applyFont="1" applyFill="1" applyAlignment="1" applyProtection="1">
      <alignment horizontal="center"/>
    </xf>
    <xf numFmtId="166" fontId="11" fillId="0" borderId="0" xfId="0" applyNumberFormat="1" applyFont="1" applyFill="1" applyAlignment="1" applyProtection="1">
      <alignment horizontal="center"/>
    </xf>
    <xf numFmtId="37" fontId="11" fillId="0" borderId="0" xfId="0" applyNumberFormat="1" applyFont="1" applyFill="1" applyAlignment="1" applyProtection="1">
      <alignment horizontal="center"/>
    </xf>
    <xf numFmtId="1" fontId="11" fillId="0" borderId="0" xfId="0" applyNumberFormat="1" applyFont="1" applyFill="1" applyAlignment="1" applyProtection="1">
      <alignment horizontal="center"/>
    </xf>
    <xf numFmtId="37" fontId="11" fillId="0" borderId="0" xfId="2" applyNumberFormat="1" applyFont="1" applyFill="1" applyAlignment="1" applyProtection="1">
      <alignment horizontal="center"/>
    </xf>
    <xf numFmtId="0" fontId="11" fillId="0" borderId="0" xfId="0" applyFont="1" applyFill="1" applyAlignment="1" applyProtection="1">
      <alignment horizontal="right"/>
    </xf>
    <xf numFmtId="2" fontId="11" fillId="0" borderId="0" xfId="0" applyNumberFormat="1" applyFont="1" applyAlignment="1" applyProtection="1">
      <alignment horizontal="center"/>
    </xf>
    <xf numFmtId="1" fontId="11" fillId="0" borderId="0" xfId="0" applyNumberFormat="1" applyFont="1" applyAlignment="1" applyProtection="1">
      <alignment horizontal="center"/>
    </xf>
    <xf numFmtId="0" fontId="11" fillId="16" borderId="0" xfId="0" applyNumberFormat="1" applyFont="1" applyFill="1" applyAlignment="1" applyProtection="1">
      <alignment horizontal="center"/>
      <protection locked="0"/>
    </xf>
    <xf numFmtId="0" fontId="11" fillId="16" borderId="0" xfId="0" applyFont="1" applyFill="1" applyAlignment="1" applyProtection="1">
      <alignment horizontal="center"/>
      <protection locked="0"/>
    </xf>
    <xf numFmtId="0" fontId="11" fillId="0" borderId="12" xfId="0" applyFont="1" applyBorder="1" applyAlignment="1" applyProtection="1">
      <alignment horizontal="center"/>
    </xf>
    <xf numFmtId="0" fontId="4" fillId="0" borderId="0" xfId="0" applyFont="1" applyProtection="1"/>
    <xf numFmtId="0" fontId="4" fillId="0" borderId="0" xfId="0" applyFont="1" applyAlignment="1" applyProtection="1">
      <alignment horizontal="center"/>
    </xf>
    <xf numFmtId="0" fontId="5" fillId="0" borderId="10" xfId="0" applyFont="1" applyBorder="1" applyAlignment="1" applyProtection="1">
      <alignment horizontal="center"/>
    </xf>
    <xf numFmtId="0" fontId="11" fillId="0" borderId="1" xfId="0" applyFont="1" applyBorder="1" applyAlignment="1" applyProtection="1">
      <alignment horizontal="center"/>
    </xf>
    <xf numFmtId="168" fontId="5" fillId="0" borderId="11" xfId="2" applyNumberFormat="1" applyFont="1" applyBorder="1" applyAlignment="1" applyProtection="1">
      <alignment horizontal="center"/>
    </xf>
    <xf numFmtId="0" fontId="11" fillId="21" borderId="0" xfId="0" applyFont="1" applyFill="1" applyBorder="1" applyAlignment="1" applyProtection="1">
      <alignment horizontal="center"/>
    </xf>
    <xf numFmtId="0" fontId="11" fillId="21" borderId="0" xfId="0" applyFont="1" applyFill="1" applyAlignment="1" applyProtection="1">
      <alignment horizontal="center"/>
    </xf>
    <xf numFmtId="0" fontId="11" fillId="21" borderId="0" xfId="0" applyNumberFormat="1" applyFont="1" applyFill="1" applyBorder="1" applyAlignment="1" applyProtection="1">
      <alignment horizontal="center"/>
    </xf>
    <xf numFmtId="2" fontId="11" fillId="21" borderId="0" xfId="0" applyNumberFormat="1" applyFont="1" applyFill="1" applyAlignment="1" applyProtection="1">
      <alignment horizontal="center"/>
    </xf>
    <xf numFmtId="165" fontId="11" fillId="21" borderId="0" xfId="0" applyNumberFormat="1" applyFont="1" applyFill="1" applyAlignment="1" applyProtection="1">
      <alignment horizontal="center"/>
    </xf>
    <xf numFmtId="37" fontId="11" fillId="21" borderId="0" xfId="0" applyNumberFormat="1" applyFont="1" applyFill="1" applyAlignment="1" applyProtection="1">
      <alignment horizontal="center"/>
    </xf>
    <xf numFmtId="3" fontId="11" fillId="21" borderId="0" xfId="0" applyNumberFormat="1" applyFont="1" applyFill="1" applyAlignment="1" applyProtection="1">
      <alignment horizontal="center"/>
    </xf>
    <xf numFmtId="43" fontId="11" fillId="0" borderId="10" xfId="2" applyNumberFormat="1" applyFont="1" applyBorder="1" applyAlignment="1" applyProtection="1">
      <alignment horizontal="center"/>
      <protection locked="0"/>
    </xf>
    <xf numFmtId="2" fontId="11" fillId="0" borderId="0" xfId="0" applyNumberFormat="1" applyFont="1" applyBorder="1" applyAlignment="1" applyProtection="1">
      <alignment horizontal="center"/>
    </xf>
    <xf numFmtId="0" fontId="11" fillId="0" borderId="0" xfId="0" applyNumberFormat="1" applyFont="1" applyBorder="1" applyAlignment="1" applyProtection="1">
      <alignment horizontal="center"/>
    </xf>
    <xf numFmtId="165" fontId="11" fillId="0" borderId="0" xfId="0" applyNumberFormat="1" applyFont="1" applyAlignment="1" applyProtection="1">
      <alignment horizontal="center"/>
    </xf>
    <xf numFmtId="37" fontId="11" fillId="0" borderId="0" xfId="0" applyNumberFormat="1" applyFont="1" applyAlignment="1" applyProtection="1">
      <alignment horizontal="center"/>
    </xf>
    <xf numFmtId="3" fontId="11" fillId="0" borderId="0" xfId="0" applyNumberFormat="1" applyFont="1" applyAlignment="1" applyProtection="1">
      <alignment horizontal="center"/>
    </xf>
    <xf numFmtId="43" fontId="11" fillId="0" borderId="11" xfId="2" applyNumberFormat="1" applyFont="1" applyBorder="1" applyAlignment="1" applyProtection="1">
      <alignment horizontal="center"/>
      <protection locked="0"/>
    </xf>
    <xf numFmtId="168" fontId="11" fillId="0" borderId="0" xfId="2" applyNumberFormat="1" applyFont="1" applyBorder="1" applyAlignment="1" applyProtection="1">
      <alignment horizontal="center"/>
    </xf>
    <xf numFmtId="3" fontId="7" fillId="0" borderId="13" xfId="0" applyNumberFormat="1" applyFont="1" applyBorder="1" applyAlignment="1" applyProtection="1">
      <alignment horizontal="center"/>
    </xf>
    <xf numFmtId="166" fontId="11" fillId="0" borderId="0" xfId="0" applyNumberFormat="1" applyFont="1" applyProtection="1"/>
    <xf numFmtId="0" fontId="23" fillId="0" borderId="0" xfId="0" applyFont="1" applyAlignment="1" applyProtection="1"/>
    <xf numFmtId="14" fontId="11" fillId="0" borderId="0" xfId="0" applyNumberFormat="1" applyFont="1" applyAlignment="1" applyProtection="1">
      <alignment horizontal="right"/>
    </xf>
    <xf numFmtId="14" fontId="11" fillId="0" borderId="0" xfId="0" applyNumberFormat="1" applyFont="1" applyAlignment="1" applyProtection="1">
      <alignment horizontal="left"/>
    </xf>
    <xf numFmtId="0" fontId="22" fillId="0" borderId="0" xfId="0" applyFont="1" applyAlignment="1" applyProtection="1">
      <alignment horizontal="center"/>
    </xf>
    <xf numFmtId="0" fontId="24" fillId="8" borderId="0" xfId="0" applyFont="1" applyFill="1" applyProtection="1"/>
    <xf numFmtId="0" fontId="7" fillId="8" borderId="0" xfId="0" applyFont="1" applyFill="1" applyProtection="1"/>
    <xf numFmtId="0" fontId="7" fillId="0" borderId="0" xfId="0" applyFont="1" applyAlignment="1" applyProtection="1">
      <alignment horizontal="center"/>
    </xf>
    <xf numFmtId="3" fontId="7" fillId="0" borderId="0" xfId="0" applyNumberFormat="1" applyFont="1" applyProtection="1"/>
    <xf numFmtId="0" fontId="25" fillId="0" borderId="0" xfId="0" applyFont="1" applyProtection="1"/>
    <xf numFmtId="168" fontId="7" fillId="0" borderId="2" xfId="2" applyNumberFormat="1" applyFont="1" applyBorder="1" applyAlignment="1" applyProtection="1">
      <alignment horizontal="center"/>
      <protection locked="0"/>
    </xf>
    <xf numFmtId="0" fontId="7" fillId="0" borderId="8" xfId="0" applyFont="1" applyBorder="1" applyProtection="1"/>
    <xf numFmtId="0" fontId="7" fillId="0" borderId="9" xfId="0" applyFont="1" applyBorder="1" applyProtection="1"/>
    <xf numFmtId="3" fontId="7" fillId="17" borderId="0" xfId="0" applyNumberFormat="1" applyFont="1" applyFill="1" applyProtection="1">
      <protection locked="0"/>
    </xf>
    <xf numFmtId="0" fontId="7" fillId="0" borderId="0" xfId="0" applyFont="1" applyFill="1" applyAlignment="1" applyProtection="1">
      <alignment horizontal="right"/>
    </xf>
    <xf numFmtId="3" fontId="7" fillId="0" borderId="0" xfId="0" applyNumberFormat="1" applyFont="1" applyFill="1" applyProtection="1"/>
    <xf numFmtId="0" fontId="7" fillId="0" borderId="0" xfId="0" applyFont="1" applyFill="1" applyProtection="1"/>
    <xf numFmtId="0" fontId="7" fillId="0" borderId="0" xfId="0" applyFont="1" applyFill="1" applyAlignment="1" applyProtection="1">
      <alignment horizontal="left"/>
    </xf>
    <xf numFmtId="0" fontId="7" fillId="0" borderId="0" xfId="0" applyFont="1" applyFill="1" applyAlignment="1" applyProtection="1">
      <alignment horizontal="center"/>
    </xf>
    <xf numFmtId="0" fontId="24" fillId="8" borderId="0" xfId="0" applyFont="1" applyFill="1" applyAlignment="1" applyProtection="1">
      <alignment horizontal="right"/>
    </xf>
    <xf numFmtId="2" fontId="7" fillId="17" borderId="0" xfId="0" applyNumberFormat="1" applyFont="1" applyFill="1" applyProtection="1">
      <protection locked="0"/>
    </xf>
    <xf numFmtId="0" fontId="24" fillId="0" borderId="1" xfId="0" applyFont="1" applyBorder="1" applyAlignment="1" applyProtection="1">
      <alignment horizontal="center"/>
    </xf>
    <xf numFmtId="166" fontId="7" fillId="0" borderId="0" xfId="0" applyNumberFormat="1" applyFont="1" applyFill="1" applyAlignment="1" applyProtection="1">
      <alignment horizontal="center"/>
    </xf>
    <xf numFmtId="2" fontId="7" fillId="0" borderId="0" xfId="0" applyNumberFormat="1" applyFont="1" applyFill="1" applyAlignment="1" applyProtection="1">
      <alignment horizontal="center"/>
    </xf>
    <xf numFmtId="3" fontId="7" fillId="17" borderId="0" xfId="0" applyNumberFormat="1" applyFont="1" applyFill="1" applyAlignment="1" applyProtection="1">
      <alignment horizontal="center"/>
      <protection locked="0"/>
    </xf>
    <xf numFmtId="3" fontId="7" fillId="0" borderId="0" xfId="0" applyNumberFormat="1" applyFont="1" applyAlignment="1" applyProtection="1">
      <alignment horizontal="center"/>
    </xf>
    <xf numFmtId="166" fontId="7" fillId="17" borderId="0" xfId="0" applyNumberFormat="1" applyFont="1" applyFill="1" applyAlignment="1" applyProtection="1">
      <alignment horizontal="center"/>
      <protection locked="0"/>
    </xf>
    <xf numFmtId="0" fontId="7" fillId="0" borderId="0" xfId="0" applyFont="1"/>
    <xf numFmtId="164" fontId="7" fillId="0" borderId="0" xfId="1" applyNumberFormat="1" applyFont="1" applyProtection="1"/>
    <xf numFmtId="164" fontId="7" fillId="8" borderId="0" xfId="1" applyNumberFormat="1" applyFont="1" applyFill="1" applyProtection="1"/>
    <xf numFmtId="164" fontId="7" fillId="0" borderId="0" xfId="0" applyNumberFormat="1" applyFont="1" applyProtection="1"/>
    <xf numFmtId="0" fontId="7" fillId="8" borderId="0" xfId="0" applyFont="1" applyFill="1" applyAlignment="1" applyProtection="1">
      <alignment horizontal="center"/>
    </xf>
    <xf numFmtId="0" fontId="25" fillId="0" borderId="0" xfId="0" applyFont="1" applyAlignment="1" applyProtection="1">
      <alignment horizontal="center"/>
    </xf>
    <xf numFmtId="0" fontId="7" fillId="0" borderId="0" xfId="0" applyFont="1" applyAlignment="1" applyProtection="1">
      <alignment horizontal="left"/>
    </xf>
    <xf numFmtId="164" fontId="7" fillId="0" borderId="0" xfId="1" applyNumberFormat="1" applyFont="1" applyAlignment="1" applyProtection="1">
      <alignment horizontal="center"/>
    </xf>
    <xf numFmtId="2" fontId="7" fillId="0" borderId="0" xfId="0" applyNumberFormat="1" applyFont="1" applyAlignment="1" applyProtection="1">
      <alignment horizontal="center"/>
    </xf>
    <xf numFmtId="0" fontId="26" fillId="0" borderId="1" xfId="0" applyFont="1" applyBorder="1" applyProtection="1"/>
    <xf numFmtId="0" fontId="26" fillId="0" borderId="0" xfId="0" applyFont="1" applyProtection="1"/>
    <xf numFmtId="0" fontId="26" fillId="0" borderId="0" xfId="0" applyFont="1" applyAlignment="1" applyProtection="1">
      <alignment horizontal="center"/>
    </xf>
    <xf numFmtId="0" fontId="9" fillId="0" borderId="0" xfId="0" applyFont="1" applyAlignment="1" applyProtection="1">
      <alignment horizontal="right"/>
    </xf>
    <xf numFmtId="3" fontId="5" fillId="0" borderId="0" xfId="0" applyNumberFormat="1" applyFont="1" applyProtection="1"/>
    <xf numFmtId="2" fontId="6" fillId="20" borderId="0" xfId="0" applyNumberFormat="1" applyFont="1" applyFill="1" applyProtection="1">
      <protection locked="0"/>
    </xf>
    <xf numFmtId="0" fontId="6" fillId="3" borderId="0" xfId="0" applyFont="1" applyFill="1" applyProtection="1"/>
    <xf numFmtId="0" fontId="5" fillId="0" borderId="3" xfId="0" applyFont="1" applyBorder="1" applyProtection="1"/>
    <xf numFmtId="168" fontId="5" fillId="0" borderId="0" xfId="2" applyNumberFormat="1" applyFont="1" applyBorder="1" applyAlignment="1" applyProtection="1">
      <alignment horizontal="right"/>
      <protection locked="0"/>
    </xf>
    <xf numFmtId="0" fontId="5" fillId="0" borderId="5" xfId="0" applyFont="1" applyBorder="1" applyProtection="1"/>
    <xf numFmtId="168" fontId="5" fillId="0" borderId="1" xfId="2" applyNumberFormat="1" applyFont="1" applyBorder="1" applyAlignment="1" applyProtection="1">
      <alignment horizontal="right"/>
      <protection locked="0"/>
    </xf>
    <xf numFmtId="0" fontId="6" fillId="0" borderId="0" xfId="0" applyFont="1" applyProtection="1"/>
    <xf numFmtId="0" fontId="6" fillId="0" borderId="0" xfId="0" applyFont="1" applyAlignment="1" applyProtection="1">
      <alignment horizontal="center"/>
    </xf>
    <xf numFmtId="0" fontId="6" fillId="2" borderId="0" xfId="0" applyFont="1" applyFill="1" applyProtection="1"/>
    <xf numFmtId="0" fontId="5" fillId="2" borderId="0" xfId="0" applyFont="1" applyFill="1" applyProtection="1"/>
    <xf numFmtId="3" fontId="6" fillId="2" borderId="0" xfId="0" applyNumberFormat="1" applyFont="1" applyFill="1" applyProtection="1"/>
    <xf numFmtId="0" fontId="6" fillId="0" borderId="0" xfId="0" applyFont="1" applyFill="1" applyAlignment="1" applyProtection="1">
      <alignment horizontal="center"/>
    </xf>
    <xf numFmtId="0" fontId="5" fillId="0" borderId="1" xfId="0" applyFont="1" applyBorder="1" applyAlignment="1" applyProtection="1">
      <alignment horizontal="center"/>
    </xf>
    <xf numFmtId="0" fontId="5" fillId="0" borderId="1" xfId="0" applyFont="1" applyFill="1" applyBorder="1" applyAlignment="1" applyProtection="1">
      <alignment horizontal="center"/>
    </xf>
    <xf numFmtId="2" fontId="5" fillId="0" borderId="0" xfId="0" applyNumberFormat="1" applyFont="1" applyAlignment="1" applyProtection="1">
      <alignment horizontal="center"/>
    </xf>
    <xf numFmtId="3" fontId="5" fillId="20" borderId="0" xfId="0" applyNumberFormat="1" applyFont="1" applyFill="1" applyAlignment="1" applyProtection="1">
      <alignment horizontal="center"/>
      <protection locked="0"/>
    </xf>
    <xf numFmtId="3" fontId="5" fillId="0" borderId="0" xfId="0" applyNumberFormat="1" applyFont="1" applyAlignment="1" applyProtection="1">
      <alignment horizontal="center"/>
    </xf>
    <xf numFmtId="2" fontId="5" fillId="2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horizontal="center"/>
    </xf>
    <xf numFmtId="3" fontId="5" fillId="20" borderId="0" xfId="0" applyNumberFormat="1" applyFont="1" applyFill="1" applyBorder="1" applyAlignment="1" applyProtection="1">
      <alignment horizontal="center"/>
      <protection locked="0"/>
    </xf>
    <xf numFmtId="3" fontId="5" fillId="0" borderId="0" xfId="0" applyNumberFormat="1" applyFont="1" applyFill="1" applyBorder="1" applyAlignment="1" applyProtection="1">
      <alignment horizontal="center"/>
    </xf>
    <xf numFmtId="0" fontId="5" fillId="0" borderId="0" xfId="0" applyFont="1" applyFill="1" applyBorder="1" applyAlignment="1" applyProtection="1">
      <alignment horizontal="center"/>
    </xf>
    <xf numFmtId="49" fontId="5" fillId="0" borderId="0" xfId="0" applyNumberFormat="1" applyFont="1" applyFill="1" applyBorder="1" applyAlignment="1" applyProtection="1">
      <alignment vertical="center" textRotation="90"/>
    </xf>
    <xf numFmtId="0" fontId="5" fillId="0" borderId="0" xfId="0" applyFont="1" applyFill="1" applyBorder="1" applyAlignment="1" applyProtection="1">
      <alignment vertical="center" textRotation="90"/>
    </xf>
    <xf numFmtId="3" fontId="5" fillId="0" borderId="0" xfId="0" applyNumberFormat="1" applyFont="1" applyBorder="1" applyAlignment="1" applyProtection="1">
      <alignment horizontal="center"/>
    </xf>
    <xf numFmtId="0" fontId="27" fillId="0" borderId="0" xfId="0" applyFont="1" applyAlignment="1" applyProtection="1">
      <alignment horizontal="left"/>
    </xf>
    <xf numFmtId="0" fontId="6" fillId="9" borderId="0" xfId="0" applyFont="1" applyFill="1" applyProtection="1"/>
    <xf numFmtId="0" fontId="5" fillId="9" borderId="0" xfId="0" applyFont="1" applyFill="1" applyProtection="1"/>
    <xf numFmtId="2" fontId="5" fillId="20" borderId="0" xfId="0" applyNumberFormat="1" applyFont="1" applyFill="1" applyAlignment="1" applyProtection="1">
      <alignment horizontal="center"/>
      <protection locked="0"/>
    </xf>
    <xf numFmtId="0" fontId="28" fillId="0" borderId="0" xfId="0" applyFont="1" applyProtection="1"/>
    <xf numFmtId="0" fontId="5" fillId="2" borderId="0" xfId="0" applyFont="1" applyFill="1" applyAlignment="1" applyProtection="1">
      <alignment horizontal="right"/>
    </xf>
    <xf numFmtId="167" fontId="5" fillId="2" borderId="0" xfId="0" applyNumberFormat="1" applyFont="1" applyFill="1" applyAlignment="1" applyProtection="1">
      <alignment horizontal="center"/>
    </xf>
    <xf numFmtId="3" fontId="5" fillId="2" borderId="0" xfId="0" applyNumberFormat="1" applyFont="1" applyFill="1" applyAlignment="1" applyProtection="1">
      <alignment horizontal="center"/>
    </xf>
    <xf numFmtId="0" fontId="5" fillId="9" borderId="0" xfId="0" applyFont="1" applyFill="1" applyAlignment="1" applyProtection="1">
      <alignment horizontal="right"/>
    </xf>
    <xf numFmtId="167" fontId="5" fillId="9" borderId="0" xfId="0" applyNumberFormat="1" applyFont="1" applyFill="1" applyAlignment="1" applyProtection="1">
      <alignment horizontal="center"/>
    </xf>
    <xf numFmtId="3" fontId="5" fillId="9" borderId="0" xfId="0" applyNumberFormat="1" applyFont="1" applyFill="1" applyAlignment="1" applyProtection="1">
      <alignment horizontal="center"/>
    </xf>
    <xf numFmtId="167" fontId="5" fillId="0" borderId="0" xfId="0" applyNumberFormat="1" applyFont="1" applyAlignment="1" applyProtection="1">
      <alignment horizontal="center"/>
    </xf>
    <xf numFmtId="0" fontId="5" fillId="0" borderId="0" xfId="0" applyFont="1" applyAlignment="1" applyProtection="1">
      <alignment horizontal="left"/>
    </xf>
    <xf numFmtId="2" fontId="5" fillId="0" borderId="0" xfId="1" applyNumberFormat="1" applyFont="1" applyAlignment="1" applyProtection="1">
      <alignment horizontal="center"/>
    </xf>
    <xf numFmtId="164" fontId="5" fillId="0" borderId="0" xfId="0" applyNumberFormat="1" applyFont="1" applyAlignment="1" applyProtection="1">
      <alignment horizontal="center"/>
    </xf>
    <xf numFmtId="0" fontId="11" fillId="0" borderId="1" xfId="0" applyFont="1" applyBorder="1" applyProtection="1"/>
    <xf numFmtId="0" fontId="4" fillId="13" borderId="0" xfId="0" applyFont="1" applyFill="1" applyProtection="1"/>
    <xf numFmtId="0" fontId="11" fillId="0" borderId="0" xfId="0" applyFont="1" applyFill="1" applyProtection="1"/>
    <xf numFmtId="1" fontId="11" fillId="0" borderId="0" xfId="0" applyNumberFormat="1" applyFont="1" applyFill="1" applyAlignment="1" applyProtection="1">
      <alignment horizontal="center" wrapText="1"/>
    </xf>
    <xf numFmtId="37" fontId="11" fillId="0" borderId="0" xfId="0" applyNumberFormat="1" applyFont="1" applyFill="1" applyAlignment="1" applyProtection="1">
      <alignment horizontal="center" wrapText="1"/>
    </xf>
    <xf numFmtId="2" fontId="11" fillId="0" borderId="1" xfId="0" applyNumberFormat="1" applyFont="1" applyFill="1" applyBorder="1" applyAlignment="1" applyProtection="1">
      <alignment horizontal="center"/>
    </xf>
    <xf numFmtId="166" fontId="11" fillId="0" borderId="1" xfId="0" applyNumberFormat="1" applyFont="1" applyFill="1" applyBorder="1" applyAlignment="1" applyProtection="1">
      <alignment horizontal="center"/>
    </xf>
    <xf numFmtId="37" fontId="11" fillId="0" borderId="1" xfId="0" applyNumberFormat="1" applyFont="1" applyFill="1" applyBorder="1" applyAlignment="1" applyProtection="1">
      <alignment horizontal="center"/>
    </xf>
    <xf numFmtId="1" fontId="11" fillId="0" borderId="1" xfId="0" applyNumberFormat="1" applyFont="1" applyFill="1" applyBorder="1" applyAlignment="1" applyProtection="1">
      <alignment horizontal="center"/>
    </xf>
    <xf numFmtId="0" fontId="11" fillId="0" borderId="0" xfId="0" applyFont="1" applyBorder="1" applyAlignment="1" applyProtection="1">
      <alignment horizontal="center"/>
    </xf>
    <xf numFmtId="0" fontId="11" fillId="20" borderId="0" xfId="0" applyNumberFormat="1" applyFont="1" applyFill="1" applyAlignment="1" applyProtection="1">
      <alignment horizontal="center"/>
      <protection locked="0"/>
    </xf>
    <xf numFmtId="39" fontId="11" fillId="20" borderId="0" xfId="0" applyNumberFormat="1" applyFont="1" applyFill="1" applyAlignment="1" applyProtection="1">
      <alignment horizontal="center"/>
      <protection locked="0"/>
    </xf>
    <xf numFmtId="3" fontId="11" fillId="20" borderId="0" xfId="0" applyNumberFormat="1" applyFont="1" applyFill="1" applyAlignment="1" applyProtection="1">
      <alignment horizontal="center"/>
      <protection locked="0"/>
    </xf>
    <xf numFmtId="39" fontId="11" fillId="0" borderId="0" xfId="0" applyNumberFormat="1" applyFont="1" applyFill="1" applyAlignment="1" applyProtection="1">
      <alignment horizontal="center"/>
    </xf>
    <xf numFmtId="0" fontId="11" fillId="0" borderId="0" xfId="0" applyFont="1" applyAlignment="1" applyProtection="1">
      <alignment horizontal="center" wrapText="1"/>
    </xf>
    <xf numFmtId="166" fontId="11" fillId="0" borderId="0" xfId="0" applyNumberFormat="1" applyFont="1" applyAlignment="1" applyProtection="1">
      <alignment horizontal="center" wrapText="1"/>
    </xf>
    <xf numFmtId="164" fontId="11" fillId="0" borderId="0" xfId="0" applyNumberFormat="1" applyFont="1" applyAlignment="1" applyProtection="1">
      <alignment horizontal="center"/>
    </xf>
    <xf numFmtId="1" fontId="11" fillId="20" borderId="0" xfId="0" applyNumberFormat="1" applyFont="1" applyFill="1" applyAlignment="1" applyProtection="1">
      <alignment horizontal="center"/>
      <protection locked="0"/>
    </xf>
    <xf numFmtId="166" fontId="11" fillId="0" borderId="0" xfId="0" applyNumberFormat="1" applyFont="1" applyAlignment="1" applyProtection="1">
      <alignment horizontal="center"/>
    </xf>
    <xf numFmtId="166" fontId="7" fillId="0" borderId="0" xfId="0" applyNumberFormat="1" applyFont="1" applyAlignment="1" applyProtection="1">
      <alignment horizontal="center"/>
    </xf>
    <xf numFmtId="1" fontId="7" fillId="0" borderId="0" xfId="0" applyNumberFormat="1" applyFont="1" applyAlignment="1" applyProtection="1">
      <alignment horizontal="center"/>
    </xf>
    <xf numFmtId="165" fontId="7" fillId="0" borderId="0" xfId="0" applyNumberFormat="1" applyFont="1" applyAlignment="1" applyProtection="1">
      <alignment horizontal="center"/>
    </xf>
    <xf numFmtId="37" fontId="7" fillId="0" borderId="0" xfId="0" applyNumberFormat="1" applyFont="1" applyAlignment="1" applyProtection="1">
      <alignment horizontal="center"/>
    </xf>
    <xf numFmtId="0" fontId="3" fillId="0" borderId="0" xfId="0" applyFont="1" applyAlignment="1">
      <alignment horizontal="center"/>
    </xf>
    <xf numFmtId="0" fontId="4" fillId="0" borderId="0" xfId="0" applyFont="1" applyAlignment="1">
      <alignment horizontal="center"/>
    </xf>
    <xf numFmtId="0" fontId="7" fillId="0" borderId="13" xfId="0" applyFont="1" applyFill="1" applyBorder="1" applyAlignment="1">
      <alignment horizontal="center"/>
    </xf>
    <xf numFmtId="0" fontId="7" fillId="0" borderId="0" xfId="0" applyFont="1" applyFill="1" applyAlignment="1">
      <alignment horizontal="center"/>
    </xf>
    <xf numFmtId="0" fontId="3" fillId="0" borderId="0" xfId="0" applyFont="1" applyAlignment="1" applyProtection="1">
      <alignment horizontal="center"/>
    </xf>
    <xf numFmtId="0" fontId="5" fillId="10" borderId="0" xfId="0" applyFont="1" applyFill="1" applyAlignment="1" applyProtection="1">
      <alignment horizontal="left"/>
      <protection locked="0"/>
    </xf>
    <xf numFmtId="14" fontId="5" fillId="10" borderId="0" xfId="0" applyNumberFormat="1" applyFont="1" applyFill="1" applyAlignment="1" applyProtection="1">
      <alignment horizontal="left"/>
      <protection locked="0"/>
    </xf>
    <xf numFmtId="0" fontId="4" fillId="0" borderId="0" xfId="0" applyFont="1" applyAlignment="1" applyProtection="1">
      <alignment horizontal="center"/>
    </xf>
    <xf numFmtId="0" fontId="5" fillId="2" borderId="0" xfId="0" applyFont="1" applyFill="1" applyAlignment="1" applyProtection="1">
      <alignment horizontal="left" vertical="top" wrapText="1"/>
      <protection locked="0"/>
    </xf>
    <xf numFmtId="0" fontId="5" fillId="3" borderId="0" xfId="0" applyFont="1" applyFill="1" applyAlignment="1" applyProtection="1">
      <alignment horizontal="left"/>
      <protection locked="0"/>
    </xf>
    <xf numFmtId="0" fontId="6" fillId="0" borderId="0" xfId="0" applyFont="1" applyAlignment="1" applyProtection="1">
      <alignment horizontal="right"/>
    </xf>
    <xf numFmtId="0" fontId="5" fillId="2" borderId="0" xfId="0" applyFont="1" applyFill="1" applyAlignment="1" applyProtection="1">
      <alignment horizontal="left"/>
      <protection locked="0"/>
    </xf>
    <xf numFmtId="0" fontId="8" fillId="10" borderId="0" xfId="0" applyFont="1" applyFill="1" applyAlignment="1" applyProtection="1">
      <alignment horizontal="center"/>
    </xf>
    <xf numFmtId="0" fontId="5" fillId="0" borderId="0" xfId="0" applyFont="1" applyAlignment="1" applyProtection="1">
      <alignment horizontal="left" vertical="top" wrapText="1"/>
    </xf>
    <xf numFmtId="0" fontId="10" fillId="10" borderId="0" xfId="0" applyFont="1" applyFill="1" applyAlignment="1" applyProtection="1">
      <alignment horizontal="center"/>
    </xf>
    <xf numFmtId="0" fontId="5" fillId="0" borderId="0" xfId="0" applyFont="1" applyFill="1" applyAlignment="1" applyProtection="1">
      <alignment horizontal="left"/>
    </xf>
    <xf numFmtId="14" fontId="5" fillId="0" borderId="0" xfId="0" applyNumberFormat="1" applyFont="1" applyFill="1" applyAlignment="1" applyProtection="1">
      <alignment horizontal="left"/>
    </xf>
    <xf numFmtId="0" fontId="6" fillId="6" borderId="0" xfId="0" applyFont="1" applyFill="1" applyAlignment="1" applyProtection="1">
      <alignment horizontal="center"/>
    </xf>
    <xf numFmtId="0" fontId="5" fillId="0" borderId="0" xfId="0" applyFont="1" applyAlignment="1" applyProtection="1">
      <alignment horizontal="center"/>
    </xf>
    <xf numFmtId="0" fontId="6" fillId="12" borderId="0" xfId="0" applyFont="1" applyFill="1" applyAlignment="1" applyProtection="1">
      <alignment horizontal="center"/>
    </xf>
    <xf numFmtId="0" fontId="6" fillId="14" borderId="0" xfId="0" applyFont="1" applyFill="1" applyAlignment="1" applyProtection="1">
      <alignment horizontal="center"/>
    </xf>
    <xf numFmtId="0" fontId="5" fillId="0" borderId="0" xfId="0" applyFont="1" applyAlignment="1" applyProtection="1">
      <alignment horizontal="left"/>
    </xf>
    <xf numFmtId="0" fontId="10" fillId="7" borderId="0" xfId="0" applyFont="1" applyFill="1" applyAlignment="1" applyProtection="1">
      <alignment horizontal="center"/>
    </xf>
    <xf numFmtId="0" fontId="6" fillId="7" borderId="0" xfId="0" applyFont="1" applyFill="1" applyAlignment="1" applyProtection="1">
      <alignment horizontal="center"/>
    </xf>
    <xf numFmtId="0" fontId="23" fillId="0" borderId="0" xfId="0" applyFont="1" applyAlignment="1" applyProtection="1">
      <alignment horizontal="center"/>
    </xf>
    <xf numFmtId="0" fontId="3" fillId="0" borderId="0" xfId="0" applyFont="1" applyFill="1" applyAlignment="1" applyProtection="1">
      <alignment horizontal="center"/>
    </xf>
    <xf numFmtId="0" fontId="4" fillId="0" borderId="0" xfId="0" applyFont="1" applyFill="1" applyAlignment="1" applyProtection="1">
      <alignment horizontal="center"/>
    </xf>
    <xf numFmtId="14" fontId="11" fillId="0" borderId="0" xfId="0" applyNumberFormat="1" applyFont="1" applyAlignment="1" applyProtection="1">
      <alignment horizontal="left"/>
    </xf>
    <xf numFmtId="0" fontId="11" fillId="0" borderId="0" xfId="0" applyFont="1" applyAlignment="1" applyProtection="1">
      <alignment horizontal="left"/>
    </xf>
    <xf numFmtId="0" fontId="11" fillId="10" borderId="0" xfId="0" applyFont="1" applyFill="1" applyAlignment="1" applyProtection="1">
      <alignment horizontal="center"/>
    </xf>
    <xf numFmtId="0" fontId="7" fillId="0" borderId="7" xfId="0" applyFont="1" applyBorder="1" applyAlignment="1" applyProtection="1">
      <alignment horizontal="center"/>
    </xf>
    <xf numFmtId="0" fontId="7" fillId="0" borderId="8" xfId="0" applyFont="1" applyBorder="1" applyAlignment="1" applyProtection="1">
      <alignment horizontal="center"/>
    </xf>
    <xf numFmtId="0" fontId="7" fillId="0" borderId="9" xfId="0" applyFont="1" applyBorder="1" applyAlignment="1" applyProtection="1">
      <alignment horizontal="center"/>
    </xf>
    <xf numFmtId="0" fontId="7" fillId="17" borderId="0" xfId="0" applyFont="1" applyFill="1" applyAlignment="1" applyProtection="1">
      <alignment horizontal="left"/>
      <protection locked="0"/>
    </xf>
    <xf numFmtId="0" fontId="11" fillId="17" borderId="0" xfId="0" applyFont="1" applyFill="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5" fillId="20" borderId="0" xfId="0" applyFont="1" applyFill="1" applyAlignment="1" applyProtection="1">
      <alignment horizontal="center"/>
    </xf>
    <xf numFmtId="0" fontId="6" fillId="3" borderId="0" xfId="0" applyFont="1" applyFill="1" applyAlignment="1" applyProtection="1">
      <alignment horizontal="right"/>
    </xf>
    <xf numFmtId="0" fontId="11" fillId="20" borderId="0" xfId="0" applyFont="1" applyFill="1" applyAlignment="1" applyProtection="1">
      <alignment horizontal="center"/>
    </xf>
  </cellXfs>
  <cellStyles count="3">
    <cellStyle name="Comma" xfId="2" builtinId="3"/>
    <cellStyle name="Normal" xfId="0" builtinId="0"/>
    <cellStyle name="Percent" xfId="1" builtinId="5"/>
  </cellStyles>
  <dxfs count="35">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font>
      <fill>
        <patternFill>
          <bgColor rgb="FFFFC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rgb="FFFFC000"/>
        </patternFill>
      </fill>
    </dxf>
    <dxf>
      <font>
        <color rgb="FF9C0006"/>
      </font>
      <fill>
        <patternFill>
          <bgColor rgb="FFFFC7CE"/>
        </patternFill>
      </fill>
    </dxf>
    <dxf>
      <font>
        <color rgb="FF9C0006"/>
      </font>
      <fill>
        <patternFill>
          <bgColor rgb="FFFFC7CE"/>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s>
  <tableStyles count="0" defaultTableStyle="TableStyleMedium2" defaultPivotStyle="PivotStyleLight16"/>
  <colors>
    <mruColors>
      <color rgb="FFDDDDDD"/>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167640</xdr:colOff>
      <xdr:row>2</xdr:row>
      <xdr:rowOff>144780</xdr:rowOff>
    </xdr:from>
    <xdr:ext cx="5684520" cy="6570345"/>
    <xdr:sp macro="" textlink="">
      <xdr:nvSpPr>
        <xdr:cNvPr id="2" name="TextBox 1">
          <a:extLst>
            <a:ext uri="{FF2B5EF4-FFF2-40B4-BE49-F238E27FC236}">
              <a16:creationId xmlns:a16="http://schemas.microsoft.com/office/drawing/2014/main" id="{66D4FF22-7A7E-49D4-9DBF-F5A81485DD2F}"/>
            </a:ext>
          </a:extLst>
        </xdr:cNvPr>
        <xdr:cNvSpPr txBox="1"/>
      </xdr:nvSpPr>
      <xdr:spPr>
        <a:xfrm>
          <a:off x="167640" y="468630"/>
          <a:ext cx="5684520" cy="65703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1" u="sng">
              <a:latin typeface="Calibri" panose="020F0502020204030204" pitchFamily="34" charset="0"/>
              <a:cs typeface="Calibri" panose="020F0502020204030204" pitchFamily="34" charset="0"/>
            </a:rPr>
            <a:t>Purpose:</a:t>
          </a:r>
        </a:p>
        <a:p>
          <a:pPr algn="l"/>
          <a:r>
            <a:rPr lang="en-US" sz="1000">
              <a:latin typeface="Calibri" panose="020F0502020204030204" pitchFamily="34" charset="0"/>
              <a:cs typeface="Calibri" panose="020F0502020204030204" pitchFamily="34" charset="0"/>
            </a:rPr>
            <a:t>This</a:t>
          </a:r>
          <a:r>
            <a:rPr lang="en-US" sz="1000" baseline="0">
              <a:latin typeface="Calibri" panose="020F0502020204030204" pitchFamily="34" charset="0"/>
              <a:cs typeface="Calibri" panose="020F0502020204030204" pitchFamily="34" charset="0"/>
            </a:rPr>
            <a:t> spreadsheet file has been created to assist in the design and review of Wet Detention Pond Projects funded through the State of Iowa's water quality programs.</a:t>
          </a:r>
        </a:p>
        <a:p>
          <a:pPr algn="l"/>
          <a:endParaRPr lang="en-US" sz="1000" baseline="0">
            <a:latin typeface="Calibri" panose="020F0502020204030204" pitchFamily="34" charset="0"/>
            <a:cs typeface="Calibri" panose="020F0502020204030204" pitchFamily="34" charset="0"/>
          </a:endParaRPr>
        </a:p>
        <a:p>
          <a:pPr algn="l"/>
          <a:r>
            <a:rPr lang="en-US" sz="1000" baseline="0">
              <a:latin typeface="Calibri" panose="020F0502020204030204" pitchFamily="34" charset="0"/>
              <a:cs typeface="Calibri" panose="020F0502020204030204" pitchFamily="34" charset="0"/>
            </a:rPr>
            <a:t>This document is intended to be completed by the designer to provide review agencies with project data assembled and presented for review in a consistent manner from project to project.</a:t>
          </a:r>
        </a:p>
        <a:p>
          <a:pPr algn="l"/>
          <a:endParaRPr lang="en-US" sz="1000" baseline="0">
            <a:latin typeface="Calibri" panose="020F0502020204030204" pitchFamily="34" charset="0"/>
            <a:cs typeface="Calibri" panose="020F0502020204030204" pitchFamily="34" charset="0"/>
          </a:endParaRPr>
        </a:p>
        <a:p>
          <a:pPr algn="l"/>
          <a:r>
            <a:rPr lang="en-US" sz="1000" baseline="0">
              <a:latin typeface="Calibri" panose="020F0502020204030204" pitchFamily="34" charset="0"/>
              <a:cs typeface="Calibri" panose="020F0502020204030204" pitchFamily="34" charset="0"/>
            </a:rPr>
            <a:t>Using data entered by the designer (data to be entered within the provided blank shaded boxes on each tabulation sheet), this document will complete many of the basic sizing calculation steps following the methods described in the Iowa Stormwater Management Manual (ISWMM).</a:t>
          </a:r>
        </a:p>
        <a:p>
          <a:endParaRPr lang="en-US" sz="1000" baseline="0">
            <a:latin typeface="Calibri" panose="020F0502020204030204" pitchFamily="34" charset="0"/>
            <a:cs typeface="Calibri" panose="020F0502020204030204" pitchFamily="34" charset="0"/>
          </a:endParaRPr>
        </a:p>
        <a:p>
          <a:r>
            <a:rPr lang="en-US" sz="1000" b="1" u="sng" baseline="0">
              <a:latin typeface="Calibri" panose="020F0502020204030204" pitchFamily="34" charset="0"/>
              <a:cs typeface="Calibri" panose="020F0502020204030204" pitchFamily="34" charset="0"/>
            </a:rPr>
            <a:t>Contents:</a:t>
          </a:r>
        </a:p>
        <a:p>
          <a:endParaRPr lang="en-US" sz="1000" baseline="0">
            <a:latin typeface="Calibri" panose="020F0502020204030204" pitchFamily="34" charset="0"/>
            <a:cs typeface="Calibri" panose="020F0502020204030204" pitchFamily="34" charset="0"/>
          </a:endParaRPr>
        </a:p>
        <a:p>
          <a:r>
            <a:rPr lang="en-US" sz="1000" b="0" baseline="0">
              <a:solidFill>
                <a:schemeClr val="accent6">
                  <a:lumMod val="75000"/>
                </a:schemeClr>
              </a:solidFill>
              <a:latin typeface="Calibri" panose="020F0502020204030204" pitchFamily="34" charset="0"/>
              <a:cs typeface="Calibri" panose="020F0502020204030204" pitchFamily="34" charset="0"/>
            </a:rPr>
            <a:t>Checklists (to be completed and provided as part of State of Iowa water quality project review):</a:t>
          </a:r>
        </a:p>
        <a:p>
          <a:r>
            <a:rPr lang="en-US" sz="1000" baseline="0">
              <a:latin typeface="Calibri" panose="020F0502020204030204" pitchFamily="34" charset="0"/>
              <a:cs typeface="Calibri" panose="020F0502020204030204" pitchFamily="34" charset="0"/>
            </a:rPr>
            <a:t>CL_1: Site Screening</a:t>
          </a:r>
        </a:p>
        <a:p>
          <a:r>
            <a:rPr lang="en-US" sz="1000" baseline="0">
              <a:latin typeface="Calibri" panose="020F0502020204030204" pitchFamily="34" charset="0"/>
              <a:cs typeface="Calibri" panose="020F0502020204030204" pitchFamily="34" charset="0"/>
            </a:rPr>
            <a:t>CL_2: Design Summary</a:t>
          </a:r>
        </a:p>
        <a:p>
          <a:endParaRPr lang="en-US" sz="1000" baseline="0">
            <a:latin typeface="Calibri" panose="020F0502020204030204" pitchFamily="34" charset="0"/>
            <a:cs typeface="Calibri" panose="020F0502020204030204" pitchFamily="34" charset="0"/>
          </a:endParaRPr>
        </a:p>
        <a:p>
          <a:r>
            <a:rPr lang="en-US" sz="1000" b="0" baseline="0">
              <a:solidFill>
                <a:srgbClr val="0070C0"/>
              </a:solidFill>
              <a:latin typeface="Calibri" panose="020F0502020204030204" pitchFamily="34" charset="0"/>
              <a:cs typeface="Calibri" panose="020F0502020204030204" pitchFamily="34" charset="0"/>
            </a:rPr>
            <a:t>Calculation worksheets (integrated into project design reports at required stage of review):</a:t>
          </a:r>
        </a:p>
        <a:p>
          <a:r>
            <a:rPr lang="en-US" sz="1000" baseline="0">
              <a:latin typeface="Calibri" panose="020F0502020204030204" pitchFamily="34" charset="0"/>
              <a:cs typeface="Calibri" panose="020F0502020204030204" pitchFamily="34" charset="0"/>
            </a:rPr>
            <a:t>DE_1: Watershed Info</a:t>
          </a:r>
        </a:p>
        <a:p>
          <a:r>
            <a:rPr lang="en-US" sz="1000" baseline="0">
              <a:latin typeface="Calibri" panose="020F0502020204030204" pitchFamily="34" charset="0"/>
              <a:cs typeface="Calibri" panose="020F0502020204030204" pitchFamily="34" charset="0"/>
            </a:rPr>
            <a:t>Step 3: Hydrology*</a:t>
          </a:r>
        </a:p>
        <a:p>
          <a:r>
            <a:rPr lang="en-US" sz="1000" baseline="0">
              <a:latin typeface="Calibri" panose="020F0502020204030204" pitchFamily="34" charset="0"/>
              <a:cs typeface="Calibri" panose="020F0502020204030204" pitchFamily="34" charset="0"/>
            </a:rPr>
            <a:t>Step 4: Pre-treatment</a:t>
          </a:r>
        </a:p>
        <a:p>
          <a:r>
            <a:rPr lang="en-US" sz="1000" baseline="0">
              <a:latin typeface="Calibri" panose="020F0502020204030204" pitchFamily="34" charset="0"/>
              <a:cs typeface="Calibri" panose="020F0502020204030204" pitchFamily="34" charset="0"/>
            </a:rPr>
            <a:t>Step 5-7: Final Storage Volumes</a:t>
          </a:r>
        </a:p>
        <a:p>
          <a:r>
            <a:rPr lang="en-US" sz="1000" baseline="0">
              <a:latin typeface="Calibri" panose="020F0502020204030204" pitchFamily="34" charset="0"/>
              <a:cs typeface="Calibri" panose="020F0502020204030204" pitchFamily="34" charset="0"/>
            </a:rPr>
            <a:t>Step 9: Results</a:t>
          </a:r>
        </a:p>
        <a:p>
          <a:r>
            <a:rPr lang="en-US" sz="1000" baseline="0">
              <a:latin typeface="Calibri" panose="020F0502020204030204" pitchFamily="34" charset="0"/>
              <a:cs typeface="Calibri" panose="020F0502020204030204" pitchFamily="34" charset="0"/>
            </a:rPr>
            <a:t>Note that Steps 3-9 refer to the calculation step listed within the ISWMM Design Manual.</a:t>
          </a:r>
        </a:p>
        <a:p>
          <a:endParaRPr lang="en-US" sz="1000" baseline="0">
            <a:latin typeface="Calibri" panose="020F0502020204030204" pitchFamily="34" charset="0"/>
            <a:cs typeface="Calibri" panose="020F0502020204030204" pitchFamily="34" charset="0"/>
          </a:endParaRPr>
        </a:p>
        <a:p>
          <a:r>
            <a:rPr lang="en-US" sz="1000" i="1" baseline="0">
              <a:latin typeface="Calibri" panose="020F0502020204030204" pitchFamily="34" charset="0"/>
              <a:cs typeface="Calibri" panose="020F0502020204030204" pitchFamily="34" charset="0"/>
            </a:rPr>
            <a:t>*Step 3 tabulation sheet is available for use by the designer for preliminary estimation of required storage volumes.  It may be omitted if software programs are used to complete similar calculations and if the same data is included by the designer with the design report for review.</a:t>
          </a:r>
        </a:p>
        <a:p>
          <a:endParaRPr lang="en-US" sz="1000" baseline="0">
            <a:latin typeface="Calibri" panose="020F0502020204030204" pitchFamily="34" charset="0"/>
            <a:cs typeface="Calibri" panose="020F0502020204030204" pitchFamily="34" charset="0"/>
          </a:endParaRPr>
        </a:p>
        <a:p>
          <a:r>
            <a:rPr lang="en-US" sz="1000" b="1" u="sng" baseline="0">
              <a:latin typeface="Calibri" panose="020F0502020204030204" pitchFamily="34" charset="0"/>
              <a:cs typeface="Calibri" panose="020F0502020204030204" pitchFamily="34" charset="0"/>
            </a:rPr>
            <a:t>DISCLAIMER:</a:t>
          </a:r>
        </a:p>
        <a:p>
          <a:r>
            <a:rPr lang="en-US" sz="1000" baseline="0">
              <a:latin typeface="Calibri" panose="020F0502020204030204" pitchFamily="34" charset="0"/>
              <a:cs typeface="Calibri" panose="020F0502020204030204" pitchFamily="34" charset="0"/>
            </a:rPr>
            <a:t>This document is intended only to be used for the purposes as described above.  It is expected that designers which use this document are familiar with the Wet Detention Pond chapter of ISWMM and understand the methods described within.  The user of this document is ultimately responsible for the accurate entry of data into this document and to verify that all included and associated calculations performed are correct and consistent with the methods of design described within ISWMM as applicable to a given project.</a:t>
          </a:r>
        </a:p>
        <a:p>
          <a:endParaRPr lang="en-US" sz="1000" baseline="0">
            <a:latin typeface="Calibri" panose="020F0502020204030204" pitchFamily="34" charset="0"/>
            <a:cs typeface="Calibri" panose="020F0502020204030204" pitchFamily="34" charset="0"/>
          </a:endParaRPr>
        </a:p>
        <a:p>
          <a:r>
            <a:rPr lang="en-US" sz="1000" baseline="0">
              <a:latin typeface="Calibri" panose="020F0502020204030204" pitchFamily="34" charset="0"/>
              <a:cs typeface="Calibri" panose="020F0502020204030204" pitchFamily="34" charset="0"/>
            </a:rPr>
            <a:t>By providing this document for use, the State of Iowa, the Iowa Department of Agriculture and Land Stewardship, and any other entity involved in its creation assumes no responsibility for its use, associated calculations or for other project related tasks which are the responsibility of the design professional.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0</xdr:colOff>
      <xdr:row>0</xdr:row>
      <xdr:rowOff>19050</xdr:rowOff>
    </xdr:from>
    <xdr:to>
      <xdr:col>16</xdr:col>
      <xdr:colOff>514350</xdr:colOff>
      <xdr:row>23</xdr:row>
      <xdr:rowOff>123826</xdr:rowOff>
    </xdr:to>
    <xdr:sp macro="" textlink="">
      <xdr:nvSpPr>
        <xdr:cNvPr id="2" name="TextBox 1">
          <a:extLst>
            <a:ext uri="{FF2B5EF4-FFF2-40B4-BE49-F238E27FC236}">
              <a16:creationId xmlns:a16="http://schemas.microsoft.com/office/drawing/2014/main" id="{D0FF7FC8-53BF-4962-85BE-DB7423632ACC}"/>
            </a:ext>
          </a:extLst>
        </xdr:cNvPr>
        <xdr:cNvSpPr txBox="1"/>
      </xdr:nvSpPr>
      <xdr:spPr>
        <a:xfrm>
          <a:off x="6572250" y="19050"/>
          <a:ext cx="3676650" cy="336232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b="1" u="sng">
              <a:latin typeface="Calibri" panose="020F0502020204030204" pitchFamily="34" charset="0"/>
              <a:cs typeface="Calibri" panose="020F0502020204030204" pitchFamily="34" charset="0"/>
            </a:rPr>
            <a:t>User Guidance for CL_1</a:t>
          </a:r>
          <a:r>
            <a:rPr lang="en-US" sz="950" b="1" u="sng" baseline="0">
              <a:latin typeface="Calibri" panose="020F0502020204030204" pitchFamily="34" charset="0"/>
              <a:cs typeface="Calibri" panose="020F0502020204030204" pitchFamily="34" charset="0"/>
            </a:rPr>
            <a:t> (Screening) Tab</a:t>
          </a:r>
          <a:r>
            <a:rPr lang="en-US" sz="950" b="1" u="sng">
              <a:latin typeface="Calibri" panose="020F0502020204030204" pitchFamily="34" charset="0"/>
              <a:cs typeface="Calibri" panose="020F0502020204030204" pitchFamily="34" charset="0"/>
            </a:rPr>
            <a:t>:</a:t>
          </a:r>
        </a:p>
        <a:p>
          <a:endParaRPr lang="en-US" sz="95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950" baseline="0">
              <a:solidFill>
                <a:schemeClr val="dk1"/>
              </a:solidFill>
              <a:effectLst/>
              <a:latin typeface="Calibri" panose="020F0502020204030204" pitchFamily="34" charset="0"/>
              <a:ea typeface="+mn-ea"/>
              <a:cs typeface="Calibri" panose="020F0502020204030204" pitchFamily="34" charset="0"/>
            </a:rPr>
            <a:t>Completing project information in gray boxes at top of this tab will fill in similar information on subsequent tabs.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95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950">
              <a:latin typeface="Calibri" panose="020F0502020204030204" pitchFamily="34" charset="0"/>
              <a:cs typeface="Calibri" panose="020F0502020204030204" pitchFamily="34" charset="0"/>
            </a:rPr>
            <a:t>Complete Site Evaluation</a:t>
          </a:r>
          <a:r>
            <a:rPr lang="en-US" sz="950" baseline="0">
              <a:latin typeface="Calibri" panose="020F0502020204030204" pitchFamily="34" charset="0"/>
              <a:cs typeface="Calibri" panose="020F0502020204030204" pitchFamily="34" charset="0"/>
            </a:rPr>
            <a:t> Criteria and Planning information on this sheet.  Fill in light blue and yellow shaded boxes.</a:t>
          </a:r>
        </a:p>
        <a:p>
          <a:pPr marL="171450" indent="-171450">
            <a:buFont typeface="Arial" panose="020B0604020202020204" pitchFamily="34" charset="0"/>
            <a:buChar char="•"/>
          </a:pPr>
          <a:endParaRPr lang="en-US" sz="9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950" baseline="0">
              <a:latin typeface="Calibri" panose="020F0502020204030204" pitchFamily="34" charset="0"/>
              <a:cs typeface="Calibri" panose="020F0502020204030204" pitchFamily="34" charset="0"/>
            </a:rPr>
            <a:t>Tributary area will automatically fill in from data entered on tab DE_1 unless a value is entered in the manual entry space above (if manually entered, the word MANUAL will appear on the checklist).</a:t>
          </a:r>
        </a:p>
        <a:p>
          <a:pPr marL="171450" indent="-171450">
            <a:buFont typeface="Arial" panose="020B0604020202020204" pitchFamily="34" charset="0"/>
            <a:buChar char="•"/>
          </a:pPr>
          <a:endParaRPr lang="en-US" sz="9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950" baseline="0">
              <a:latin typeface="Calibri" panose="020F0502020204030204" pitchFamily="34" charset="0"/>
              <a:cs typeface="Calibri" panose="020F0502020204030204" pitchFamily="34" charset="0"/>
            </a:rPr>
            <a:t>Consult with local jurisdiction and enter brief description of the requirements that this practice is intending to address [e.g. WQv, extended detention of CPv, release rate for larger storms to match natural (CN=??)].</a:t>
          </a:r>
        </a:p>
        <a:p>
          <a:pPr marL="171450" indent="-171450">
            <a:buFont typeface="Arial" panose="020B0604020202020204" pitchFamily="34" charset="0"/>
            <a:buChar char="•"/>
          </a:pPr>
          <a:endParaRPr lang="en-US" sz="9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950" baseline="0">
              <a:latin typeface="Calibri" panose="020F0502020204030204" pitchFamily="34" charset="0"/>
              <a:cs typeface="Calibri" panose="020F0502020204030204" pitchFamily="34" charset="0"/>
            </a:rPr>
            <a:t>For initial planning items and setback requirements, refer to </a:t>
          </a:r>
          <a:r>
            <a:rPr lang="en-US" sz="950" baseline="0">
              <a:solidFill>
                <a:sysClr val="windowText" lastClr="000000"/>
              </a:solidFill>
              <a:latin typeface="Calibri" panose="020F0502020204030204" pitchFamily="34" charset="0"/>
              <a:cs typeface="Calibri" panose="020F0502020204030204" pitchFamily="34" charset="0"/>
            </a:rPr>
            <a:t>ISWMM Section 9.11-1 </a:t>
          </a:r>
          <a:r>
            <a:rPr lang="en-US" sz="950" baseline="0">
              <a:latin typeface="Calibri" panose="020F0502020204030204" pitchFamily="34" charset="0"/>
              <a:cs typeface="Calibri" panose="020F0502020204030204" pitchFamily="34" charset="0"/>
            </a:rPr>
            <a:t>for additional context.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28</xdr:row>
      <xdr:rowOff>9523</xdr:rowOff>
    </xdr:from>
    <xdr:to>
      <xdr:col>14</xdr:col>
      <xdr:colOff>28575</xdr:colOff>
      <xdr:row>64</xdr:row>
      <xdr:rowOff>133350</xdr:rowOff>
    </xdr:to>
    <xdr:sp macro="" textlink="">
      <xdr:nvSpPr>
        <xdr:cNvPr id="3" name="TextBox 2">
          <a:extLst>
            <a:ext uri="{FF2B5EF4-FFF2-40B4-BE49-F238E27FC236}">
              <a16:creationId xmlns:a16="http://schemas.microsoft.com/office/drawing/2014/main" id="{89F258C8-483E-46AA-9EFA-66FEECCDD232}"/>
            </a:ext>
          </a:extLst>
        </xdr:cNvPr>
        <xdr:cNvSpPr txBox="1"/>
      </xdr:nvSpPr>
      <xdr:spPr>
        <a:xfrm>
          <a:off x="6686550" y="3895723"/>
          <a:ext cx="3733800" cy="576262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Calibri" panose="020F0502020204030204" pitchFamily="34" charset="0"/>
              <a:cs typeface="Calibri" panose="020F0502020204030204" pitchFamily="34" charset="0"/>
            </a:rPr>
            <a:t>User Guidance for CL_2 (Design Summary) Tab:</a:t>
          </a:r>
        </a:p>
        <a:p>
          <a:endParaRPr lang="en-US" sz="10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latin typeface="Calibri" panose="020F0502020204030204" pitchFamily="34" charset="0"/>
              <a:cs typeface="Calibri" panose="020F0502020204030204" pitchFamily="34" charset="0"/>
            </a:rPr>
            <a:t>Answer (Y or N) if extended detention is being used to meet WQv requirements (cell F14).  </a:t>
          </a:r>
          <a:r>
            <a:rPr lang="en-US" sz="1000" baseline="0">
              <a:solidFill>
                <a:schemeClr val="dk1"/>
              </a:solidFill>
              <a:effectLst/>
              <a:latin typeface="Calibri" panose="020F0502020204030204" pitchFamily="34" charset="0"/>
              <a:ea typeface="+mn-ea"/>
              <a:cs typeface="Calibri" panose="020F0502020204030204" pitchFamily="34" charset="0"/>
            </a:rPr>
            <a:t>If pond is not providing extended detention of the CPv event, ISWMM advises that the practice must demonstrate that release rate from WQv event is limited to provide extended detention of that event, in order for the practice to be considered as providing WQv treatment.  </a:t>
          </a:r>
          <a:r>
            <a:rPr lang="en-US" sz="1000" baseline="0">
              <a:latin typeface="Calibri" panose="020F0502020204030204" pitchFamily="34" charset="0"/>
              <a:cs typeface="Calibri" panose="020F0502020204030204" pitchFamily="34" charset="0"/>
            </a:rPr>
            <a:t>Refer to ISWMM Section 9.11 for additional information.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latin typeface="Calibri" panose="020F0502020204030204" pitchFamily="34" charset="0"/>
              <a:cs typeface="Calibri" panose="020F0502020204030204" pitchFamily="34" charset="0"/>
            </a:rPr>
            <a:t>If upstream practices are being used to manage part of the WQv requirements, note that volume in the blue hatched box (cell F15).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Wet Detention Pond Metrics information will fill in or calculate automatically as long as subsequent spreadsheet tabs are completed.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WQv and pretreatment volume; pool and high water elevation will automatically fill in with data from other tabs, unless a value is entered in the manual entry space above (if manually entered, the word MANUAL will appear on the checklist).</a:t>
          </a:r>
          <a:endParaRPr lang="en-US" sz="10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a:solidFill>
                <a:schemeClr val="dk1"/>
              </a:solidFill>
              <a:effectLst/>
              <a:latin typeface="Calibri" panose="020F0502020204030204" pitchFamily="34" charset="0"/>
              <a:ea typeface="+mn-ea"/>
              <a:cs typeface="Calibri" panose="020F0502020204030204" pitchFamily="34" charset="0"/>
            </a:rPr>
            <a:t>Complete Wet</a:t>
          </a:r>
          <a:r>
            <a:rPr lang="en-US" sz="1000" baseline="0">
              <a:solidFill>
                <a:schemeClr val="dk1"/>
              </a:solidFill>
              <a:effectLst/>
              <a:latin typeface="Calibri" panose="020F0502020204030204" pitchFamily="34" charset="0"/>
              <a:ea typeface="+mn-ea"/>
              <a:cs typeface="Calibri" panose="020F0502020204030204" pitchFamily="34" charset="0"/>
            </a:rPr>
            <a:t> Detention Pond Topography and Other Information on this sheet. Fill in light orange and gray shaded boxes.</a:t>
          </a: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baseline="0">
              <a:latin typeface="Calibri" panose="020F0502020204030204" pitchFamily="34" charset="0"/>
              <a:cs typeface="Calibri" panose="020F0502020204030204" pitchFamily="34" charset="0"/>
            </a:rPr>
            <a:t>If a "essential" or "target" criteria from ISWMM Section 9.11 is not met a red </a:t>
          </a:r>
          <a:r>
            <a:rPr lang="en-US" sz="1000" baseline="0">
              <a:solidFill>
                <a:srgbClr val="C00000"/>
              </a:solidFill>
              <a:latin typeface="Calibri" panose="020F0502020204030204" pitchFamily="34" charset="0"/>
              <a:cs typeface="Calibri" panose="020F0502020204030204" pitchFamily="34" charset="0"/>
            </a:rPr>
            <a:t>"!"</a:t>
          </a:r>
          <a:r>
            <a:rPr lang="en-US" sz="1000" baseline="0">
              <a:latin typeface="Calibri" panose="020F0502020204030204" pitchFamily="34" charset="0"/>
              <a:cs typeface="Calibri" panose="020F0502020204030204" pitchFamily="34" charset="0"/>
            </a:rPr>
            <a:t> will appear next to the criteria. If some of these parameters are not met, the stormwater management report should address why it is not feasible to meet these criteria, so that reviewers can decide if the design needs to be revised to meet such criteria. </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baseline="0">
              <a:latin typeface="Calibri" panose="020F0502020204030204" pitchFamily="34" charset="0"/>
              <a:cs typeface="Calibri" panose="020F0502020204030204" pitchFamily="34" charset="0"/>
            </a:rPr>
            <a:t>Local jurisdictions or grant funding sources may dictate at what stage in the design process items listed under "other information" need to be provided. </a:t>
          </a:r>
          <a:endParaRPr lang="en-US" sz="1000">
            <a:latin typeface="Calibri" panose="020F050202020403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9525</xdr:rowOff>
    </xdr:from>
    <xdr:to>
      <xdr:col>19</xdr:col>
      <xdr:colOff>133350</xdr:colOff>
      <xdr:row>50</xdr:row>
      <xdr:rowOff>57150</xdr:rowOff>
    </xdr:to>
    <xdr:sp macro="" textlink="">
      <xdr:nvSpPr>
        <xdr:cNvPr id="2" name="TextBox 1">
          <a:extLst>
            <a:ext uri="{FF2B5EF4-FFF2-40B4-BE49-F238E27FC236}">
              <a16:creationId xmlns:a16="http://schemas.microsoft.com/office/drawing/2014/main" id="{446889F8-EFE6-426C-BA9B-04F305E2F778}"/>
            </a:ext>
          </a:extLst>
        </xdr:cNvPr>
        <xdr:cNvSpPr txBox="1"/>
      </xdr:nvSpPr>
      <xdr:spPr>
        <a:xfrm>
          <a:off x="8524875" y="9525"/>
          <a:ext cx="3676650" cy="75723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Calibri" panose="020F0502020204030204" pitchFamily="34" charset="0"/>
              <a:cs typeface="Calibri" panose="020F0502020204030204" pitchFamily="34" charset="0"/>
            </a:rPr>
            <a:t>User Guidance for DE_1 (Watershed Info) Tab:</a:t>
          </a:r>
        </a:p>
        <a:p>
          <a:endParaRPr lang="en-US" sz="1000" b="1" u="sng">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a:latin typeface="Calibri" panose="020F0502020204030204" pitchFamily="34" charset="0"/>
              <a:cs typeface="Calibri" panose="020F0502020204030204" pitchFamily="34" charset="0"/>
            </a:rPr>
            <a:t>Complete Watershed Properties (acres of each land use) for the area to be served by the practice in </a:t>
          </a:r>
          <a:r>
            <a:rPr lang="en-US" sz="1000" baseline="0">
              <a:latin typeface="Calibri" panose="020F0502020204030204" pitchFamily="34" charset="0"/>
              <a:cs typeface="Calibri" panose="020F0502020204030204" pitchFamily="34" charset="0"/>
            </a:rPr>
            <a:t>gray shaded boxes.</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latin typeface="Calibri" panose="020F0502020204030204" pitchFamily="34" charset="0"/>
              <a:cs typeface="Calibri" panose="020F0502020204030204" pitchFamily="34" charset="0"/>
            </a:rPr>
            <a:t>Note that for Natural Conditions, some jurisdictions may dictate what CNs may be assumed. In such a case, the natural CN may be entered manually in the space provided.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latin typeface="Calibri" panose="020F0502020204030204" pitchFamily="34" charset="0"/>
              <a:cs typeface="Calibri" panose="020F0502020204030204" pitchFamily="34" charset="0"/>
            </a:rPr>
            <a:t>For Existing and Proposed Conditions, enter area of impervious cover, open space and row crop categories, based on local Hydrologic Soil Group (HSG) category. If data is entered for those parameters, the spreadsheet will calculate weighted CNs and WQv volume based on those properties. The values used by this program to calculate the weighted CNs for open space and row crop areas are listed to the right of the printable area. Refer to ISWMM for guidance on assumptions for open space soil quality (Sections 7.03, 9.11 and 3.01). </a:t>
          </a:r>
          <a:r>
            <a:rPr lang="en-US" sz="1000" u="sng" baseline="0">
              <a:solidFill>
                <a:schemeClr val="dk1"/>
              </a:solidFill>
              <a:effectLst/>
              <a:latin typeface="Calibri" panose="020F0502020204030204" pitchFamily="34" charset="0"/>
              <a:ea typeface="+mn-ea"/>
              <a:cs typeface="Calibri" panose="020F0502020204030204" pitchFamily="34" charset="0"/>
            </a:rPr>
            <a:t>Open spaces with less than 4" of SQR will be calculated as 50% impervious for the purposes of calculating WQv.</a:t>
          </a:r>
          <a:endParaRPr lang="en-US" sz="100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Urban land uses should be divided into impervious and open space areas.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"Other areas" should only be used for surfaces that can't be described as impervious surfaces, open spaces or row crops. (For example, green roofs have unique curve numbers and may satisfy the WQv volume of the areas that drain to them.) When used, enter the CN to be used for these areas.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spreadsheet will not calculate the WQv volume for "Other areas", unless the box next to the </a:t>
          </a:r>
          <a:r>
            <a:rPr lang="en-US" sz="1000" baseline="0">
              <a:solidFill>
                <a:schemeClr val="dk1"/>
              </a:solidFill>
              <a:latin typeface="Calibri" panose="020F0502020204030204" pitchFamily="34" charset="0"/>
              <a:ea typeface="+mn-ea"/>
              <a:cs typeface="Calibri" panose="020F0502020204030204" pitchFamily="34" charset="0"/>
            </a:rPr>
            <a:t>"Other Areas Counted as Impervious for WQv calculation?" is entered as </a:t>
          </a:r>
          <a:r>
            <a:rPr lang="en-US" sz="1000" b="1" u="sng" baseline="0">
              <a:solidFill>
                <a:schemeClr val="dk1"/>
              </a:solidFill>
              <a:latin typeface="Calibri" panose="020F0502020204030204" pitchFamily="34" charset="0"/>
              <a:ea typeface="+mn-ea"/>
              <a:cs typeface="Calibri" panose="020F0502020204030204" pitchFamily="34" charset="0"/>
            </a:rPr>
            <a:t>"Y"</a:t>
          </a:r>
          <a:r>
            <a:rPr lang="en-US" sz="1000" b="0" u="none" baseline="0">
              <a:solidFill>
                <a:schemeClr val="dk1"/>
              </a:solidFill>
              <a:latin typeface="Calibri" panose="020F0502020204030204" pitchFamily="34" charset="0"/>
              <a:ea typeface="+mn-ea"/>
              <a:cs typeface="Calibri" panose="020F0502020204030204" pitchFamily="34" charset="0"/>
            </a:rPr>
            <a:t> (Cell E26 and E42).</a:t>
          </a:r>
          <a:r>
            <a:rPr lang="en-US" sz="1000" b="0" u="none" baseline="0">
              <a:solidFill>
                <a:schemeClr val="dk1"/>
              </a:solidFill>
              <a:effectLst/>
              <a:latin typeface="Calibri" panose="020F0502020204030204" pitchFamily="34" charset="0"/>
              <a:ea typeface="+mn-ea"/>
              <a:cs typeface="Calibri" panose="020F0502020204030204" pitchFamily="34" charset="0"/>
            </a:rPr>
            <a:t> </a:t>
          </a:r>
          <a:r>
            <a:rPr lang="en-US" sz="1000" baseline="0">
              <a:solidFill>
                <a:schemeClr val="dk1"/>
              </a:solidFill>
              <a:effectLst/>
              <a:latin typeface="Calibri" panose="020F0502020204030204" pitchFamily="34" charset="0"/>
              <a:ea typeface="+mn-ea"/>
              <a:cs typeface="Calibri" panose="020F0502020204030204" pitchFamily="34" charset="0"/>
            </a:rPr>
            <a:t>If </a:t>
          </a:r>
          <a:r>
            <a:rPr lang="en-US" sz="1000" b="1" u="sng" baseline="0">
              <a:solidFill>
                <a:schemeClr val="dk1"/>
              </a:solidFill>
              <a:effectLst/>
              <a:latin typeface="Calibri" panose="020F0502020204030204" pitchFamily="34" charset="0"/>
              <a:ea typeface="+mn-ea"/>
              <a:cs typeface="Calibri" panose="020F0502020204030204" pitchFamily="34" charset="0"/>
            </a:rPr>
            <a:t>"Y"</a:t>
          </a:r>
          <a:r>
            <a:rPr lang="en-US" sz="1000" baseline="0">
              <a:solidFill>
                <a:schemeClr val="dk1"/>
              </a:solidFill>
              <a:effectLst/>
              <a:latin typeface="Calibri" panose="020F0502020204030204" pitchFamily="34" charset="0"/>
              <a:ea typeface="+mn-ea"/>
              <a:cs typeface="Calibri" panose="020F0502020204030204" pitchFamily="34" charset="0"/>
            </a:rPr>
            <a:t> is entered, the spreadsheet will treat such areas as 100% impervious.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WQv volume for "Other areas" may also be manually entered to the right of either the "Existing" or "Proposed" watershed data entry area, as applicable (provide separate documentation). When used, enter </a:t>
          </a:r>
          <a:r>
            <a:rPr lang="en-US" sz="1000" b="1" u="sng" baseline="0">
              <a:solidFill>
                <a:schemeClr val="dk1"/>
              </a:solidFill>
              <a:effectLst/>
              <a:latin typeface="Calibri" panose="020F0502020204030204" pitchFamily="34" charset="0"/>
              <a:ea typeface="+mn-ea"/>
              <a:cs typeface="Calibri" panose="020F0502020204030204" pitchFamily="34" charset="0"/>
            </a:rPr>
            <a:t>"N"</a:t>
          </a:r>
          <a:r>
            <a:rPr lang="en-US" sz="1000" baseline="0">
              <a:solidFill>
                <a:schemeClr val="dk1"/>
              </a:solidFill>
              <a:effectLst/>
              <a:latin typeface="Calibri" panose="020F0502020204030204" pitchFamily="34" charset="0"/>
              <a:ea typeface="+mn-ea"/>
              <a:cs typeface="Calibri" panose="020F0502020204030204" pitchFamily="34" charset="0"/>
            </a:rPr>
            <a:t> in the  box next to the "Other Areas Counted as Impervious for WQv calculation?" If data is manually entered, the word MANUAL will appear on the checklist.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If data is entered correctly, the green, yellow and orange shaded boxes will calculate automatically, noting the total watershed area, impervious cover, WQv volume and CNs (both standard and adjusted WQv event value).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0</xdr:row>
      <xdr:rowOff>0</xdr:rowOff>
    </xdr:from>
    <xdr:to>
      <xdr:col>17</xdr:col>
      <xdr:colOff>133350</xdr:colOff>
      <xdr:row>74</xdr:row>
      <xdr:rowOff>95250</xdr:rowOff>
    </xdr:to>
    <xdr:sp macro="" textlink="">
      <xdr:nvSpPr>
        <xdr:cNvPr id="2" name="TextBox 1">
          <a:extLst>
            <a:ext uri="{FF2B5EF4-FFF2-40B4-BE49-F238E27FC236}">
              <a16:creationId xmlns:a16="http://schemas.microsoft.com/office/drawing/2014/main" id="{04D16C3D-1156-45FE-821D-2163423C08DD}"/>
            </a:ext>
          </a:extLst>
        </xdr:cNvPr>
        <xdr:cNvSpPr txBox="1"/>
      </xdr:nvSpPr>
      <xdr:spPr>
        <a:xfrm>
          <a:off x="7934325" y="0"/>
          <a:ext cx="3676650" cy="121443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Calibri" panose="020F0502020204030204" pitchFamily="34" charset="0"/>
              <a:cs typeface="Calibri" panose="020F0502020204030204" pitchFamily="34" charset="0"/>
            </a:rPr>
            <a:t>User Guidance for</a:t>
          </a:r>
          <a:r>
            <a:rPr lang="en-US" sz="1100" b="1" u="sng" baseline="0">
              <a:latin typeface="Calibri" panose="020F0502020204030204" pitchFamily="34" charset="0"/>
              <a:cs typeface="Calibri" panose="020F0502020204030204" pitchFamily="34" charset="0"/>
            </a:rPr>
            <a:t> Step 3 (Hydrology) Tab</a:t>
          </a:r>
          <a:r>
            <a:rPr lang="en-US" sz="1100" b="1" u="sng">
              <a:latin typeface="Calibri" panose="020F0502020204030204" pitchFamily="34" charset="0"/>
              <a:cs typeface="Calibri" panose="020F0502020204030204" pitchFamily="34" charset="0"/>
            </a:rPr>
            <a:t>:</a:t>
          </a:r>
        </a:p>
        <a:p>
          <a:endParaRPr lang="en-US" sz="11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Enter the rainfall data used for the model, in the blue fields.</a:t>
          </a:r>
          <a:endParaRPr lang="en-US" sz="110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10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100">
              <a:latin typeface="Calibri" panose="020F0502020204030204" pitchFamily="34" charset="0"/>
              <a:cs typeface="Calibri" panose="020F0502020204030204" pitchFamily="34" charset="0"/>
            </a:rPr>
            <a:t>After a hydrologic</a:t>
          </a:r>
          <a:r>
            <a:rPr lang="en-US" sz="1100" baseline="0">
              <a:latin typeface="Calibri" panose="020F0502020204030204" pitchFamily="34" charset="0"/>
              <a:cs typeface="Calibri" panose="020F0502020204030204" pitchFamily="34" charset="0"/>
            </a:rPr>
            <a:t> models of the natural, existing and developed conditions have been created, enter the runoff peak rate and volume for the various storm events in the appropriate cells within the colored spaces within the table. Typically this will be output from a software program running a TR-55 model simulation.</a:t>
          </a:r>
        </a:p>
        <a:p>
          <a:pPr marL="171450" indent="-171450">
            <a:buFont typeface="Arial" panose="020B0604020202020204" pitchFamily="34" charset="0"/>
            <a:buChar char="•"/>
          </a:pPr>
          <a:endParaRPr lang="en-US" sz="11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latin typeface="Calibri" panose="020F0502020204030204" pitchFamily="34" charset="0"/>
              <a:cs typeface="Calibri" panose="020F0502020204030204" pitchFamily="34" charset="0"/>
            </a:rPr>
            <a:t>The flow data input into these cells should be the total flows entering the stormwater management practice.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After the flow data has been entered, the unit peak discharge value (qu) for the WQv and CPv events should calculate automatically. </a:t>
          </a:r>
          <a:r>
            <a:rPr lang="en-US" sz="1100" baseline="0">
              <a:solidFill>
                <a:sysClr val="windowText" lastClr="000000"/>
              </a:solidFill>
              <a:effectLst/>
              <a:latin typeface="Calibri" panose="020F0502020204030204" pitchFamily="34" charset="0"/>
              <a:ea typeface="+mn-ea"/>
              <a:cs typeface="Calibri" panose="020F0502020204030204" pitchFamily="34" charset="0"/>
            </a:rPr>
            <a:t>Use this value when referring to the graph of (qu) vs (qo/qi) in the Small Storm Hydrology section of ISWMM to determi</a:t>
          </a:r>
          <a:r>
            <a:rPr lang="en-US" sz="1100" baseline="0">
              <a:solidFill>
                <a:schemeClr val="dk1"/>
              </a:solidFill>
              <a:effectLst/>
              <a:latin typeface="Calibri" panose="020F0502020204030204" pitchFamily="34" charset="0"/>
              <a:ea typeface="+mn-ea"/>
              <a:cs typeface="Calibri" panose="020F0502020204030204" pitchFamily="34" charset="0"/>
            </a:rPr>
            <a:t>ne the allowable outflow to inflow ratio (qo/qi) to provide for extended detention, using a desired 24-hour drawdown period (example shown below the data entry sheet).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Entering the appropriate (qo/qi) ratio will allow the spreadsheet to solve for the maximum allowable release rate for extended detention (qo).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The allowable release rate for WQv (Cell D31) is only needed if a practice does not provide extended detention of the CPv, or if "live" storage is being used to provide extended detention of a portion of the WQv (only allowed in specific cases, refer to Section 9.11). In these cases, to qualify for WQv treatment, the final routing model of the practice for the WQv event will need to demonstrate that the allowable release rate from the practice (qo) is not exceeded for that storm event.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The final routing model will need to demonstrate that the allowable release rate for CPv (Cell E31) is not exceeded when extended detention of that event is proposed.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Once all data has been entered in the shaded fields, estimates of storage volume will be calculated automatically. Note that these are not the final storage volumes required, but are intended to give designers preliminary estimates of how much storage will be needed, so that information can be used in planning and design of the practice.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The estimated volume for WQv in the row hatched in </a:t>
          </a:r>
          <a:r>
            <a:rPr lang="en-US" sz="1100" b="1" baseline="0">
              <a:solidFill>
                <a:schemeClr val="dk1"/>
              </a:solidFill>
              <a:effectLst/>
              <a:latin typeface="Calibri" panose="020F0502020204030204" pitchFamily="34" charset="0"/>
              <a:ea typeface="+mn-ea"/>
              <a:cs typeface="Calibri" panose="020F0502020204030204" pitchFamily="34" charset="0"/>
            </a:rPr>
            <a:t>orange</a:t>
          </a:r>
          <a:r>
            <a:rPr lang="en-US" sz="1100" baseline="0">
              <a:solidFill>
                <a:schemeClr val="dk1"/>
              </a:solidFill>
              <a:effectLst/>
              <a:latin typeface="Calibri" panose="020F0502020204030204" pitchFamily="34" charset="0"/>
              <a:ea typeface="+mn-ea"/>
              <a:cs typeface="Calibri" panose="020F0502020204030204" pitchFamily="34" charset="0"/>
            </a:rPr>
            <a:t> is only to be used to project the amount of "live" storage required if the practice needs to demonstrate the restricted release rate for extended detention of the WQv event. This is NOT the treatment volume required to be retained as "dead" storage below the normal pool elevation.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The default outflow rates used for storage estimation for CPv are based on the (qo) for extended detention. For larger storms, the default release rates are based on the smaller value of: (1) the peak "natural" release rate for the same storm event and (2) the peak "existing" release rate for the 5-year storm event.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If local requirements or site characteristics require a different release rate to be used, it may be entered manually for each event to the right of the calculation table. (If allowable release rates are manually entered, the word MANUAL will appear on the checklist).</a:t>
          </a:r>
          <a:endParaRPr lang="en-US" sz="11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twoCellAnchor editAs="oneCell">
    <xdr:from>
      <xdr:col>0</xdr:col>
      <xdr:colOff>85724</xdr:colOff>
      <xdr:row>50</xdr:row>
      <xdr:rowOff>66674</xdr:rowOff>
    </xdr:from>
    <xdr:to>
      <xdr:col>8</xdr:col>
      <xdr:colOff>9524</xdr:colOff>
      <xdr:row>75</xdr:row>
      <xdr:rowOff>125376</xdr:rowOff>
    </xdr:to>
    <xdr:pic>
      <xdr:nvPicPr>
        <xdr:cNvPr id="3" name="Picture 2">
          <a:extLst>
            <a:ext uri="{FF2B5EF4-FFF2-40B4-BE49-F238E27FC236}">
              <a16:creationId xmlns:a16="http://schemas.microsoft.com/office/drawing/2014/main" id="{2394C270-8813-4588-954B-D496BF80CFB0}"/>
            </a:ext>
          </a:extLst>
        </xdr:cNvPr>
        <xdr:cNvPicPr>
          <a:picLocks noChangeAspect="1"/>
        </xdr:cNvPicPr>
      </xdr:nvPicPr>
      <xdr:blipFill>
        <a:blip xmlns:r="http://schemas.openxmlformats.org/officeDocument/2006/relationships" r:embed="rId1"/>
        <a:stretch>
          <a:fillRect/>
        </a:stretch>
      </xdr:blipFill>
      <xdr:spPr>
        <a:xfrm>
          <a:off x="85724" y="7705724"/>
          <a:ext cx="5648325" cy="41068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581025</xdr:colOff>
      <xdr:row>8</xdr:row>
      <xdr:rowOff>180974</xdr:rowOff>
    </xdr:from>
    <xdr:to>
      <xdr:col>11</xdr:col>
      <xdr:colOff>76200</xdr:colOff>
      <xdr:row>36</xdr:row>
      <xdr:rowOff>114299</xdr:rowOff>
    </xdr:to>
    <xdr:sp macro="" textlink="">
      <xdr:nvSpPr>
        <xdr:cNvPr id="2" name="TextBox 1">
          <a:extLst>
            <a:ext uri="{FF2B5EF4-FFF2-40B4-BE49-F238E27FC236}">
              <a16:creationId xmlns:a16="http://schemas.microsoft.com/office/drawing/2014/main" id="{E0018C69-8D11-4BF6-B271-47E56B6A310A}"/>
            </a:ext>
          </a:extLst>
        </xdr:cNvPr>
        <xdr:cNvSpPr txBox="1"/>
      </xdr:nvSpPr>
      <xdr:spPr>
        <a:xfrm>
          <a:off x="6724650" y="1619249"/>
          <a:ext cx="3676650" cy="51149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Calibri" panose="020F0502020204030204" pitchFamily="34" charset="0"/>
              <a:cs typeface="Calibri" panose="020F0502020204030204" pitchFamily="34" charset="0"/>
            </a:rPr>
            <a:t>User Guidance for</a:t>
          </a:r>
          <a:r>
            <a:rPr lang="en-US" sz="1000" b="1" u="sng" baseline="0">
              <a:latin typeface="Calibri" panose="020F0502020204030204" pitchFamily="34" charset="0"/>
              <a:cs typeface="Calibri" panose="020F0502020204030204" pitchFamily="34" charset="0"/>
            </a:rPr>
            <a:t> Step 4 (Pretreatment) Tab</a:t>
          </a:r>
          <a:r>
            <a:rPr lang="en-US" sz="1000" b="1" u="sng">
              <a:latin typeface="Calibri" panose="020F0502020204030204" pitchFamily="34" charset="0"/>
              <a:cs typeface="Calibri" panose="020F0502020204030204" pitchFamily="34" charset="0"/>
            </a:rPr>
            <a:t>:</a:t>
          </a:r>
        </a:p>
        <a:p>
          <a:endParaRPr lang="en-US" sz="10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required WQv and pretreatment volumes will be calculated by the spreadsheet, based on data entered on previous tabs. The value will adjust if data is entered on Tab CL_2 regarding upstream practices treating WQv volumes. Data may also be entered for WQv or pretreatment in the cells above. (If values are manually entered, the word MANUAL will appear on the checklist). If data is entered manually, provide separate documentation of how these values were calculated.</a:t>
          </a:r>
          <a:endParaRPr lang="en-US" sz="10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Enter the volume of any other pretreatment practices employed beyond the three forebays that would fit on this sheet (Cell B9).  Enter a short description of those practices in the spaces provided, if applicable. Provide separate documentation of how the pretreatment volumes for such practices were calculated.</a:t>
          </a:r>
          <a:endParaRPr lang="en-US" sz="100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00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a:latin typeface="Calibri" panose="020F0502020204030204" pitchFamily="34" charset="0"/>
              <a:cs typeface="Calibri" panose="020F0502020204030204" pitchFamily="34" charset="0"/>
            </a:rPr>
            <a:t>For each forebay, enter the normal pool elevation and the stage-storage information.  Data should</a:t>
          </a:r>
          <a:r>
            <a:rPr lang="en-US" sz="1000" baseline="0">
              <a:latin typeface="Calibri" panose="020F0502020204030204" pitchFamily="34" charset="0"/>
              <a:cs typeface="Calibri" panose="020F0502020204030204" pitchFamily="34" charset="0"/>
            </a:rPr>
            <a:t> be entered at increments not exceeding 1.0 feet to the deepest elevation of the forebay (total depth not exceeding 4.0 feet).</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latin typeface="Calibri" panose="020F0502020204030204" pitchFamily="34" charset="0"/>
              <a:cs typeface="Calibri" panose="020F0502020204030204" pitchFamily="34" charset="0"/>
            </a:rPr>
            <a:t>If data is entered in a cell within the "Depth Below Pool" column, make sure data is entered in the "Contour Area" column within the same row.</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spreadsheet will calculate the total pretreatment volume provided at the bottom of this sheet.  Forebay storage may also be entered manually in the cell below.  (If a value is manually entered, the word MANUAL will appear on the checklist). If data is entered manually, provide separate documentation of how these values were calculated.</a:t>
          </a:r>
          <a:endParaRPr lang="en-US" sz="10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581024</xdr:colOff>
      <xdr:row>7</xdr:row>
      <xdr:rowOff>142872</xdr:rowOff>
    </xdr:from>
    <xdr:to>
      <xdr:col>16</xdr:col>
      <xdr:colOff>200026</xdr:colOff>
      <xdr:row>51</xdr:row>
      <xdr:rowOff>142875</xdr:rowOff>
    </xdr:to>
    <xdr:sp macro="" textlink="">
      <xdr:nvSpPr>
        <xdr:cNvPr id="2" name="TextBox 1">
          <a:extLst>
            <a:ext uri="{FF2B5EF4-FFF2-40B4-BE49-F238E27FC236}">
              <a16:creationId xmlns:a16="http://schemas.microsoft.com/office/drawing/2014/main" id="{EB877471-C944-4986-8800-E526304141CB}"/>
            </a:ext>
          </a:extLst>
        </xdr:cNvPr>
        <xdr:cNvSpPr txBox="1"/>
      </xdr:nvSpPr>
      <xdr:spPr>
        <a:xfrm>
          <a:off x="7886699" y="1219197"/>
          <a:ext cx="4533902" cy="670560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Calibri" panose="020F0502020204030204" pitchFamily="34" charset="0"/>
              <a:cs typeface="Calibri" panose="020F0502020204030204" pitchFamily="34" charset="0"/>
            </a:rPr>
            <a:t>User Guidance for</a:t>
          </a:r>
          <a:r>
            <a:rPr lang="en-US" sz="1000" b="1" u="sng" baseline="0">
              <a:latin typeface="Calibri" panose="020F0502020204030204" pitchFamily="34" charset="0"/>
              <a:cs typeface="Calibri" panose="020F0502020204030204" pitchFamily="34" charset="0"/>
            </a:rPr>
            <a:t> Step 5-7 (Final Storage Volumes) Tab</a:t>
          </a:r>
          <a:r>
            <a:rPr lang="en-US" sz="1000" b="1" u="sng">
              <a:latin typeface="Calibri" panose="020F0502020204030204" pitchFamily="34" charset="0"/>
              <a:cs typeface="Calibri" panose="020F0502020204030204" pitchFamily="34" charset="0"/>
            </a:rPr>
            <a:t>:</a:t>
          </a:r>
        </a:p>
        <a:p>
          <a:endParaRPr lang="en-US" sz="10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required WQv and pretreatment volumes will fill in if related cells on Tabs DE_1 and Step 3 are completed.  Data may also be entered manually above.             (If values are manually entered, the word MANUAL will appear on the checklist).          If data is entered manually, provide separate documentation of how these values were calculated.</a:t>
          </a:r>
          <a:endParaRPr lang="en-US" sz="10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Enter the normal water surface elevation in the permanent pool in cell G5.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Enter the depth of the edge of safety bench, measured from the permanent pool surface in cell G6.</a:t>
          </a:r>
          <a:endParaRPr lang="en-US" sz="100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00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a:latin typeface="Calibri" panose="020F0502020204030204" pitchFamily="34" charset="0"/>
              <a:cs typeface="Calibri" panose="020F0502020204030204" pitchFamily="34" charset="0"/>
            </a:rPr>
            <a:t>Contour area information below the permanent</a:t>
          </a:r>
          <a:r>
            <a:rPr lang="en-US" sz="1000" baseline="0">
              <a:latin typeface="Calibri" panose="020F0502020204030204" pitchFamily="34" charset="0"/>
              <a:cs typeface="Calibri" panose="020F0502020204030204" pitchFamily="34" charset="0"/>
            </a:rPr>
            <a:t> pool elevation within the pond </a:t>
          </a:r>
          <a:r>
            <a:rPr lang="en-US" sz="1000">
              <a:latin typeface="Calibri" panose="020F0502020204030204" pitchFamily="34" charset="0"/>
              <a:cs typeface="Calibri" panose="020F0502020204030204" pitchFamily="34" charset="0"/>
            </a:rPr>
            <a:t>("dead" storage) should be entered in</a:t>
          </a:r>
          <a:r>
            <a:rPr lang="en-US" sz="1000" baseline="0">
              <a:latin typeface="Calibri" panose="020F0502020204030204" pitchFamily="34" charset="0"/>
              <a:cs typeface="Calibri" panose="020F0502020204030204" pitchFamily="34" charset="0"/>
            </a:rPr>
            <a:t> the Wet Detention Pond Permanent Pool Storage table. Use intervals as needed to calculate storage to the deepest pond depth. One of the rows must include depth and contour area data for the elevation of the edge of the safety bench (the depth entered in cell G6). Without this, the value for shallow water area in cell E63 will not calculate correctly.</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latin typeface="Calibri" panose="020F0502020204030204" pitchFamily="34" charset="0"/>
              <a:cs typeface="Calibri" panose="020F0502020204030204" pitchFamily="34" charset="0"/>
            </a:rPr>
            <a:t>Contour area information for "live" storage above the normal pool should be entered in the Temporary Storage table. Enter data at intervals as needed, up to at least the crest of the dam.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spreadsheet will calculate both "live" and "dead" storage volumes and metrics once data is entered. Storage is computed using the average end area method.</a:t>
          </a: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spreadsheet will note in Cell G59 if total "dead" storage below the normal pool exceeds the required WQv to be treated. Cell E60 will calculate the required percentage of WQv needing to be treated by the pond, based on requirements within Sections 9.11 and 9.12.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spreadsheet will note in Cell G63 if the shallow water area is less than 15% of the permanent pool area. </a:t>
          </a:r>
          <a:r>
            <a:rPr lang="en-US" sz="1000" u="sng" baseline="0">
              <a:solidFill>
                <a:srgbClr val="FF0000"/>
              </a:solidFill>
              <a:effectLst/>
              <a:latin typeface="Calibri" panose="020F0502020204030204" pitchFamily="34" charset="0"/>
              <a:ea typeface="+mn-ea"/>
              <a:cs typeface="Calibri" panose="020F0502020204030204" pitchFamily="34" charset="0"/>
            </a:rPr>
            <a:t>A value of contour area corresponding to the edge of the safety bench (Cell G5 - Cell G6) must be entered in the permanent pool storage table.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u="sng" baseline="0">
            <a:solidFill>
              <a:srgbClr val="FF0000"/>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spreadsheet will note in Cell G64 if at least 25% of the permanent pool area is greater than 8 feet in permanent pool depth. </a:t>
          </a:r>
          <a:r>
            <a:rPr lang="en-US" sz="1000" u="sng" baseline="0">
              <a:solidFill>
                <a:srgbClr val="FF0000"/>
              </a:solidFill>
              <a:effectLst/>
              <a:latin typeface="Calibri" panose="020F0502020204030204" pitchFamily="34" charset="0"/>
              <a:ea typeface="+mn-ea"/>
              <a:cs typeface="Calibri" panose="020F0502020204030204" pitchFamily="34" charset="0"/>
            </a:rPr>
            <a:t>A value of contour area corresponding to exactly 8 feet below permanent pool must be entered in the permanent pool storage table.</a:t>
          </a:r>
          <a:endParaRPr lang="en-US" sz="1000">
            <a:solidFill>
              <a:srgbClr val="FF0000"/>
            </a:solidFill>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209550</xdr:colOff>
      <xdr:row>0</xdr:row>
      <xdr:rowOff>9525</xdr:rowOff>
    </xdr:from>
    <xdr:to>
      <xdr:col>14</xdr:col>
      <xdr:colOff>0</xdr:colOff>
      <xdr:row>27</xdr:row>
      <xdr:rowOff>104774</xdr:rowOff>
    </xdr:to>
    <xdr:sp macro="" textlink="">
      <xdr:nvSpPr>
        <xdr:cNvPr id="2" name="TextBox 1">
          <a:extLst>
            <a:ext uri="{FF2B5EF4-FFF2-40B4-BE49-F238E27FC236}">
              <a16:creationId xmlns:a16="http://schemas.microsoft.com/office/drawing/2014/main" id="{446EF831-B206-4123-B825-CAA5F838C3D0}"/>
            </a:ext>
          </a:extLst>
        </xdr:cNvPr>
        <xdr:cNvSpPr txBox="1"/>
      </xdr:nvSpPr>
      <xdr:spPr>
        <a:xfrm>
          <a:off x="6800850" y="9525"/>
          <a:ext cx="4019550" cy="50101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Calibri" panose="020F0502020204030204" pitchFamily="34" charset="0"/>
              <a:cs typeface="Calibri" panose="020F0502020204030204" pitchFamily="34" charset="0"/>
            </a:rPr>
            <a:t>User Guidance for</a:t>
          </a:r>
          <a:r>
            <a:rPr lang="en-US" sz="1000" b="1" u="sng" baseline="0">
              <a:latin typeface="Calibri" panose="020F0502020204030204" pitchFamily="34" charset="0"/>
              <a:cs typeface="Calibri" panose="020F0502020204030204" pitchFamily="34" charset="0"/>
            </a:rPr>
            <a:t> Step 9 (Results) Tab</a:t>
          </a:r>
          <a:r>
            <a:rPr lang="en-US" sz="1000" b="1" u="sng">
              <a:latin typeface="Calibri" panose="020F0502020204030204" pitchFamily="34" charset="0"/>
              <a:cs typeface="Calibri" panose="020F0502020204030204" pitchFamily="34" charset="0"/>
            </a:rPr>
            <a:t>:</a:t>
          </a:r>
        </a:p>
        <a:p>
          <a:endParaRPr lang="en-US" sz="10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After a stage-storage-discharge routing model for the wet detention pond has been created, enter the relevant data from the model output in the tables on this sheet. Entering data here will complete report cells on Tab CL_2.</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Data for the WQv event does not need to be entered unless the release rate for extended detention needs to be checked, as per notes on previous tabs and requirements within Section 9.11.</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Enter expected peak outflow rates from the practice calculated by the routing model for the various storm events in Cells C13 to C20.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Enter the expected high water elevations within the practice calculated by the routing model for the various storm events in Cells D13 to D20. High water elevation should be based on the same datum used to fill out the normal pool elevation in Cell G5 on the Step 5-7 Tab.</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Enter the maximum "live" storage above the normal pool calculated by the routing model for the various storm events in Cells E13 to E20.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Enter the delay in time between the peak inflow rate to the practice and the peak outflow rate from the practice, based on output data from the routing model in Cells C27 to C34.</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The spreadsheet will calculate various metrics based on the data entered. These will quantify the peak volume of water stored, note the delay in peak flows and demonstrate the reduction in flow rates due to the practice.</a:t>
          </a:r>
          <a:endParaRPr lang="en-US" sz="10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2">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D45E0-2D2A-4804-9248-8129CC56FAE1}">
  <sheetPr>
    <tabColor rgb="FFFF0000"/>
    <pageSetUpPr fitToPage="1"/>
  </sheetPr>
  <dimension ref="A1:K68"/>
  <sheetViews>
    <sheetView tabSelected="1" view="pageBreakPreview" zoomScaleNormal="100" zoomScaleSheetLayoutView="100" workbookViewId="0">
      <selection activeCell="A2" sqref="A2:I2"/>
    </sheetView>
  </sheetViews>
  <sheetFormatPr defaultColWidth="8.85546875" defaultRowHeight="12" x14ac:dyDescent="0.2"/>
  <cols>
    <col min="1" max="3" width="8.85546875" style="10"/>
    <col min="4" max="4" width="10" style="10" customWidth="1"/>
    <col min="5" max="16384" width="8.85546875" style="10"/>
  </cols>
  <sheetData>
    <row r="1" spans="1:10" s="1" customFormat="1" ht="12.75" x14ac:dyDescent="0.2">
      <c r="A1" s="278" t="s">
        <v>272</v>
      </c>
      <c r="B1" s="278"/>
      <c r="C1" s="278"/>
      <c r="D1" s="278"/>
      <c r="E1" s="278"/>
      <c r="F1" s="278"/>
      <c r="G1" s="278"/>
      <c r="H1" s="278"/>
      <c r="I1" s="278"/>
    </row>
    <row r="2" spans="1:10" s="1" customFormat="1" ht="12.75" x14ac:dyDescent="0.2">
      <c r="A2" s="279"/>
      <c r="B2" s="279"/>
      <c r="C2" s="279"/>
      <c r="D2" s="279"/>
      <c r="E2" s="279"/>
      <c r="F2" s="279"/>
      <c r="G2" s="279"/>
      <c r="H2" s="279"/>
      <c r="I2" s="279"/>
    </row>
    <row r="3" spans="1:10" s="5" customFormat="1" x14ac:dyDescent="0.2">
      <c r="A3" s="2"/>
      <c r="B3" s="3"/>
      <c r="C3" s="4"/>
      <c r="D3" s="4"/>
      <c r="E3" s="4"/>
      <c r="F3" s="4"/>
      <c r="G3" s="4"/>
      <c r="H3" s="4"/>
      <c r="I3" s="4"/>
      <c r="J3" s="2"/>
    </row>
    <row r="4" spans="1:10" s="2" customFormat="1" ht="3.6" customHeight="1" x14ac:dyDescent="0.2">
      <c r="B4" s="3"/>
      <c r="C4" s="6"/>
      <c r="D4" s="6"/>
      <c r="E4" s="6"/>
      <c r="F4" s="6"/>
      <c r="G4" s="6"/>
      <c r="H4" s="6"/>
      <c r="I4" s="6"/>
    </row>
    <row r="5" spans="1:10" x14ac:dyDescent="0.2">
      <c r="A5" s="7"/>
      <c r="B5" s="7"/>
      <c r="C5" s="4"/>
      <c r="D5" s="4"/>
      <c r="E5" s="4"/>
      <c r="F5" s="3"/>
      <c r="G5" s="8"/>
      <c r="H5" s="4"/>
      <c r="I5" s="4"/>
      <c r="J5" s="9"/>
    </row>
    <row r="6" spans="1:10" s="9" customFormat="1" ht="3" customHeight="1" x14ac:dyDescent="0.2">
      <c r="A6" s="3"/>
      <c r="B6" s="3"/>
      <c r="C6" s="6"/>
      <c r="D6" s="6"/>
      <c r="E6" s="6"/>
      <c r="F6" s="3"/>
      <c r="G6" s="6"/>
      <c r="H6" s="6"/>
      <c r="I6" s="6"/>
    </row>
    <row r="7" spans="1:10" x14ac:dyDescent="0.2">
      <c r="A7" s="7"/>
      <c r="B7" s="7"/>
      <c r="C7" s="4"/>
      <c r="D7" s="4"/>
      <c r="E7" s="4"/>
      <c r="F7" s="3"/>
      <c r="G7" s="4"/>
      <c r="H7" s="4"/>
      <c r="I7" s="4"/>
      <c r="J7" s="9"/>
    </row>
    <row r="8" spans="1:10" s="9" customFormat="1" ht="3.6" customHeight="1" x14ac:dyDescent="0.2">
      <c r="A8" s="3"/>
      <c r="B8" s="3"/>
      <c r="C8" s="6"/>
      <c r="D8" s="6"/>
      <c r="E8" s="6"/>
      <c r="F8" s="3"/>
      <c r="G8" s="6"/>
      <c r="H8" s="6"/>
      <c r="I8" s="6"/>
    </row>
    <row r="9" spans="1:10" x14ac:dyDescent="0.2">
      <c r="A9" s="7"/>
      <c r="B9" s="7"/>
      <c r="C9" s="7"/>
      <c r="D9" s="7"/>
      <c r="E9" s="7"/>
      <c r="F9" s="7"/>
      <c r="G9" s="7"/>
      <c r="H9" s="7"/>
      <c r="I9" s="7"/>
      <c r="J9" s="7"/>
    </row>
    <row r="10" spans="1:10" ht="3.6" customHeight="1" x14ac:dyDescent="0.2">
      <c r="A10" s="9"/>
      <c r="B10" s="9"/>
      <c r="C10" s="9"/>
      <c r="D10" s="9"/>
      <c r="E10" s="9"/>
      <c r="F10" s="9"/>
      <c r="G10" s="9"/>
      <c r="H10" s="9"/>
      <c r="I10" s="9"/>
      <c r="J10" s="9"/>
    </row>
    <row r="11" spans="1:10" x14ac:dyDescent="0.2">
      <c r="A11" s="11"/>
      <c r="B11" s="9"/>
      <c r="C11" s="9"/>
      <c r="D11" s="9"/>
      <c r="E11" s="9"/>
      <c r="F11" s="9"/>
      <c r="G11" s="9"/>
      <c r="H11" s="9"/>
      <c r="I11" s="9"/>
      <c r="J11" s="9"/>
    </row>
    <row r="12" spans="1:10" x14ac:dyDescent="0.2">
      <c r="A12" s="9"/>
      <c r="B12" s="9"/>
      <c r="C12" s="9"/>
      <c r="D12" s="9"/>
      <c r="E12" s="9"/>
      <c r="F12" s="9"/>
      <c r="G12" s="9"/>
      <c r="H12" s="9"/>
      <c r="I12" s="9"/>
      <c r="J12" s="9"/>
    </row>
    <row r="13" spans="1:10" x14ac:dyDescent="0.2">
      <c r="A13" s="9"/>
      <c r="B13" s="9"/>
      <c r="C13" s="9"/>
      <c r="D13" s="2"/>
      <c r="E13" s="12"/>
      <c r="F13" s="9"/>
      <c r="G13" s="9"/>
      <c r="H13" s="9"/>
      <c r="I13" s="9"/>
      <c r="J13" s="9"/>
    </row>
    <row r="14" spans="1:10" x14ac:dyDescent="0.2">
      <c r="A14" s="9"/>
      <c r="B14" s="9"/>
      <c r="C14" s="9"/>
      <c r="D14" s="9"/>
      <c r="E14" s="12"/>
      <c r="F14" s="9"/>
      <c r="G14" s="9"/>
      <c r="H14" s="9"/>
      <c r="I14" s="9"/>
      <c r="J14" s="9"/>
    </row>
    <row r="15" spans="1:10" s="9" customFormat="1" ht="3.6" customHeight="1" x14ac:dyDescent="0.2">
      <c r="E15" s="12"/>
    </row>
    <row r="16" spans="1:10" x14ac:dyDescent="0.2">
      <c r="A16" s="9"/>
      <c r="B16" s="9"/>
      <c r="C16" s="9"/>
      <c r="D16" s="9"/>
      <c r="E16" s="9"/>
      <c r="F16" s="12"/>
      <c r="G16" s="9"/>
      <c r="H16" s="9"/>
      <c r="I16" s="9"/>
      <c r="J16" s="9"/>
    </row>
    <row r="17" spans="1:10" x14ac:dyDescent="0.2">
      <c r="A17" s="9"/>
      <c r="B17" s="9"/>
      <c r="C17" s="9"/>
      <c r="D17" s="9"/>
      <c r="E17" s="9"/>
      <c r="F17" s="9"/>
      <c r="G17" s="9"/>
      <c r="H17" s="9"/>
      <c r="I17" s="9"/>
      <c r="J17" s="9"/>
    </row>
    <row r="18" spans="1:10" x14ac:dyDescent="0.2">
      <c r="A18" s="9"/>
      <c r="B18" s="9"/>
      <c r="C18" s="9"/>
      <c r="D18" s="2"/>
      <c r="E18" s="12"/>
      <c r="F18" s="2"/>
      <c r="G18" s="12"/>
      <c r="H18" s="13"/>
      <c r="I18" s="13"/>
      <c r="J18" s="9"/>
    </row>
    <row r="19" spans="1:10" x14ac:dyDescent="0.2">
      <c r="A19" s="9"/>
      <c r="B19" s="9"/>
      <c r="C19" s="9"/>
      <c r="D19" s="2"/>
      <c r="E19" s="12"/>
      <c r="F19" s="2"/>
      <c r="G19" s="12"/>
      <c r="H19" s="13"/>
      <c r="I19" s="13"/>
      <c r="J19" s="9"/>
    </row>
    <row r="20" spans="1:10" x14ac:dyDescent="0.2">
      <c r="A20" s="9"/>
      <c r="B20" s="9"/>
      <c r="C20" s="9"/>
      <c r="D20" s="9"/>
      <c r="E20" s="9"/>
      <c r="F20" s="9"/>
      <c r="G20" s="9"/>
      <c r="H20" s="9"/>
      <c r="I20" s="9"/>
      <c r="J20" s="9"/>
    </row>
    <row r="21" spans="1:10" x14ac:dyDescent="0.2">
      <c r="A21" s="9"/>
      <c r="B21" s="9"/>
      <c r="C21" s="9"/>
      <c r="D21" s="9"/>
      <c r="E21" s="9"/>
      <c r="F21" s="9"/>
      <c r="G21" s="9"/>
      <c r="H21" s="9"/>
      <c r="I21" s="9"/>
      <c r="J21" s="9"/>
    </row>
    <row r="22" spans="1:10" x14ac:dyDescent="0.2">
      <c r="A22" s="4"/>
      <c r="B22" s="4"/>
      <c r="C22" s="4"/>
      <c r="D22" s="4"/>
      <c r="E22" s="4"/>
      <c r="F22" s="4"/>
      <c r="G22" s="4"/>
      <c r="H22" s="4"/>
      <c r="I22" s="4"/>
      <c r="J22" s="4"/>
    </row>
    <row r="23" spans="1:10" x14ac:dyDescent="0.2">
      <c r="A23" s="9"/>
      <c r="B23" s="9"/>
      <c r="C23" s="9"/>
      <c r="D23" s="9"/>
      <c r="E23" s="9"/>
      <c r="F23" s="9"/>
      <c r="G23" s="9"/>
      <c r="H23" s="9"/>
      <c r="I23" s="9"/>
      <c r="J23" s="9"/>
    </row>
    <row r="24" spans="1:10" x14ac:dyDescent="0.2">
      <c r="A24" s="9"/>
      <c r="B24" s="9"/>
      <c r="C24" s="9"/>
      <c r="D24" s="2"/>
      <c r="E24" s="12"/>
      <c r="F24" s="9"/>
      <c r="G24" s="2"/>
      <c r="H24" s="12"/>
      <c r="I24" s="9"/>
      <c r="J24" s="9"/>
    </row>
    <row r="25" spans="1:10" x14ac:dyDescent="0.2">
      <c r="A25" s="9"/>
      <c r="B25" s="9"/>
      <c r="C25" s="9"/>
      <c r="D25" s="2"/>
      <c r="E25" s="12"/>
      <c r="F25" s="9"/>
      <c r="G25" s="2"/>
      <c r="H25" s="12"/>
      <c r="I25" s="9"/>
      <c r="J25" s="9"/>
    </row>
    <row r="26" spans="1:10" s="9" customFormat="1" ht="3" customHeight="1" x14ac:dyDescent="0.2">
      <c r="D26" s="2"/>
      <c r="E26" s="12"/>
      <c r="G26" s="2"/>
      <c r="H26" s="12"/>
    </row>
    <row r="27" spans="1:10" x14ac:dyDescent="0.2">
      <c r="A27" s="9"/>
      <c r="B27" s="9"/>
      <c r="C27" s="4"/>
      <c r="D27" s="4"/>
      <c r="E27" s="4"/>
      <c r="F27" s="4"/>
      <c r="G27" s="4"/>
      <c r="H27" s="4"/>
      <c r="I27" s="4"/>
      <c r="J27" s="4"/>
    </row>
    <row r="28" spans="1:10" x14ac:dyDescent="0.2">
      <c r="A28" s="9"/>
      <c r="B28" s="9"/>
      <c r="C28" s="9"/>
      <c r="D28" s="9"/>
      <c r="E28" s="9"/>
      <c r="F28" s="9"/>
      <c r="G28" s="9"/>
      <c r="H28" s="9"/>
      <c r="I28" s="9"/>
      <c r="J28" s="9"/>
    </row>
    <row r="29" spans="1:10" x14ac:dyDescent="0.2">
      <c r="A29" s="9"/>
      <c r="B29" s="9"/>
      <c r="C29" s="12"/>
      <c r="D29" s="9"/>
      <c r="E29" s="9"/>
      <c r="F29" s="9"/>
      <c r="G29" s="9"/>
      <c r="H29" s="9"/>
      <c r="I29" s="9"/>
      <c r="J29" s="9"/>
    </row>
    <row r="30" spans="1:10" x14ac:dyDescent="0.2">
      <c r="A30" s="9"/>
      <c r="B30" s="9"/>
      <c r="C30" s="9"/>
      <c r="D30" s="9"/>
      <c r="E30" s="9"/>
      <c r="F30" s="9"/>
      <c r="G30" s="9"/>
      <c r="H30" s="9"/>
      <c r="I30" s="9"/>
      <c r="J30" s="9"/>
    </row>
    <row r="31" spans="1:10" x14ac:dyDescent="0.2">
      <c r="A31" s="9"/>
      <c r="B31" s="9"/>
      <c r="C31" s="9"/>
      <c r="D31" s="9"/>
      <c r="E31" s="14"/>
      <c r="F31" s="9"/>
      <c r="G31" s="9"/>
      <c r="H31" s="9"/>
      <c r="I31" s="9"/>
      <c r="J31" s="9"/>
    </row>
    <row r="32" spans="1:10" x14ac:dyDescent="0.2">
      <c r="A32" s="9"/>
      <c r="B32" s="9"/>
      <c r="C32" s="9"/>
      <c r="D32" s="9"/>
      <c r="E32" s="9"/>
      <c r="F32" s="9"/>
      <c r="G32" s="9"/>
      <c r="H32" s="9"/>
      <c r="I32" s="9"/>
      <c r="J32" s="9"/>
    </row>
    <row r="33" spans="1:10" x14ac:dyDescent="0.2">
      <c r="A33" s="9"/>
      <c r="B33" s="9"/>
      <c r="C33" s="9"/>
      <c r="D33" s="12"/>
      <c r="E33" s="9"/>
      <c r="F33" s="9"/>
      <c r="G33" s="9"/>
      <c r="H33" s="9"/>
      <c r="I33" s="9"/>
      <c r="J33" s="9"/>
    </row>
    <row r="34" spans="1:10" x14ac:dyDescent="0.2">
      <c r="A34" s="9"/>
      <c r="B34" s="9"/>
      <c r="C34" s="9"/>
      <c r="D34" s="9"/>
      <c r="E34" s="9"/>
      <c r="F34" s="9"/>
      <c r="G34" s="9"/>
      <c r="H34" s="9"/>
      <c r="I34" s="9"/>
      <c r="J34" s="9"/>
    </row>
    <row r="35" spans="1:10" x14ac:dyDescent="0.2">
      <c r="A35" s="9"/>
      <c r="B35" s="9"/>
      <c r="C35" s="9"/>
      <c r="D35" s="9"/>
      <c r="E35" s="12"/>
      <c r="F35" s="9"/>
      <c r="G35" s="9"/>
      <c r="H35" s="9"/>
      <c r="I35" s="9"/>
      <c r="J35" s="9"/>
    </row>
    <row r="36" spans="1:10" x14ac:dyDescent="0.2">
      <c r="A36" s="9"/>
      <c r="B36" s="9"/>
      <c r="C36" s="9"/>
      <c r="D36" s="9"/>
      <c r="E36" s="9"/>
      <c r="F36" s="9"/>
      <c r="G36" s="9"/>
      <c r="H36" s="9"/>
      <c r="I36" s="9"/>
      <c r="J36" s="9"/>
    </row>
    <row r="37" spans="1:10" x14ac:dyDescent="0.2">
      <c r="A37" s="9"/>
      <c r="B37" s="9"/>
      <c r="C37" s="9"/>
      <c r="D37" s="9"/>
      <c r="E37" s="12"/>
      <c r="F37" s="9"/>
      <c r="G37" s="9"/>
      <c r="H37" s="9"/>
      <c r="I37" s="9"/>
      <c r="J37" s="9"/>
    </row>
    <row r="38" spans="1:10" x14ac:dyDescent="0.2">
      <c r="A38" s="9"/>
      <c r="B38" s="9"/>
      <c r="C38" s="9"/>
      <c r="D38" s="9"/>
      <c r="E38" s="12"/>
      <c r="F38" s="9"/>
      <c r="G38" s="9"/>
      <c r="H38" s="9"/>
      <c r="I38" s="9"/>
      <c r="J38" s="9"/>
    </row>
    <row r="39" spans="1:10" s="9" customFormat="1" ht="3.6" customHeight="1" x14ac:dyDescent="0.2">
      <c r="E39" s="12"/>
    </row>
    <row r="40" spans="1:10" x14ac:dyDescent="0.2">
      <c r="A40" s="9"/>
      <c r="B40" s="9"/>
      <c r="C40" s="9"/>
      <c r="D40" s="9"/>
      <c r="E40" s="12"/>
      <c r="F40" s="9"/>
      <c r="G40" s="9"/>
      <c r="H40" s="9"/>
      <c r="I40" s="9"/>
      <c r="J40" s="9"/>
    </row>
    <row r="41" spans="1:10" x14ac:dyDescent="0.2">
      <c r="A41" s="9"/>
      <c r="B41" s="9"/>
      <c r="C41" s="9"/>
      <c r="D41" s="9"/>
      <c r="E41" s="12"/>
      <c r="F41" s="9"/>
      <c r="G41" s="9"/>
      <c r="H41" s="9"/>
      <c r="I41" s="9"/>
      <c r="J41" s="9"/>
    </row>
    <row r="42" spans="1:10" x14ac:dyDescent="0.2">
      <c r="A42" s="9"/>
      <c r="B42" s="9"/>
      <c r="C42" s="9"/>
      <c r="D42" s="9"/>
      <c r="E42" s="9"/>
      <c r="F42" s="9"/>
      <c r="G42" s="9"/>
      <c r="H42" s="9"/>
      <c r="I42" s="9"/>
      <c r="J42" s="9"/>
    </row>
    <row r="43" spans="1:10" x14ac:dyDescent="0.2">
      <c r="A43" s="11"/>
      <c r="B43" s="9"/>
      <c r="C43" s="9"/>
      <c r="D43" s="9"/>
      <c r="E43" s="9"/>
      <c r="F43" s="9"/>
      <c r="G43" s="9"/>
      <c r="H43" s="9"/>
      <c r="I43" s="9"/>
      <c r="J43" s="9"/>
    </row>
    <row r="44" spans="1:10" x14ac:dyDescent="0.2">
      <c r="A44" s="9"/>
      <c r="B44" s="9"/>
      <c r="C44" s="9"/>
      <c r="D44" s="9"/>
      <c r="E44" s="9"/>
      <c r="F44" s="9"/>
      <c r="G44" s="9"/>
      <c r="H44" s="9"/>
      <c r="I44" s="9"/>
      <c r="J44" s="9"/>
    </row>
    <row r="45" spans="1:10" x14ac:dyDescent="0.2">
      <c r="A45" s="9"/>
      <c r="B45" s="9"/>
      <c r="C45" s="12"/>
      <c r="D45" s="9"/>
      <c r="E45" s="12"/>
      <c r="F45" s="9"/>
      <c r="G45" s="9"/>
      <c r="H45" s="12"/>
      <c r="I45" s="9"/>
      <c r="J45" s="9"/>
    </row>
    <row r="46" spans="1:10" s="9" customFormat="1" ht="3.6" customHeight="1" x14ac:dyDescent="0.2">
      <c r="A46" s="15"/>
      <c r="B46" s="15"/>
      <c r="C46" s="12"/>
      <c r="E46" s="12"/>
      <c r="H46" s="12"/>
    </row>
    <row r="47" spans="1:10" x14ac:dyDescent="0.2">
      <c r="A47" s="15"/>
      <c r="B47" s="15"/>
      <c r="C47" s="12"/>
      <c r="D47" s="9"/>
      <c r="E47" s="4"/>
      <c r="F47" s="4"/>
      <c r="G47" s="4"/>
      <c r="H47" s="4"/>
      <c r="I47" s="4"/>
      <c r="J47" s="4"/>
    </row>
    <row r="48" spans="1:10" x14ac:dyDescent="0.2">
      <c r="A48" s="9"/>
      <c r="B48" s="9"/>
      <c r="C48" s="9"/>
      <c r="D48" s="9"/>
      <c r="E48" s="9"/>
      <c r="F48" s="9"/>
      <c r="G48" s="9"/>
      <c r="H48" s="9"/>
      <c r="I48" s="9"/>
      <c r="J48" s="9"/>
    </row>
    <row r="49" spans="1:11" x14ac:dyDescent="0.2">
      <c r="A49" s="9"/>
      <c r="B49" s="9"/>
      <c r="C49" s="9"/>
      <c r="D49" s="9"/>
      <c r="E49" s="9"/>
      <c r="F49" s="9"/>
      <c r="G49" s="9"/>
      <c r="H49" s="9"/>
      <c r="I49" s="9"/>
      <c r="J49" s="9"/>
    </row>
    <row r="50" spans="1:11" x14ac:dyDescent="0.2">
      <c r="A50" s="9"/>
      <c r="B50" s="9"/>
      <c r="C50" s="9"/>
      <c r="D50" s="9"/>
      <c r="E50" s="9"/>
      <c r="F50" s="9"/>
      <c r="G50" s="9"/>
      <c r="H50" s="9"/>
      <c r="I50" s="9"/>
      <c r="J50" s="9"/>
    </row>
    <row r="51" spans="1:11" x14ac:dyDescent="0.2">
      <c r="A51" s="9"/>
      <c r="B51" s="9"/>
      <c r="C51" s="12"/>
      <c r="D51" s="9"/>
      <c r="E51" s="9"/>
      <c r="F51" s="9"/>
      <c r="G51" s="9"/>
      <c r="H51" s="9"/>
      <c r="I51" s="9"/>
      <c r="J51" s="9"/>
    </row>
    <row r="52" spans="1:11" x14ac:dyDescent="0.2">
      <c r="A52" s="9"/>
      <c r="B52" s="9"/>
      <c r="C52" s="12"/>
      <c r="D52" s="2"/>
      <c r="E52" s="4"/>
      <c r="F52" s="4"/>
      <c r="G52" s="4"/>
      <c r="H52" s="4"/>
      <c r="I52" s="4"/>
      <c r="J52" s="4"/>
    </row>
    <row r="53" spans="1:11" x14ac:dyDescent="0.2">
      <c r="A53" s="9"/>
      <c r="B53" s="9"/>
      <c r="C53" s="12"/>
      <c r="D53" s="9"/>
      <c r="E53" s="9"/>
      <c r="F53" s="9"/>
      <c r="G53" s="9"/>
      <c r="H53" s="9"/>
      <c r="I53" s="9"/>
      <c r="J53" s="9"/>
    </row>
    <row r="54" spans="1:11" x14ac:dyDescent="0.2">
      <c r="A54" s="9"/>
      <c r="B54" s="9"/>
      <c r="C54" s="12"/>
      <c r="D54" s="2"/>
      <c r="E54" s="12"/>
      <c r="F54" s="9"/>
      <c r="G54" s="9"/>
      <c r="H54" s="9"/>
      <c r="I54" s="9"/>
      <c r="J54" s="9"/>
    </row>
    <row r="55" spans="1:11" x14ac:dyDescent="0.2">
      <c r="A55" s="9"/>
      <c r="B55" s="9"/>
      <c r="C55" s="12"/>
      <c r="D55" s="9"/>
      <c r="E55" s="9"/>
      <c r="F55" s="9"/>
      <c r="G55" s="9"/>
      <c r="H55" s="9"/>
      <c r="I55" s="9"/>
      <c r="J55" s="9"/>
    </row>
    <row r="56" spans="1:11" ht="12.75" thickBot="1" x14ac:dyDescent="0.25">
      <c r="A56" s="9"/>
      <c r="B56" s="9"/>
      <c r="C56" s="12"/>
      <c r="D56" s="9"/>
      <c r="E56" s="9"/>
      <c r="F56" s="9"/>
      <c r="G56" s="9"/>
      <c r="H56" s="9"/>
      <c r="I56" s="9"/>
      <c r="J56" s="9"/>
    </row>
    <row r="57" spans="1:11" ht="15" x14ac:dyDescent="0.25">
      <c r="A57" s="280" t="s">
        <v>273</v>
      </c>
      <c r="B57" s="280"/>
      <c r="C57" s="280"/>
      <c r="D57" s="280"/>
      <c r="E57" s="280"/>
      <c r="F57" s="280"/>
      <c r="G57" s="280"/>
      <c r="H57" s="280"/>
      <c r="I57" s="280"/>
      <c r="J57" s="280"/>
    </row>
    <row r="58" spans="1:11" ht="15" x14ac:dyDescent="0.25">
      <c r="A58" s="281" t="s">
        <v>305</v>
      </c>
      <c r="B58" s="281"/>
      <c r="C58" s="281"/>
      <c r="D58" s="281"/>
      <c r="E58" s="281"/>
      <c r="F58" s="281"/>
      <c r="G58" s="281"/>
      <c r="H58" s="281"/>
      <c r="I58" s="281"/>
      <c r="J58" s="281"/>
    </row>
    <row r="59" spans="1:11" x14ac:dyDescent="0.2">
      <c r="A59" s="9"/>
      <c r="B59" s="9"/>
      <c r="C59" s="9"/>
      <c r="D59" s="9"/>
      <c r="E59" s="9"/>
      <c r="F59" s="9"/>
      <c r="G59" s="9"/>
      <c r="H59" s="9"/>
      <c r="I59" s="9"/>
      <c r="J59" s="9"/>
    </row>
    <row r="60" spans="1:11" x14ac:dyDescent="0.2">
      <c r="A60" s="9"/>
      <c r="B60" s="9"/>
      <c r="C60" s="9"/>
      <c r="D60" s="9"/>
      <c r="E60" s="9"/>
      <c r="F60" s="16"/>
      <c r="G60" s="16"/>
      <c r="H60" s="16"/>
      <c r="I60" s="16"/>
      <c r="J60" s="16"/>
      <c r="K60" s="17"/>
    </row>
    <row r="61" spans="1:11" x14ac:dyDescent="0.2">
      <c r="A61" s="9"/>
      <c r="B61" s="9"/>
      <c r="C61" s="9"/>
      <c r="D61" s="9"/>
      <c r="E61" s="9"/>
      <c r="F61" s="16"/>
      <c r="G61" s="16"/>
      <c r="H61" s="16"/>
      <c r="I61" s="16"/>
      <c r="J61" s="16"/>
      <c r="K61" s="17"/>
    </row>
    <row r="62" spans="1:11" x14ac:dyDescent="0.2">
      <c r="A62" s="9"/>
      <c r="B62" s="9"/>
      <c r="C62" s="9"/>
      <c r="D62" s="9"/>
      <c r="E62" s="9"/>
      <c r="F62" s="9"/>
      <c r="G62" s="9"/>
      <c r="H62" s="9"/>
      <c r="I62" s="9"/>
      <c r="J62" s="9"/>
    </row>
    <row r="63" spans="1:11" x14ac:dyDescent="0.2">
      <c r="A63" s="9"/>
      <c r="B63" s="9"/>
      <c r="C63" s="9"/>
      <c r="D63" s="9"/>
      <c r="E63" s="12"/>
      <c r="F63" s="9"/>
      <c r="G63" s="9"/>
      <c r="H63" s="9"/>
      <c r="I63" s="9"/>
      <c r="J63" s="9"/>
    </row>
    <row r="64" spans="1:11" x14ac:dyDescent="0.2">
      <c r="A64" s="9"/>
      <c r="B64" s="9"/>
      <c r="C64" s="9"/>
      <c r="D64" s="9"/>
      <c r="E64" s="12"/>
      <c r="F64" s="9"/>
      <c r="G64" s="9"/>
      <c r="H64" s="9"/>
      <c r="I64" s="9"/>
      <c r="J64" s="9"/>
    </row>
    <row r="65" spans="1:10" x14ac:dyDescent="0.2">
      <c r="A65" s="9"/>
      <c r="B65" s="9"/>
      <c r="C65" s="9"/>
      <c r="D65" s="9"/>
      <c r="E65" s="12"/>
      <c r="F65" s="9"/>
      <c r="G65" s="9"/>
      <c r="H65" s="9"/>
      <c r="I65" s="9"/>
      <c r="J65" s="9"/>
    </row>
    <row r="66" spans="1:10" x14ac:dyDescent="0.2">
      <c r="A66" s="9"/>
      <c r="B66" s="9"/>
      <c r="C66" s="9"/>
      <c r="D66" s="9"/>
      <c r="E66" s="12"/>
      <c r="F66" s="9"/>
      <c r="G66" s="9"/>
      <c r="H66" s="9"/>
      <c r="I66" s="9"/>
      <c r="J66" s="9"/>
    </row>
    <row r="67" spans="1:10" x14ac:dyDescent="0.2">
      <c r="A67" s="9"/>
      <c r="B67" s="9"/>
      <c r="C67" s="9"/>
      <c r="D67" s="9"/>
      <c r="E67" s="12"/>
      <c r="F67" s="9"/>
      <c r="G67" s="9"/>
      <c r="H67" s="9"/>
      <c r="I67" s="9"/>
      <c r="J67" s="9"/>
    </row>
    <row r="68" spans="1:10" x14ac:dyDescent="0.2">
      <c r="A68" s="9"/>
      <c r="B68" s="9"/>
      <c r="C68" s="9"/>
      <c r="D68" s="9"/>
      <c r="E68" s="12"/>
      <c r="F68" s="9"/>
      <c r="G68" s="9"/>
      <c r="H68" s="9"/>
      <c r="I68" s="9"/>
      <c r="J68" s="9"/>
    </row>
  </sheetData>
  <sheetProtection algorithmName="SHA-512" hashValue="iZ2psP0ML5O2Wy2q3pYVgjWiMcWaTYsnKeGUhmPluM1JXnCGl9lYhE48m+kLf8mmlrh19A5fohwzOvfT0QOVeQ==" saltValue="KAS9gNG1ych6q7U7CFbE0A==" spinCount="100000" sheet="1" selectLockedCells="1" selectUnlockedCells="1"/>
  <mergeCells count="4">
    <mergeCell ref="A1:I1"/>
    <mergeCell ref="A2:I2"/>
    <mergeCell ref="A57:J57"/>
    <mergeCell ref="A58:J58"/>
  </mergeCells>
  <printOptions horizontalCentered="1" verticalCentered="1"/>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M71"/>
  <sheetViews>
    <sheetView view="pageBreakPreview" zoomScaleNormal="100" zoomScaleSheetLayoutView="100" workbookViewId="0">
      <selection activeCell="C3" sqref="C3:I3"/>
    </sheetView>
  </sheetViews>
  <sheetFormatPr defaultColWidth="8.85546875" defaultRowHeight="12" x14ac:dyDescent="0.2"/>
  <cols>
    <col min="1" max="1" width="8.85546875" style="27"/>
    <col min="2" max="2" width="11.28515625" style="27" customWidth="1"/>
    <col min="3" max="3" width="8.85546875" style="27"/>
    <col min="4" max="4" width="10" style="27" customWidth="1"/>
    <col min="5" max="11" width="8.85546875" style="27"/>
    <col min="12" max="12" width="12" style="22" customWidth="1"/>
    <col min="13" max="16384" width="8.85546875" style="27"/>
  </cols>
  <sheetData>
    <row r="1" spans="1:12" s="18" customFormat="1" ht="12.75" x14ac:dyDescent="0.2">
      <c r="A1" s="282" t="str">
        <f>DISCLAIMER!A1</f>
        <v>Design Review Checklist for Wet Detention Ponds</v>
      </c>
      <c r="B1" s="282"/>
      <c r="C1" s="282"/>
      <c r="D1" s="282"/>
      <c r="E1" s="282"/>
      <c r="F1" s="282"/>
      <c r="G1" s="282"/>
      <c r="H1" s="282"/>
      <c r="I1" s="282"/>
      <c r="L1" s="19"/>
    </row>
    <row r="2" spans="1:12" s="18" customFormat="1" ht="12.75" x14ac:dyDescent="0.2">
      <c r="A2" s="285" t="s">
        <v>166</v>
      </c>
      <c r="B2" s="285"/>
      <c r="C2" s="285"/>
      <c r="D2" s="285"/>
      <c r="E2" s="285"/>
      <c r="F2" s="285"/>
      <c r="G2" s="285"/>
      <c r="H2" s="285"/>
      <c r="I2" s="285"/>
      <c r="L2" s="19"/>
    </row>
    <row r="3" spans="1:12" s="20" customFormat="1" x14ac:dyDescent="0.2">
      <c r="B3" s="21" t="s">
        <v>154</v>
      </c>
      <c r="C3" s="283"/>
      <c r="D3" s="283"/>
      <c r="E3" s="283"/>
      <c r="F3" s="283"/>
      <c r="G3" s="283"/>
      <c r="H3" s="283"/>
      <c r="I3" s="283"/>
      <c r="L3" s="22"/>
    </row>
    <row r="4" spans="1:12" s="23" customFormat="1" ht="3.6" customHeight="1" x14ac:dyDescent="0.2">
      <c r="B4" s="24"/>
      <c r="C4" s="25"/>
      <c r="D4" s="25"/>
      <c r="E4" s="25"/>
      <c r="F4" s="25"/>
      <c r="G4" s="25"/>
      <c r="H4" s="25"/>
      <c r="I4" s="25"/>
      <c r="L4" s="26"/>
    </row>
    <row r="5" spans="1:12" x14ac:dyDescent="0.2">
      <c r="A5" s="288" t="s">
        <v>97</v>
      </c>
      <c r="B5" s="288"/>
      <c r="C5" s="283"/>
      <c r="D5" s="283"/>
      <c r="E5" s="283"/>
      <c r="F5" s="21" t="s">
        <v>99</v>
      </c>
      <c r="G5" s="284">
        <f ca="1">TODAY()</f>
        <v>44595</v>
      </c>
      <c r="H5" s="283"/>
      <c r="I5" s="283"/>
    </row>
    <row r="6" spans="1:12" s="28" customFormat="1" ht="3" customHeight="1" x14ac:dyDescent="0.2">
      <c r="A6" s="24"/>
      <c r="B6" s="24"/>
      <c r="C6" s="25"/>
      <c r="D6" s="25"/>
      <c r="E6" s="25"/>
      <c r="F6" s="24"/>
      <c r="G6" s="25"/>
      <c r="H6" s="25"/>
      <c r="I6" s="25"/>
      <c r="L6" s="26"/>
    </row>
    <row r="7" spans="1:12" x14ac:dyDescent="0.2">
      <c r="A7" s="288" t="s">
        <v>98</v>
      </c>
      <c r="B7" s="288"/>
      <c r="C7" s="283"/>
      <c r="D7" s="283"/>
      <c r="E7" s="283"/>
      <c r="F7" s="21" t="s">
        <v>100</v>
      </c>
      <c r="G7" s="283"/>
      <c r="H7" s="283"/>
      <c r="I7" s="283"/>
    </row>
    <row r="8" spans="1:12" s="28" customFormat="1" ht="3.6" customHeight="1" x14ac:dyDescent="0.2">
      <c r="A8" s="24"/>
      <c r="B8" s="24"/>
      <c r="C8" s="25"/>
      <c r="D8" s="25"/>
      <c r="E8" s="25"/>
      <c r="F8" s="24"/>
      <c r="G8" s="25"/>
      <c r="H8" s="25"/>
      <c r="I8" s="25"/>
      <c r="L8" s="26"/>
    </row>
    <row r="9" spans="1:12" x14ac:dyDescent="0.2">
      <c r="A9" s="290" t="s">
        <v>308</v>
      </c>
      <c r="B9" s="290"/>
      <c r="C9" s="290"/>
      <c r="D9" s="290"/>
      <c r="E9" s="290"/>
      <c r="F9" s="290"/>
      <c r="G9" s="290"/>
      <c r="H9" s="290"/>
      <c r="I9" s="290"/>
      <c r="J9" s="290"/>
    </row>
    <row r="10" spans="1:12" ht="3.6" customHeight="1" x14ac:dyDescent="0.2"/>
    <row r="11" spans="1:12" x14ac:dyDescent="0.2">
      <c r="A11" s="29" t="s">
        <v>36</v>
      </c>
      <c r="B11" s="30"/>
      <c r="C11" s="30"/>
      <c r="D11" s="30"/>
      <c r="E11" s="30"/>
      <c r="F11" s="30"/>
      <c r="G11" s="30"/>
      <c r="H11" s="30"/>
      <c r="I11" s="30"/>
      <c r="J11" s="30"/>
    </row>
    <row r="13" spans="1:12" x14ac:dyDescent="0.2">
      <c r="A13" s="27" t="s">
        <v>13</v>
      </c>
      <c r="D13" s="20" t="s">
        <v>14</v>
      </c>
      <c r="E13" s="31"/>
      <c r="F13" s="27" t="s">
        <v>15</v>
      </c>
    </row>
    <row r="14" spans="1:12" x14ac:dyDescent="0.2">
      <c r="E14" s="31"/>
      <c r="F14" s="27" t="s">
        <v>16</v>
      </c>
    </row>
    <row r="15" spans="1:12" s="28" customFormat="1" ht="3.6" customHeight="1" x14ac:dyDescent="0.2">
      <c r="E15" s="26"/>
      <c r="L15" s="26"/>
    </row>
    <row r="16" spans="1:12" x14ac:dyDescent="0.2">
      <c r="F16" s="31"/>
      <c r="G16" s="27" t="s">
        <v>162</v>
      </c>
    </row>
    <row r="18" spans="1:13" x14ac:dyDescent="0.2">
      <c r="A18" s="27" t="s">
        <v>274</v>
      </c>
      <c r="D18" s="20" t="s">
        <v>18</v>
      </c>
      <c r="E18" s="31"/>
      <c r="F18" s="20" t="s">
        <v>20</v>
      </c>
      <c r="G18" s="31"/>
      <c r="H18" s="32"/>
      <c r="I18" s="32"/>
    </row>
    <row r="19" spans="1:13" x14ac:dyDescent="0.2">
      <c r="A19" s="27" t="s">
        <v>223</v>
      </c>
      <c r="D19" s="20" t="s">
        <v>19</v>
      </c>
      <c r="E19" s="31"/>
      <c r="F19" s="20" t="s">
        <v>21</v>
      </c>
      <c r="G19" s="31"/>
      <c r="H19" s="32"/>
      <c r="I19" s="32"/>
    </row>
    <row r="21" spans="1:13" x14ac:dyDescent="0.2">
      <c r="A21" s="27" t="s">
        <v>22</v>
      </c>
    </row>
    <row r="22" spans="1:13" x14ac:dyDescent="0.2">
      <c r="A22" s="287"/>
      <c r="B22" s="287"/>
      <c r="C22" s="287"/>
      <c r="D22" s="287"/>
      <c r="E22" s="287"/>
      <c r="F22" s="287"/>
      <c r="G22" s="287"/>
      <c r="H22" s="287"/>
      <c r="I22" s="287"/>
      <c r="J22" s="287"/>
    </row>
    <row r="24" spans="1:13" x14ac:dyDescent="0.2">
      <c r="A24" s="27" t="s">
        <v>23</v>
      </c>
      <c r="D24" s="20" t="s">
        <v>24</v>
      </c>
      <c r="E24" s="31"/>
      <c r="G24" s="20" t="s">
        <v>25</v>
      </c>
      <c r="H24" s="31"/>
    </row>
    <row r="25" spans="1:13" x14ac:dyDescent="0.2">
      <c r="A25" s="27" t="s">
        <v>223</v>
      </c>
      <c r="D25" s="20" t="s">
        <v>26</v>
      </c>
      <c r="E25" s="31"/>
      <c r="G25" s="20" t="s">
        <v>27</v>
      </c>
      <c r="H25" s="31"/>
    </row>
    <row r="26" spans="1:13" s="28" customFormat="1" ht="3" customHeight="1" x14ac:dyDescent="0.2">
      <c r="D26" s="23"/>
      <c r="E26" s="26"/>
      <c r="G26" s="23"/>
      <c r="H26" s="26"/>
      <c r="L26" s="26"/>
    </row>
    <row r="27" spans="1:13" x14ac:dyDescent="0.2">
      <c r="A27" s="27" t="s">
        <v>87</v>
      </c>
      <c r="C27" s="287"/>
      <c r="D27" s="287"/>
      <c r="E27" s="287"/>
      <c r="F27" s="287"/>
      <c r="G27" s="287"/>
      <c r="H27" s="287"/>
      <c r="I27" s="287"/>
      <c r="J27" s="287"/>
    </row>
    <row r="28" spans="1:13" x14ac:dyDescent="0.2">
      <c r="L28" s="33" t="s">
        <v>222</v>
      </c>
    </row>
    <row r="29" spans="1:13" x14ac:dyDescent="0.2">
      <c r="A29" s="27" t="s">
        <v>28</v>
      </c>
      <c r="C29" s="26">
        <f>IF(L29=0,'DE_1 - Watershed Info'!C44,L29)</f>
        <v>1</v>
      </c>
      <c r="D29" s="27" t="s">
        <v>29</v>
      </c>
      <c r="E29" s="34" t="str">
        <f>IF(L29&gt;0,"MANUAL"," ")</f>
        <v xml:space="preserve"> </v>
      </c>
      <c r="L29" s="35"/>
      <c r="M29" s="27" t="s">
        <v>225</v>
      </c>
    </row>
    <row r="31" spans="1:13" x14ac:dyDescent="0.2">
      <c r="A31" s="27" t="s">
        <v>33</v>
      </c>
      <c r="E31" s="36"/>
      <c r="F31" s="27" t="s">
        <v>30</v>
      </c>
      <c r="G31" s="27" t="str">
        <f>IF(L5&gt;0,"MANUAL"," ")</f>
        <v xml:space="preserve"> </v>
      </c>
    </row>
    <row r="33" spans="1:12" x14ac:dyDescent="0.2">
      <c r="A33" s="27" t="s">
        <v>31</v>
      </c>
      <c r="D33" s="31"/>
      <c r="E33" s="27" t="s">
        <v>32</v>
      </c>
    </row>
    <row r="35" spans="1:12" x14ac:dyDescent="0.2">
      <c r="A35" s="27" t="s">
        <v>34</v>
      </c>
      <c r="E35" s="31"/>
      <c r="F35" s="27" t="s">
        <v>35</v>
      </c>
    </row>
    <row r="37" spans="1:12" x14ac:dyDescent="0.2">
      <c r="A37" s="27" t="s">
        <v>58</v>
      </c>
      <c r="E37" s="31"/>
      <c r="F37" s="27" t="s">
        <v>35</v>
      </c>
    </row>
    <row r="38" spans="1:12" x14ac:dyDescent="0.2">
      <c r="A38" s="27" t="s">
        <v>161</v>
      </c>
      <c r="E38" s="31"/>
      <c r="F38" s="27" t="s">
        <v>35</v>
      </c>
    </row>
    <row r="39" spans="1:12" s="28" customFormat="1" ht="3.6" customHeight="1" x14ac:dyDescent="0.2">
      <c r="E39" s="26"/>
      <c r="L39" s="26"/>
    </row>
    <row r="40" spans="1:12" x14ac:dyDescent="0.2">
      <c r="A40" s="27" t="s">
        <v>193</v>
      </c>
      <c r="E40" s="31"/>
      <c r="F40" s="27" t="s">
        <v>35</v>
      </c>
    </row>
    <row r="41" spans="1:12" x14ac:dyDescent="0.2">
      <c r="A41" s="27" t="s">
        <v>194</v>
      </c>
      <c r="E41" s="31"/>
      <c r="F41" s="27" t="s">
        <v>35</v>
      </c>
    </row>
    <row r="43" spans="1:12" x14ac:dyDescent="0.2">
      <c r="A43" s="37" t="s">
        <v>285</v>
      </c>
      <c r="B43" s="38"/>
      <c r="C43" s="38"/>
      <c r="D43" s="38"/>
      <c r="E43" s="38"/>
      <c r="F43" s="38"/>
      <c r="G43" s="38"/>
      <c r="H43" s="38"/>
      <c r="I43" s="38"/>
      <c r="J43" s="38"/>
    </row>
    <row r="45" spans="1:12" x14ac:dyDescent="0.2">
      <c r="A45" s="27" t="s">
        <v>37</v>
      </c>
      <c r="C45" s="39"/>
      <c r="D45" s="27" t="s">
        <v>38</v>
      </c>
      <c r="E45" s="39"/>
      <c r="F45" s="27" t="s">
        <v>39</v>
      </c>
      <c r="H45" s="39"/>
      <c r="I45" s="27" t="s">
        <v>40</v>
      </c>
    </row>
    <row r="46" spans="1:12" s="28" customFormat="1" ht="3.6" customHeight="1" x14ac:dyDescent="0.2">
      <c r="A46" s="291" t="s">
        <v>223</v>
      </c>
      <c r="B46" s="291"/>
      <c r="C46" s="26"/>
      <c r="E46" s="26"/>
      <c r="H46" s="26"/>
      <c r="L46" s="26"/>
    </row>
    <row r="47" spans="1:12" x14ac:dyDescent="0.2">
      <c r="A47" s="291"/>
      <c r="B47" s="291"/>
      <c r="C47" s="39"/>
      <c r="D47" s="27" t="s">
        <v>27</v>
      </c>
      <c r="E47" s="289"/>
      <c r="F47" s="289"/>
      <c r="G47" s="289"/>
      <c r="H47" s="289"/>
      <c r="I47" s="289"/>
      <c r="J47" s="289"/>
    </row>
    <row r="48" spans="1:12" x14ac:dyDescent="0.2">
      <c r="A48" s="291"/>
      <c r="B48" s="291"/>
    </row>
    <row r="49" spans="1:11" x14ac:dyDescent="0.2">
      <c r="C49" s="22" t="s">
        <v>163</v>
      </c>
    </row>
    <row r="50" spans="1:11" x14ac:dyDescent="0.2">
      <c r="A50" s="27" t="s">
        <v>164</v>
      </c>
      <c r="C50" s="39"/>
      <c r="D50" s="20" t="s">
        <v>165</v>
      </c>
      <c r="E50" s="289"/>
      <c r="F50" s="289"/>
      <c r="G50" s="289"/>
      <c r="H50" s="289"/>
      <c r="I50" s="289"/>
      <c r="J50" s="289"/>
    </row>
    <row r="51" spans="1:11" x14ac:dyDescent="0.2">
      <c r="A51" s="28" t="s">
        <v>292</v>
      </c>
      <c r="C51" s="39"/>
    </row>
    <row r="52" spans="1:11" x14ac:dyDescent="0.2">
      <c r="A52" s="28" t="s">
        <v>293</v>
      </c>
      <c r="C52" s="39"/>
      <c r="D52" s="20"/>
      <c r="E52" s="40"/>
    </row>
    <row r="53" spans="1:11" x14ac:dyDescent="0.2">
      <c r="A53" s="27" t="s">
        <v>41</v>
      </c>
      <c r="C53" s="39"/>
    </row>
    <row r="54" spans="1:11" x14ac:dyDescent="0.2">
      <c r="A54" s="28" t="s">
        <v>291</v>
      </c>
      <c r="C54" s="39"/>
    </row>
    <row r="55" spans="1:11" x14ac:dyDescent="0.2">
      <c r="A55" s="27" t="s">
        <v>42</v>
      </c>
      <c r="C55" s="39"/>
    </row>
    <row r="56" spans="1:11" x14ac:dyDescent="0.2">
      <c r="A56" s="27" t="s">
        <v>306</v>
      </c>
      <c r="C56" s="39"/>
    </row>
    <row r="57" spans="1:11" x14ac:dyDescent="0.2">
      <c r="A57" s="27" t="s">
        <v>43</v>
      </c>
      <c r="C57" s="39"/>
    </row>
    <row r="59" spans="1:11" x14ac:dyDescent="0.2">
      <c r="A59" s="27" t="s">
        <v>224</v>
      </c>
      <c r="D59" s="289"/>
      <c r="E59" s="289"/>
      <c r="F59" s="289"/>
      <c r="G59" s="289"/>
      <c r="H59" s="289"/>
      <c r="I59" s="289"/>
      <c r="J59" s="289"/>
    </row>
    <row r="60" spans="1:11" x14ac:dyDescent="0.2">
      <c r="A60" s="27" t="s">
        <v>214</v>
      </c>
      <c r="F60" s="286"/>
      <c r="G60" s="286"/>
      <c r="H60" s="286"/>
      <c r="I60" s="286"/>
      <c r="J60" s="286"/>
      <c r="K60" s="41"/>
    </row>
    <row r="61" spans="1:11" x14ac:dyDescent="0.2">
      <c r="F61" s="286"/>
      <c r="G61" s="286"/>
      <c r="H61" s="286"/>
      <c r="I61" s="286"/>
      <c r="J61" s="286"/>
      <c r="K61" s="41"/>
    </row>
    <row r="63" spans="1:11" x14ac:dyDescent="0.2">
      <c r="A63" s="27" t="s">
        <v>44</v>
      </c>
      <c r="C63" s="27" t="s">
        <v>45</v>
      </c>
      <c r="E63" s="39"/>
      <c r="F63" s="27" t="s">
        <v>47</v>
      </c>
    </row>
    <row r="64" spans="1:11" x14ac:dyDescent="0.2">
      <c r="C64" s="27" t="s">
        <v>46</v>
      </c>
      <c r="E64" s="39"/>
      <c r="F64" s="27" t="s">
        <v>51</v>
      </c>
    </row>
    <row r="65" spans="1:10" x14ac:dyDescent="0.2">
      <c r="C65" s="27" t="s">
        <v>48</v>
      </c>
      <c r="E65" s="39"/>
      <c r="F65" s="27" t="s">
        <v>52</v>
      </c>
    </row>
    <row r="66" spans="1:10" x14ac:dyDescent="0.2">
      <c r="C66" s="27" t="s">
        <v>49</v>
      </c>
      <c r="E66" s="39"/>
      <c r="F66" s="27" t="s">
        <v>50</v>
      </c>
    </row>
    <row r="67" spans="1:10" x14ac:dyDescent="0.2">
      <c r="C67" s="27" t="s">
        <v>53</v>
      </c>
      <c r="E67" s="39"/>
      <c r="F67" s="27" t="s">
        <v>54</v>
      </c>
    </row>
    <row r="68" spans="1:10" x14ac:dyDescent="0.2">
      <c r="C68" s="27" t="s">
        <v>55</v>
      </c>
      <c r="E68" s="39"/>
      <c r="F68" s="27" t="s">
        <v>57</v>
      </c>
    </row>
    <row r="69" spans="1:10" ht="12.75" thickBot="1" x14ac:dyDescent="0.25"/>
    <row r="70" spans="1:10" ht="15" x14ac:dyDescent="0.25">
      <c r="A70" s="42" t="s">
        <v>255</v>
      </c>
      <c r="B70" s="42"/>
      <c r="C70" s="42"/>
      <c r="D70" s="42"/>
      <c r="E70" s="42"/>
      <c r="F70" s="42"/>
      <c r="G70" s="42"/>
      <c r="H70" s="42"/>
      <c r="I70" s="42"/>
      <c r="J70" s="42"/>
    </row>
    <row r="71" spans="1:10" ht="15" x14ac:dyDescent="0.25">
      <c r="A71" s="43" t="s">
        <v>256</v>
      </c>
      <c r="B71" s="43"/>
      <c r="C71" s="43"/>
      <c r="D71" s="43"/>
      <c r="E71" s="43"/>
      <c r="F71" s="43"/>
      <c r="G71" s="43"/>
      <c r="H71" s="43"/>
      <c r="I71" s="43"/>
      <c r="J71" s="44" t="s">
        <v>307</v>
      </c>
    </row>
  </sheetData>
  <sheetProtection algorithmName="SHA-512" hashValue="9uhh+O12W4zw1BG+0wf8gmtpw1Er9021VC/8dccRrKTHGD8AF3GAJqokWWyMlNqP93N2SGSXA+OsrS3bfbR4KQ==" saltValue="+Z+ZtI9m/ppbaY28Ju451A==" spinCount="100000" sheet="1" selectLockedCells="1"/>
  <mergeCells count="17">
    <mergeCell ref="F60:J61"/>
    <mergeCell ref="C3:I3"/>
    <mergeCell ref="C27:J27"/>
    <mergeCell ref="A22:J22"/>
    <mergeCell ref="A5:B5"/>
    <mergeCell ref="A7:B7"/>
    <mergeCell ref="E47:J47"/>
    <mergeCell ref="E50:J50"/>
    <mergeCell ref="A9:J9"/>
    <mergeCell ref="A46:B48"/>
    <mergeCell ref="D59:J59"/>
    <mergeCell ref="A1:I1"/>
    <mergeCell ref="C5:E5"/>
    <mergeCell ref="C7:E7"/>
    <mergeCell ref="G5:I5"/>
    <mergeCell ref="G7:I7"/>
    <mergeCell ref="A2:I2"/>
  </mergeCells>
  <printOptions horizontalCentered="1" verticalCentered="1"/>
  <pageMargins left="0.25" right="0.25"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L79"/>
  <sheetViews>
    <sheetView showZeros="0" view="pageBreakPreview" zoomScale="141" zoomScaleNormal="100" zoomScaleSheetLayoutView="100" workbookViewId="0">
      <selection activeCell="K24" sqref="K24"/>
    </sheetView>
  </sheetViews>
  <sheetFormatPr defaultColWidth="8.85546875" defaultRowHeight="12" x14ac:dyDescent="0.2"/>
  <cols>
    <col min="1" max="1" width="17.140625" style="27" customWidth="1"/>
    <col min="2" max="9" width="9.28515625" style="27" customWidth="1"/>
    <col min="10" max="10" width="8.85546875" style="27"/>
    <col min="11" max="11" width="14.28515625" style="27" customWidth="1"/>
    <col min="12" max="12" width="23.5703125" style="27" customWidth="1"/>
    <col min="13" max="16384" width="8.85546875" style="27"/>
  </cols>
  <sheetData>
    <row r="1" spans="1:12" s="18" customFormat="1" ht="12.75" x14ac:dyDescent="0.2">
      <c r="A1" s="282" t="str">
        <f>'CL_1 - Site Screening'!A1:I1</f>
        <v>Design Review Checklist for Wet Detention Ponds</v>
      </c>
      <c r="B1" s="282"/>
      <c r="C1" s="282"/>
      <c r="D1" s="282"/>
      <c r="E1" s="282"/>
      <c r="F1" s="282"/>
      <c r="G1" s="282"/>
      <c r="H1" s="282"/>
      <c r="I1" s="282"/>
    </row>
    <row r="2" spans="1:12" s="18" customFormat="1" ht="12.75" x14ac:dyDescent="0.2">
      <c r="A2" s="285" t="s">
        <v>167</v>
      </c>
      <c r="B2" s="285"/>
      <c r="C2" s="285"/>
      <c r="D2" s="285"/>
      <c r="E2" s="285"/>
      <c r="F2" s="285"/>
      <c r="G2" s="285"/>
      <c r="H2" s="285"/>
      <c r="I2" s="285"/>
    </row>
    <row r="3" spans="1:12" s="20" customFormat="1" x14ac:dyDescent="0.2">
      <c r="B3" s="21" t="s">
        <v>154</v>
      </c>
      <c r="C3" s="293">
        <f>'CL_1 - Site Screening'!C3</f>
        <v>0</v>
      </c>
      <c r="D3" s="293"/>
      <c r="E3" s="293"/>
      <c r="F3" s="293"/>
      <c r="G3" s="293"/>
      <c r="H3" s="293"/>
      <c r="I3" s="293"/>
    </row>
    <row r="4" spans="1:12" s="23" customFormat="1" ht="3.6" customHeight="1" x14ac:dyDescent="0.2">
      <c r="B4" s="24"/>
      <c r="C4" s="25"/>
      <c r="D4" s="25"/>
      <c r="E4" s="25"/>
      <c r="F4" s="25"/>
      <c r="G4" s="25"/>
      <c r="H4" s="25"/>
      <c r="I4" s="25"/>
    </row>
    <row r="5" spans="1:12" x14ac:dyDescent="0.2">
      <c r="A5" s="288" t="s">
        <v>97</v>
      </c>
      <c r="B5" s="288"/>
      <c r="C5" s="293">
        <f>'CL_1 - Site Screening'!C5</f>
        <v>0</v>
      </c>
      <c r="D5" s="293"/>
      <c r="E5" s="293"/>
      <c r="F5" s="24" t="s">
        <v>99</v>
      </c>
      <c r="G5" s="294">
        <f ca="1">'CL_1 - Site Screening'!G5</f>
        <v>44595</v>
      </c>
      <c r="H5" s="293"/>
      <c r="I5" s="293"/>
    </row>
    <row r="6" spans="1:12" ht="3.6" customHeight="1" x14ac:dyDescent="0.2">
      <c r="A6" s="21"/>
      <c r="B6" s="21"/>
      <c r="C6" s="25"/>
      <c r="D6" s="25"/>
      <c r="E6" s="25"/>
      <c r="F6" s="24"/>
      <c r="G6" s="45"/>
      <c r="H6" s="25"/>
      <c r="I6" s="25"/>
    </row>
    <row r="7" spans="1:12" x14ac:dyDescent="0.2">
      <c r="A7" s="292" t="s">
        <v>309</v>
      </c>
      <c r="B7" s="292"/>
      <c r="C7" s="292"/>
      <c r="D7" s="292"/>
      <c r="E7" s="292"/>
      <c r="F7" s="292"/>
      <c r="G7" s="292"/>
      <c r="H7" s="292"/>
      <c r="I7" s="292"/>
      <c r="J7" s="46"/>
    </row>
    <row r="8" spans="1:12" ht="3.6" customHeight="1" x14ac:dyDescent="0.2">
      <c r="A8" s="47"/>
      <c r="B8" s="47"/>
      <c r="C8" s="47"/>
      <c r="D8" s="47"/>
      <c r="E8" s="47"/>
      <c r="F8" s="47"/>
      <c r="G8" s="47"/>
      <c r="H8" s="47"/>
      <c r="I8" s="47"/>
      <c r="J8" s="47"/>
    </row>
    <row r="9" spans="1:12" ht="12" customHeight="1" x14ac:dyDescent="0.2">
      <c r="A9" s="48" t="s">
        <v>168</v>
      </c>
      <c r="B9" s="49"/>
      <c r="C9" s="49"/>
      <c r="D9" s="49"/>
      <c r="E9" s="49"/>
      <c r="F9" s="49"/>
      <c r="G9" s="49"/>
      <c r="H9" s="49"/>
      <c r="I9" s="49"/>
      <c r="J9" s="47"/>
    </row>
    <row r="10" spans="1:12" ht="12" customHeight="1" x14ac:dyDescent="0.2">
      <c r="A10" s="47"/>
      <c r="B10" s="47"/>
      <c r="C10" s="47"/>
      <c r="D10" s="47"/>
      <c r="E10" s="47"/>
      <c r="F10" s="47"/>
      <c r="G10" s="47"/>
      <c r="H10" s="47"/>
      <c r="I10" s="47"/>
      <c r="J10" s="47"/>
      <c r="K10" s="50" t="s">
        <v>222</v>
      </c>
      <c r="L10" s="51"/>
    </row>
    <row r="11" spans="1:12" ht="12" customHeight="1" x14ac:dyDescent="0.2">
      <c r="A11" s="52" t="s">
        <v>75</v>
      </c>
      <c r="B11" s="47" t="s">
        <v>169</v>
      </c>
      <c r="C11" s="53">
        <f>IF(K11=0,'DE_1 - Watershed Info'!F45,K11)</f>
        <v>2268.7499999999995</v>
      </c>
      <c r="D11" s="27" t="s">
        <v>82</v>
      </c>
      <c r="E11" s="47" t="s">
        <v>170</v>
      </c>
      <c r="F11" s="53">
        <f>'Step 5-7 Final Storage Volumes'!G54+MIN('Step 4 - Pre-treat'!B8,('Step 4 - Pre-treat'!B9+'Step 4 - Pre-treat'!D47))</f>
        <v>0</v>
      </c>
      <c r="G11" s="47" t="s">
        <v>183</v>
      </c>
      <c r="H11" s="54">
        <f>IF(F11=0,0,IF(F11/C11&gt;=1,"OK","!"))</f>
        <v>0</v>
      </c>
      <c r="I11" s="34" t="str">
        <f>IF(K11&gt;0,"MANUAL"," ")</f>
        <v xml:space="preserve"> </v>
      </c>
      <c r="J11" s="47"/>
      <c r="K11" s="55">
        <v>0</v>
      </c>
      <c r="L11" s="56" t="s">
        <v>226</v>
      </c>
    </row>
    <row r="12" spans="1:12" ht="12" customHeight="1" x14ac:dyDescent="0.2">
      <c r="A12" s="52" t="s">
        <v>182</v>
      </c>
      <c r="B12" s="47" t="s">
        <v>169</v>
      </c>
      <c r="C12" s="53">
        <f>IF(K12=0,'Step 4 - Pre-treat'!B8,K12)</f>
        <v>226.87499999999997</v>
      </c>
      <c r="D12" s="27" t="s">
        <v>82</v>
      </c>
      <c r="E12" s="47" t="s">
        <v>170</v>
      </c>
      <c r="F12" s="53">
        <f>'Step 4 - Pre-treat'!D47+'Step 4 - Pre-treat'!B9</f>
        <v>0</v>
      </c>
      <c r="G12" s="47" t="s">
        <v>82</v>
      </c>
      <c r="H12" s="54">
        <f>IF(F12=0,0,IF(F12/C12&gt;=1,"OK","!"))</f>
        <v>0</v>
      </c>
      <c r="I12" s="34" t="str">
        <f>IF(K12&gt;0,"MANUAL"," ")</f>
        <v xml:space="preserve"> </v>
      </c>
      <c r="J12" s="47"/>
      <c r="K12" s="57">
        <v>0</v>
      </c>
      <c r="L12" s="58" t="s">
        <v>227</v>
      </c>
    </row>
    <row r="13" spans="1:12" s="62" customFormat="1" ht="12" customHeight="1" x14ac:dyDescent="0.2">
      <c r="A13" s="59" t="s">
        <v>184</v>
      </c>
      <c r="B13" s="60"/>
      <c r="C13" s="61"/>
      <c r="E13" s="60"/>
      <c r="F13" s="61"/>
      <c r="G13" s="60"/>
      <c r="H13" s="63"/>
      <c r="I13" s="60"/>
      <c r="J13" s="60"/>
    </row>
    <row r="14" spans="1:12" ht="12" customHeight="1" x14ac:dyDescent="0.2">
      <c r="A14" s="47" t="s">
        <v>185</v>
      </c>
      <c r="B14" s="47"/>
      <c r="C14" s="53"/>
      <c r="E14" s="47"/>
      <c r="F14" s="64"/>
      <c r="G14" s="47" t="s">
        <v>35</v>
      </c>
      <c r="H14" s="54"/>
      <c r="I14" s="47"/>
      <c r="J14" s="47"/>
    </row>
    <row r="15" spans="1:12" ht="12" customHeight="1" x14ac:dyDescent="0.2">
      <c r="A15" s="47"/>
      <c r="B15" s="47"/>
      <c r="C15" s="47"/>
      <c r="D15" s="47"/>
      <c r="E15" s="23" t="s">
        <v>251</v>
      </c>
      <c r="F15" s="65"/>
      <c r="G15" s="47" t="s">
        <v>82</v>
      </c>
      <c r="H15" s="47"/>
      <c r="I15" s="47"/>
      <c r="J15" s="47"/>
    </row>
    <row r="16" spans="1:12" ht="12" customHeight="1" x14ac:dyDescent="0.2">
      <c r="A16" s="47"/>
      <c r="B16" s="47"/>
      <c r="C16" s="47"/>
      <c r="D16" s="47"/>
      <c r="E16" s="47"/>
      <c r="F16" s="47"/>
      <c r="G16" s="47"/>
      <c r="H16" s="47"/>
      <c r="I16" s="47"/>
      <c r="J16" s="47"/>
    </row>
    <row r="17" spans="1:12" s="28" customFormat="1" ht="12" customHeight="1" x14ac:dyDescent="0.2">
      <c r="A17" s="66"/>
      <c r="B17" s="67" t="str">
        <f>IF(F14="Y","WQv"," ")</f>
        <v xml:space="preserve"> </v>
      </c>
      <c r="C17" s="67" t="s">
        <v>171</v>
      </c>
      <c r="D17" s="67" t="s">
        <v>172</v>
      </c>
      <c r="E17" s="67" t="s">
        <v>173</v>
      </c>
      <c r="F17" s="67" t="s">
        <v>174</v>
      </c>
      <c r="G17" s="67" t="s">
        <v>175</v>
      </c>
      <c r="H17" s="67" t="s">
        <v>176</v>
      </c>
      <c r="I17" s="67" t="s">
        <v>177</v>
      </c>
      <c r="J17" s="47"/>
    </row>
    <row r="18" spans="1:12" ht="12" customHeight="1" x14ac:dyDescent="0.2">
      <c r="A18" s="52" t="s">
        <v>178</v>
      </c>
      <c r="B18" s="68">
        <f>IF(F14="Y",'Step 9 - Results'!B13,0)</f>
        <v>0</v>
      </c>
      <c r="C18" s="68">
        <f>'Step 9 - Results'!B14</f>
        <v>0</v>
      </c>
      <c r="D18" s="68">
        <f>'Step 9 - Results'!B15</f>
        <v>0</v>
      </c>
      <c r="E18" s="68">
        <f>'Step 9 - Results'!B16</f>
        <v>0</v>
      </c>
      <c r="F18" s="68">
        <f>'Step 9 - Results'!B17</f>
        <v>0</v>
      </c>
      <c r="G18" s="68">
        <f>'Step 9 - Results'!B18</f>
        <v>0</v>
      </c>
      <c r="H18" s="68">
        <f>'Step 9 - Results'!B19</f>
        <v>0</v>
      </c>
      <c r="I18" s="68">
        <f>'Step 9 - Results'!B20</f>
        <v>0</v>
      </c>
      <c r="J18" s="47"/>
    </row>
    <row r="19" spans="1:12" ht="12" customHeight="1" x14ac:dyDescent="0.2">
      <c r="A19" s="52" t="s">
        <v>179</v>
      </c>
      <c r="B19" s="68">
        <f>IF(F14="Y",'Step 9 - Results'!C13,0)</f>
        <v>0</v>
      </c>
      <c r="C19" s="68">
        <f>'Step 9 - Results'!C14</f>
        <v>0</v>
      </c>
      <c r="D19" s="68">
        <f>'Step 9 - Results'!C15</f>
        <v>0</v>
      </c>
      <c r="E19" s="68">
        <f>'Step 9 - Results'!C16</f>
        <v>0</v>
      </c>
      <c r="F19" s="68">
        <f>'Step 9 - Results'!C17</f>
        <v>0</v>
      </c>
      <c r="G19" s="68">
        <f>'Step 9 - Results'!C18</f>
        <v>0</v>
      </c>
      <c r="H19" s="68">
        <f>'Step 9 - Results'!C19</f>
        <v>0</v>
      </c>
      <c r="I19" s="68">
        <f>'Step 9 - Results'!C20</f>
        <v>0</v>
      </c>
      <c r="J19" s="47"/>
    </row>
    <row r="20" spans="1:12" ht="3.6" customHeight="1" x14ac:dyDescent="0.2">
      <c r="A20" s="52"/>
      <c r="B20" s="68"/>
      <c r="C20" s="68"/>
      <c r="D20" s="68"/>
      <c r="E20" s="68"/>
      <c r="F20" s="68"/>
      <c r="G20" s="68"/>
      <c r="H20" s="68"/>
      <c r="I20" s="68"/>
      <c r="J20" s="47"/>
    </row>
    <row r="21" spans="1:12" ht="12" customHeight="1" x14ac:dyDescent="0.2">
      <c r="A21" s="52" t="s">
        <v>180</v>
      </c>
      <c r="B21" s="54">
        <f>IF(F14="N",0,IF(F14=0,0,IF(B19&gt;B18,"!","OK")))</f>
        <v>0</v>
      </c>
      <c r="C21" s="54">
        <f t="shared" ref="C21:I21" si="0">IF(C18=0,0,IF(C19&gt;C18,"!","OK"))</f>
        <v>0</v>
      </c>
      <c r="D21" s="54">
        <f t="shared" si="0"/>
        <v>0</v>
      </c>
      <c r="E21" s="54">
        <f t="shared" si="0"/>
        <v>0</v>
      </c>
      <c r="F21" s="54">
        <f t="shared" si="0"/>
        <v>0</v>
      </c>
      <c r="G21" s="54">
        <f t="shared" si="0"/>
        <v>0</v>
      </c>
      <c r="H21" s="54">
        <f t="shared" si="0"/>
        <v>0</v>
      </c>
      <c r="I21" s="54">
        <f t="shared" si="0"/>
        <v>0</v>
      </c>
      <c r="J21" s="47"/>
    </row>
    <row r="22" spans="1:12" ht="12" customHeight="1" x14ac:dyDescent="0.2">
      <c r="A22" s="47"/>
      <c r="B22" s="47"/>
      <c r="C22" s="47"/>
      <c r="D22" s="47"/>
      <c r="E22" s="47"/>
      <c r="F22" s="47"/>
      <c r="G22" s="47"/>
      <c r="H22" s="47"/>
      <c r="I22" s="47"/>
      <c r="J22" s="47"/>
    </row>
    <row r="23" spans="1:12" ht="12" customHeight="1" x14ac:dyDescent="0.2">
      <c r="A23" s="69"/>
      <c r="B23" s="70"/>
      <c r="C23" s="70"/>
      <c r="D23" s="71" t="s">
        <v>171</v>
      </c>
      <c r="E23" s="67" t="s">
        <v>174</v>
      </c>
      <c r="F23" s="67" t="s">
        <v>177</v>
      </c>
      <c r="G23" s="47"/>
      <c r="H23" s="47"/>
      <c r="I23" s="47"/>
      <c r="J23" s="47"/>
      <c r="K23" s="50" t="s">
        <v>222</v>
      </c>
      <c r="L23" s="51"/>
    </row>
    <row r="24" spans="1:12" ht="12" customHeight="1" x14ac:dyDescent="0.2">
      <c r="A24" s="47" t="s">
        <v>215</v>
      </c>
      <c r="D24" s="72">
        <f>IF(K25=0,'Step 9 - Results'!D14-I24,K25-K24)</f>
        <v>-100</v>
      </c>
      <c r="E24" s="72">
        <f>IF(K26=0,'Step 9 - Results'!D17-I24,K26-K24)</f>
        <v>-100</v>
      </c>
      <c r="F24" s="72">
        <f>IF(K27=0,'Step 9 - Results'!D20-'CL_2 - Design Summary'!I24,K27-K24)</f>
        <v>-100</v>
      </c>
      <c r="G24" s="47" t="s">
        <v>181</v>
      </c>
      <c r="H24" s="47"/>
      <c r="I24" s="73">
        <f>IF(K24=0,'Step 5-7 Final Storage Volumes'!G5,K24)</f>
        <v>100</v>
      </c>
      <c r="J24" s="47"/>
      <c r="K24" s="74">
        <v>0</v>
      </c>
      <c r="L24" s="51" t="s">
        <v>181</v>
      </c>
    </row>
    <row r="25" spans="1:12" ht="12" customHeight="1" x14ac:dyDescent="0.2">
      <c r="A25" s="47"/>
      <c r="B25" s="47"/>
      <c r="C25" s="47"/>
      <c r="D25" s="54" t="str">
        <f>IF(D24=0,0,IF(D24&lt;=2.5,"OK","!"))</f>
        <v>OK</v>
      </c>
      <c r="E25" s="54" t="str">
        <f>IF(E24=0,0,IF(E24&lt;=4,"OK","!"))</f>
        <v>OK</v>
      </c>
      <c r="F25" s="54" t="str">
        <f>IF(F24=0,0,IF(F24&lt;=6,"OK","!"))</f>
        <v>OK</v>
      </c>
      <c r="G25" s="47"/>
      <c r="H25" s="47"/>
      <c r="I25" s="34" t="str">
        <f>IF(K24&gt;0,"MANUAL"," ")</f>
        <v xml:space="preserve"> </v>
      </c>
      <c r="J25" s="47"/>
      <c r="K25" s="74">
        <v>0</v>
      </c>
      <c r="L25" s="51" t="s">
        <v>228</v>
      </c>
    </row>
    <row r="26" spans="1:12" ht="12" customHeight="1" x14ac:dyDescent="0.2">
      <c r="A26" s="47"/>
      <c r="B26" s="47"/>
      <c r="C26" s="47"/>
      <c r="D26" s="34" t="str">
        <f>IF(K25&gt;0,"MANUAL"," ")</f>
        <v xml:space="preserve"> </v>
      </c>
      <c r="E26" s="34" t="str">
        <f>IF(K26&gt;0,"MANUAL"," ")</f>
        <v xml:space="preserve"> </v>
      </c>
      <c r="F26" s="34" t="str">
        <f>IF(K27&gt;0,"MANUAL"," ")</f>
        <v xml:space="preserve"> </v>
      </c>
      <c r="G26" s="47"/>
      <c r="H26" s="47"/>
      <c r="I26" s="47"/>
      <c r="J26" s="47"/>
      <c r="K26" s="74">
        <v>0</v>
      </c>
      <c r="L26" s="51" t="s">
        <v>229</v>
      </c>
    </row>
    <row r="27" spans="1:12" ht="12" customHeight="1" x14ac:dyDescent="0.2">
      <c r="A27" s="75" t="s">
        <v>275</v>
      </c>
      <c r="B27" s="76"/>
      <c r="C27" s="76"/>
      <c r="D27" s="76"/>
      <c r="E27" s="76"/>
      <c r="F27" s="76"/>
      <c r="G27" s="76"/>
      <c r="H27" s="76"/>
      <c r="I27" s="76"/>
      <c r="J27" s="47"/>
      <c r="K27" s="74">
        <v>0</v>
      </c>
      <c r="L27" s="51" t="s">
        <v>230</v>
      </c>
    </row>
    <row r="28" spans="1:12" ht="12" customHeight="1" x14ac:dyDescent="0.2">
      <c r="A28" s="52"/>
      <c r="B28" s="47"/>
      <c r="C28" s="47"/>
      <c r="D28" s="47"/>
      <c r="E28" s="47"/>
      <c r="F28" s="47"/>
      <c r="G28" s="47"/>
      <c r="H28" s="47"/>
      <c r="I28" s="47"/>
      <c r="J28" s="47"/>
    </row>
    <row r="29" spans="1:12" ht="12" customHeight="1" x14ac:dyDescent="0.2">
      <c r="A29" s="52"/>
      <c r="B29" s="47"/>
      <c r="C29" s="47"/>
      <c r="D29" s="20" t="s">
        <v>297</v>
      </c>
      <c r="E29" s="77">
        <f>'Step 5-7 Final Storage Volumes'!C41/('CL_1 - Site Screening'!C29*43560)</f>
        <v>0</v>
      </c>
      <c r="F29" s="47" t="s">
        <v>192</v>
      </c>
      <c r="G29" s="47"/>
      <c r="H29" s="47"/>
      <c r="I29" s="47"/>
      <c r="J29" s="47"/>
    </row>
    <row r="30" spans="1:12" ht="12" customHeight="1" x14ac:dyDescent="0.2">
      <c r="A30" s="52"/>
      <c r="B30" s="47"/>
      <c r="C30" s="59" t="s">
        <v>191</v>
      </c>
      <c r="D30" s="20"/>
      <c r="E30" s="77"/>
      <c r="F30" s="47"/>
      <c r="G30" s="47"/>
      <c r="H30" s="47"/>
      <c r="I30" s="47"/>
      <c r="J30" s="47"/>
    </row>
    <row r="31" spans="1:12" ht="12" customHeight="1" x14ac:dyDescent="0.2">
      <c r="A31" s="52"/>
      <c r="B31" s="47"/>
      <c r="C31" s="47"/>
      <c r="D31" s="20"/>
      <c r="E31" s="77"/>
      <c r="F31" s="47"/>
      <c r="G31" s="47"/>
      <c r="H31" s="47"/>
      <c r="I31" s="47"/>
      <c r="J31" s="47"/>
    </row>
    <row r="32" spans="1:12" ht="12" customHeight="1" x14ac:dyDescent="0.2">
      <c r="A32" s="28"/>
      <c r="B32" s="47"/>
      <c r="C32" s="47"/>
      <c r="D32" s="20" t="s">
        <v>123</v>
      </c>
      <c r="E32" s="78">
        <f>'Step 5-7 Final Storage Volumes'!E59</f>
        <v>0</v>
      </c>
      <c r="F32" s="27" t="s">
        <v>6</v>
      </c>
      <c r="G32" s="22">
        <f>IF(E32=0,0,IF(E32&gt;=E33,"OK","!"))</f>
        <v>0</v>
      </c>
      <c r="H32" s="47"/>
      <c r="I32" s="47"/>
      <c r="J32" s="47"/>
    </row>
    <row r="33" spans="1:10" ht="12" customHeight="1" x14ac:dyDescent="0.2">
      <c r="A33" s="47"/>
      <c r="B33" s="47"/>
      <c r="C33" s="47"/>
      <c r="D33" s="20" t="s">
        <v>284</v>
      </c>
      <c r="E33" s="78" t="e">
        <f>'Step 5-7 Final Storage Volumes'!E60</f>
        <v>#DIV/0!</v>
      </c>
      <c r="F33" s="27" t="s">
        <v>6</v>
      </c>
      <c r="G33" s="22"/>
      <c r="H33" s="47"/>
      <c r="I33" s="47"/>
      <c r="J33" s="47"/>
    </row>
    <row r="34" spans="1:10" ht="12" customHeight="1" x14ac:dyDescent="0.2">
      <c r="A34" s="47"/>
      <c r="B34" s="47"/>
      <c r="C34" s="47"/>
      <c r="D34" s="22"/>
      <c r="E34" s="78"/>
      <c r="I34" s="47"/>
      <c r="J34" s="47"/>
    </row>
    <row r="35" spans="1:10" s="28" customFormat="1" ht="12" customHeight="1" x14ac:dyDescent="0.2">
      <c r="A35" s="47"/>
      <c r="B35" s="47"/>
      <c r="C35" s="47"/>
      <c r="D35" s="20" t="s">
        <v>282</v>
      </c>
      <c r="E35" s="78" t="e">
        <f>'Step 5-7 Final Storage Volumes'!E63</f>
        <v>#DIV/0!</v>
      </c>
      <c r="F35" s="27"/>
      <c r="G35" s="22" t="e">
        <f>IF(E35&lt;=0.25,"OK","!")</f>
        <v>#DIV/0!</v>
      </c>
      <c r="H35" s="10" t="s">
        <v>303</v>
      </c>
      <c r="I35" s="47"/>
      <c r="J35" s="47"/>
    </row>
    <row r="36" spans="1:10" ht="12" customHeight="1" x14ac:dyDescent="0.2">
      <c r="A36" s="47"/>
      <c r="B36" s="47"/>
      <c r="C36" s="47"/>
      <c r="D36" s="20" t="s">
        <v>281</v>
      </c>
      <c r="E36" s="78" t="e">
        <f>'Step 5-7 Final Storage Volumes'!E64</f>
        <v>#DIV/0!</v>
      </c>
      <c r="G36" s="22" t="e">
        <f>IF(E36&gt;=0.25,"OK","!")</f>
        <v>#DIV/0!</v>
      </c>
      <c r="H36" s="10" t="s">
        <v>304</v>
      </c>
      <c r="I36" s="47"/>
      <c r="J36" s="47"/>
    </row>
    <row r="37" spans="1:10" ht="12" customHeight="1" x14ac:dyDescent="0.2">
      <c r="A37" s="47"/>
      <c r="B37" s="47"/>
      <c r="C37" s="47"/>
      <c r="D37" s="20"/>
      <c r="E37" s="78"/>
      <c r="G37" s="22"/>
      <c r="H37" s="47"/>
      <c r="I37" s="47"/>
      <c r="J37" s="47"/>
    </row>
    <row r="38" spans="1:10" ht="12" customHeight="1" x14ac:dyDescent="0.2">
      <c r="A38" s="47"/>
      <c r="D38" s="23" t="s">
        <v>123</v>
      </c>
      <c r="E38" s="79">
        <f>'Step 5-7 Final Storage Volumes'!E54</f>
        <v>0</v>
      </c>
      <c r="F38" s="78" t="s">
        <v>189</v>
      </c>
      <c r="G38" s="22"/>
      <c r="H38" s="47"/>
      <c r="I38" s="47"/>
      <c r="J38" s="47"/>
    </row>
    <row r="39" spans="1:10" ht="12" customHeight="1" x14ac:dyDescent="0.2">
      <c r="A39" s="47"/>
      <c r="C39" s="47"/>
      <c r="D39" s="23" t="s">
        <v>12</v>
      </c>
      <c r="E39" s="79">
        <f>'Step 5-7 Final Storage Volumes'!E55</f>
        <v>0</v>
      </c>
      <c r="F39" s="78" t="s">
        <v>189</v>
      </c>
      <c r="G39" s="22"/>
      <c r="H39" s="47"/>
      <c r="I39" s="47"/>
      <c r="J39" s="47"/>
    </row>
    <row r="40" spans="1:10" ht="12" customHeight="1" x14ac:dyDescent="0.2">
      <c r="A40" s="47"/>
      <c r="C40" s="47"/>
      <c r="D40" s="23" t="s">
        <v>190</v>
      </c>
      <c r="E40" s="79">
        <f>SUM(E38:E39)</f>
        <v>0</v>
      </c>
      <c r="F40" s="78" t="s">
        <v>189</v>
      </c>
      <c r="G40" s="22"/>
      <c r="H40" s="47"/>
      <c r="I40" s="47"/>
      <c r="J40" s="47"/>
    </row>
    <row r="41" spans="1:10" ht="12" customHeight="1" x14ac:dyDescent="0.2">
      <c r="A41" s="47"/>
      <c r="B41" s="47"/>
      <c r="C41" s="47"/>
      <c r="D41" s="47"/>
      <c r="E41" s="47"/>
      <c r="F41" s="47"/>
      <c r="G41" s="47"/>
      <c r="H41" s="47"/>
      <c r="I41" s="47"/>
      <c r="J41" s="47"/>
    </row>
    <row r="42" spans="1:10" ht="12" customHeight="1" x14ac:dyDescent="0.2">
      <c r="A42" s="80" t="s">
        <v>276</v>
      </c>
      <c r="B42" s="80"/>
      <c r="C42" s="80"/>
      <c r="D42" s="80"/>
      <c r="E42" s="80"/>
      <c r="F42" s="80"/>
      <c r="G42" s="80"/>
      <c r="H42" s="80"/>
      <c r="I42" s="80"/>
      <c r="J42" s="47"/>
    </row>
    <row r="43" spans="1:10" ht="12" customHeight="1" x14ac:dyDescent="0.2">
      <c r="A43" s="47"/>
      <c r="B43" s="47"/>
      <c r="C43" s="47"/>
      <c r="D43" s="47"/>
      <c r="E43" s="47"/>
      <c r="F43" s="47"/>
      <c r="G43" s="47"/>
      <c r="H43" s="47"/>
      <c r="I43" s="47"/>
      <c r="J43" s="47"/>
    </row>
    <row r="44" spans="1:10" ht="12" customHeight="1" x14ac:dyDescent="0.2">
      <c r="A44" s="47"/>
      <c r="B44" s="47"/>
      <c r="C44" s="47"/>
      <c r="D44" s="23" t="s">
        <v>298</v>
      </c>
      <c r="E44" s="81"/>
      <c r="F44" s="47" t="s">
        <v>86</v>
      </c>
      <c r="G44" s="47"/>
      <c r="H44" s="47"/>
      <c r="I44" s="47"/>
      <c r="J44" s="47"/>
    </row>
    <row r="45" spans="1:10" ht="12" customHeight="1" x14ac:dyDescent="0.2">
      <c r="A45" s="47"/>
      <c r="B45" s="47"/>
      <c r="C45" s="47"/>
      <c r="D45" s="23" t="s">
        <v>299</v>
      </c>
      <c r="E45" s="81"/>
      <c r="F45" s="47" t="s">
        <v>86</v>
      </c>
      <c r="G45" s="47" t="s">
        <v>186</v>
      </c>
      <c r="H45" s="26" t="str">
        <f>IF(E44=0,"NA",E45/E44)</f>
        <v>NA</v>
      </c>
      <c r="I45" s="22" t="str">
        <f>IF(H45="NA"," ",IF(H45&gt;=2,"OK","!"))</f>
        <v xml:space="preserve"> </v>
      </c>
      <c r="J45" s="47"/>
    </row>
    <row r="46" spans="1:10" ht="12" customHeight="1" x14ac:dyDescent="0.2">
      <c r="A46" s="47"/>
      <c r="B46" s="47"/>
      <c r="C46" s="47"/>
      <c r="D46" s="47"/>
      <c r="E46" s="47"/>
      <c r="F46" s="47"/>
      <c r="G46" s="47"/>
      <c r="H46" s="47"/>
      <c r="I46" s="47"/>
      <c r="J46" s="47"/>
    </row>
    <row r="47" spans="1:10" ht="12" customHeight="1" x14ac:dyDescent="0.2">
      <c r="A47" s="47"/>
      <c r="C47" s="47"/>
      <c r="D47" s="47"/>
      <c r="E47" s="23" t="s">
        <v>287</v>
      </c>
      <c r="F47" s="81"/>
      <c r="G47" s="47" t="s">
        <v>86</v>
      </c>
      <c r="H47" s="22" t="str">
        <f>IF(F47=0," ",IF(F47&gt;=10,"OK","!"))</f>
        <v xml:space="preserve"> </v>
      </c>
      <c r="I47" s="47"/>
      <c r="J47" s="47"/>
    </row>
    <row r="48" spans="1:10" ht="12" customHeight="1" x14ac:dyDescent="0.2">
      <c r="A48" s="47"/>
      <c r="C48" s="47"/>
      <c r="D48" s="47"/>
      <c r="E48" s="23" t="s">
        <v>286</v>
      </c>
      <c r="F48" s="81"/>
      <c r="G48" s="47" t="s">
        <v>187</v>
      </c>
      <c r="H48" s="22" t="str">
        <f>IF(F48=0," ",IF(F48&gt;=3,"OK","!"))</f>
        <v xml:space="preserve"> </v>
      </c>
      <c r="I48" s="47"/>
      <c r="J48" s="47"/>
    </row>
    <row r="49" spans="1:10" ht="12" customHeight="1" x14ac:dyDescent="0.2">
      <c r="A49" s="47"/>
      <c r="C49" s="47"/>
      <c r="D49" s="47"/>
      <c r="E49" s="23"/>
      <c r="F49" s="26"/>
      <c r="G49" s="47"/>
      <c r="H49" s="22"/>
      <c r="I49" s="47"/>
      <c r="J49" s="47"/>
    </row>
    <row r="50" spans="1:10" ht="12" customHeight="1" x14ac:dyDescent="0.2">
      <c r="A50" s="47"/>
      <c r="C50" s="47"/>
      <c r="D50" s="47"/>
      <c r="E50" s="23" t="s">
        <v>288</v>
      </c>
      <c r="F50" s="81"/>
      <c r="G50" s="47"/>
      <c r="H50" s="22">
        <f>IF(F50=0,0,IF(F50-F24-I24&gt;=1,"OK","!"))</f>
        <v>0</v>
      </c>
      <c r="I50" s="47"/>
      <c r="J50" s="47"/>
    </row>
    <row r="51" spans="1:10" ht="12" customHeight="1" x14ac:dyDescent="0.2">
      <c r="A51" s="47"/>
      <c r="C51" s="47"/>
      <c r="D51" s="47"/>
      <c r="E51" s="23"/>
      <c r="F51" s="82">
        <f>IF(F50=0,0,IF(F50-F24-I24&lt;1,"DAM CREST &lt; 1' ABOVE 100-YR HIGH WATER ELEV",0))</f>
        <v>0</v>
      </c>
      <c r="G51" s="47"/>
      <c r="H51" s="22"/>
      <c r="I51" s="47"/>
      <c r="J51" s="47"/>
    </row>
    <row r="52" spans="1:10" ht="12" customHeight="1" x14ac:dyDescent="0.2">
      <c r="A52" s="47"/>
      <c r="C52" s="47"/>
      <c r="D52" s="47"/>
      <c r="E52" s="23" t="s">
        <v>289</v>
      </c>
      <c r="F52" s="81"/>
      <c r="G52" s="47"/>
      <c r="H52" s="22">
        <f>IF(F52=0,0,IF(F50-F52&gt;=1.5,"OK","!"))</f>
        <v>0</v>
      </c>
      <c r="I52" s="47"/>
      <c r="J52" s="47"/>
    </row>
    <row r="53" spans="1:10" ht="12" customHeight="1" x14ac:dyDescent="0.2">
      <c r="A53" s="47"/>
      <c r="C53" s="47"/>
      <c r="D53" s="47"/>
      <c r="E53" s="23"/>
      <c r="F53" s="82">
        <f>IF(F50=0,0,IF(F50-F52&lt;1.5,"AUX. SPILLWAY CREST &lt; 1.5' BELOW DAM CREST",0))</f>
        <v>0</v>
      </c>
      <c r="G53" s="47"/>
      <c r="H53" s="22"/>
      <c r="I53" s="47"/>
      <c r="J53" s="47"/>
    </row>
    <row r="54" spans="1:10" ht="12" customHeight="1" x14ac:dyDescent="0.2">
      <c r="A54" s="47"/>
      <c r="C54" s="47"/>
      <c r="D54" s="47"/>
      <c r="E54" s="23" t="s">
        <v>188</v>
      </c>
      <c r="F54" s="81"/>
      <c r="G54" s="47" t="s">
        <v>35</v>
      </c>
      <c r="H54" s="22">
        <f>IF(F54=0,0,IF(F54="Y","OK","!"))</f>
        <v>0</v>
      </c>
      <c r="I54" s="47"/>
      <c r="J54" s="47"/>
    </row>
    <row r="55" spans="1:10" ht="12" customHeight="1" x14ac:dyDescent="0.2">
      <c r="A55" s="47"/>
      <c r="C55" s="47"/>
      <c r="D55" s="47"/>
      <c r="E55" s="23"/>
      <c r="F55" s="81"/>
      <c r="G55" s="47"/>
      <c r="H55" s="22"/>
      <c r="I55" s="47"/>
      <c r="J55" s="47"/>
    </row>
    <row r="56" spans="1:10" ht="12" customHeight="1" x14ac:dyDescent="0.2">
      <c r="A56" s="47"/>
      <c r="C56" s="47"/>
      <c r="D56" s="47"/>
      <c r="E56" s="23" t="s">
        <v>294</v>
      </c>
      <c r="F56" s="81"/>
      <c r="G56" s="47" t="s">
        <v>187</v>
      </c>
      <c r="H56" s="22" t="str">
        <f>IF(F56=0," ",IF(F56&gt;=8,"OK","!"))</f>
        <v xml:space="preserve"> </v>
      </c>
      <c r="I56" s="47"/>
      <c r="J56" s="47"/>
    </row>
    <row r="57" spans="1:10" ht="12" customHeight="1" x14ac:dyDescent="0.2">
      <c r="A57" s="47"/>
      <c r="C57" s="47"/>
      <c r="D57" s="47"/>
      <c r="E57" s="23" t="s">
        <v>295</v>
      </c>
      <c r="F57" s="81"/>
      <c r="G57" s="47" t="s">
        <v>187</v>
      </c>
      <c r="H57" s="22" t="str">
        <f>IF(F57=0," ",IF(F57&gt;=6,"OK","!"))</f>
        <v xml:space="preserve"> </v>
      </c>
      <c r="I57" s="47"/>
      <c r="J57" s="47"/>
    </row>
    <row r="58" spans="1:10" ht="12" customHeight="1" x14ac:dyDescent="0.2">
      <c r="A58" s="47"/>
      <c r="C58" s="47"/>
      <c r="D58" s="47"/>
      <c r="E58" s="23" t="s">
        <v>296</v>
      </c>
      <c r="F58" s="81"/>
      <c r="G58" s="47" t="s">
        <v>187</v>
      </c>
      <c r="H58" s="22" t="str">
        <f>IF(F58=0," ",IF(F58&gt;=4,"OK",IF(F58&gt;=3,"/","!")))</f>
        <v xml:space="preserve"> </v>
      </c>
      <c r="I58" s="47"/>
      <c r="J58" s="47"/>
    </row>
    <row r="59" spans="1:10" ht="12" customHeight="1" x14ac:dyDescent="0.2">
      <c r="A59" s="47"/>
      <c r="B59" s="47"/>
      <c r="C59" s="47"/>
      <c r="D59" s="47"/>
      <c r="E59" s="47"/>
      <c r="F59" s="26"/>
      <c r="G59" s="47"/>
      <c r="H59" s="47"/>
      <c r="I59" s="47"/>
      <c r="J59" s="47"/>
    </row>
    <row r="60" spans="1:10" ht="12" customHeight="1" x14ac:dyDescent="0.2">
      <c r="A60" s="47"/>
      <c r="B60" s="47"/>
      <c r="C60" s="47"/>
      <c r="D60" s="47"/>
      <c r="E60" s="23" t="s">
        <v>290</v>
      </c>
      <c r="F60" s="81"/>
      <c r="G60" s="47" t="s">
        <v>86</v>
      </c>
      <c r="H60" s="47"/>
      <c r="I60" s="47"/>
      <c r="J60" s="47"/>
    </row>
    <row r="61" spans="1:10" ht="12" customHeight="1" x14ac:dyDescent="0.2">
      <c r="A61" s="47"/>
      <c r="B61" s="47"/>
      <c r="C61" s="47"/>
      <c r="D61" s="47"/>
      <c r="E61" s="47"/>
      <c r="F61" s="47"/>
      <c r="G61" s="47"/>
      <c r="H61" s="47"/>
      <c r="I61" s="47"/>
      <c r="J61" s="47"/>
    </row>
    <row r="62" spans="1:10" ht="12" customHeight="1" x14ac:dyDescent="0.2">
      <c r="A62" s="83" t="s">
        <v>195</v>
      </c>
      <c r="B62" s="83"/>
      <c r="C62" s="83"/>
      <c r="D62" s="83"/>
      <c r="E62" s="83"/>
      <c r="F62" s="83"/>
      <c r="G62" s="83"/>
      <c r="H62" s="83"/>
      <c r="I62" s="83"/>
      <c r="J62" s="47"/>
    </row>
    <row r="63" spans="1:10" ht="24" customHeight="1" x14ac:dyDescent="0.2">
      <c r="A63" s="47"/>
      <c r="B63" s="47"/>
      <c r="C63" s="47"/>
      <c r="D63" s="24" t="s">
        <v>199</v>
      </c>
      <c r="E63" s="84" t="s">
        <v>203</v>
      </c>
      <c r="G63" s="47"/>
      <c r="H63" s="47"/>
      <c r="I63" s="47"/>
      <c r="J63" s="47"/>
    </row>
    <row r="64" spans="1:10" ht="12" customHeight="1" x14ac:dyDescent="0.2">
      <c r="B64" s="47"/>
      <c r="C64" s="47"/>
      <c r="D64" s="23" t="s">
        <v>198</v>
      </c>
      <c r="E64" s="85"/>
      <c r="G64" s="23" t="s">
        <v>213</v>
      </c>
      <c r="H64" s="85"/>
      <c r="I64" s="25" t="s">
        <v>35</v>
      </c>
      <c r="J64" s="47"/>
    </row>
    <row r="65" spans="1:10" ht="12" customHeight="1" x14ac:dyDescent="0.2">
      <c r="B65" s="47"/>
      <c r="C65" s="47"/>
      <c r="D65" s="23" t="s">
        <v>205</v>
      </c>
      <c r="E65" s="85"/>
      <c r="G65" s="47"/>
      <c r="H65" s="47"/>
      <c r="I65" s="47"/>
      <c r="J65" s="47"/>
    </row>
    <row r="66" spans="1:10" ht="12" customHeight="1" x14ac:dyDescent="0.2">
      <c r="B66" s="47"/>
      <c r="C66" s="47"/>
      <c r="D66" s="23" t="s">
        <v>206</v>
      </c>
      <c r="E66" s="85"/>
      <c r="G66" s="47"/>
      <c r="H66" s="47"/>
      <c r="I66" s="47"/>
      <c r="J66" s="47"/>
    </row>
    <row r="67" spans="1:10" x14ac:dyDescent="0.2">
      <c r="B67" s="28"/>
      <c r="C67" s="26"/>
      <c r="D67" s="23" t="s">
        <v>200</v>
      </c>
      <c r="E67" s="85"/>
      <c r="G67" s="28"/>
      <c r="H67" s="28"/>
      <c r="I67" s="28"/>
      <c r="J67" s="28"/>
    </row>
    <row r="68" spans="1:10" x14ac:dyDescent="0.2">
      <c r="B68" s="28"/>
      <c r="C68" s="26"/>
      <c r="D68" s="23" t="s">
        <v>201</v>
      </c>
      <c r="E68" s="85"/>
      <c r="G68" s="28"/>
      <c r="I68" s="28"/>
      <c r="J68" s="28"/>
    </row>
    <row r="69" spans="1:10" x14ac:dyDescent="0.2">
      <c r="B69" s="28"/>
      <c r="C69" s="26"/>
      <c r="D69" s="23" t="s">
        <v>196</v>
      </c>
      <c r="E69" s="85"/>
      <c r="F69" s="28"/>
      <c r="G69" s="23" t="s">
        <v>197</v>
      </c>
      <c r="H69" s="85"/>
      <c r="I69" s="25" t="s">
        <v>35</v>
      </c>
      <c r="J69" s="28"/>
    </row>
    <row r="70" spans="1:10" x14ac:dyDescent="0.2">
      <c r="B70" s="28"/>
      <c r="C70" s="26"/>
      <c r="D70" s="23" t="s">
        <v>202</v>
      </c>
      <c r="E70" s="85"/>
      <c r="G70" s="23" t="s">
        <v>204</v>
      </c>
      <c r="H70" s="85"/>
      <c r="I70" s="25" t="s">
        <v>35</v>
      </c>
      <c r="J70" s="28"/>
    </row>
    <row r="71" spans="1:10" ht="12.75" thickBot="1" x14ac:dyDescent="0.25">
      <c r="A71" s="28"/>
      <c r="B71" s="28"/>
      <c r="C71" s="26"/>
      <c r="D71" s="28"/>
      <c r="E71" s="28"/>
      <c r="F71" s="28"/>
      <c r="G71" s="28"/>
      <c r="H71" s="28"/>
      <c r="I71" s="28"/>
      <c r="J71" s="28"/>
    </row>
    <row r="72" spans="1:10" ht="15" x14ac:dyDescent="0.25">
      <c r="A72" s="42" t="s">
        <v>257</v>
      </c>
      <c r="B72" s="42"/>
      <c r="C72" s="42"/>
      <c r="D72" s="42"/>
      <c r="E72" s="42"/>
      <c r="F72" s="42"/>
      <c r="G72" s="42"/>
      <c r="H72" s="42"/>
      <c r="I72" s="42"/>
    </row>
    <row r="73" spans="1:10" ht="15" x14ac:dyDescent="0.25">
      <c r="A73" s="43" t="s">
        <v>258</v>
      </c>
      <c r="B73" s="43"/>
      <c r="C73" s="43"/>
      <c r="D73" s="43"/>
      <c r="E73" s="43"/>
      <c r="F73" s="43"/>
      <c r="G73" s="43"/>
      <c r="H73" s="43"/>
      <c r="I73" s="44" t="str">
        <f>'CL_1 - Site Screening'!J71</f>
        <v>IDALS: Issue Date: 08/03/2020</v>
      </c>
    </row>
    <row r="74" spans="1:10" x14ac:dyDescent="0.2">
      <c r="A74" s="28"/>
      <c r="B74" s="28"/>
      <c r="C74" s="28"/>
      <c r="D74" s="28"/>
      <c r="E74" s="26"/>
      <c r="F74" s="28"/>
      <c r="G74" s="28"/>
      <c r="H74" s="28"/>
      <c r="I74" s="28"/>
      <c r="J74" s="28"/>
    </row>
    <row r="75" spans="1:10" x14ac:dyDescent="0.2">
      <c r="A75" s="28"/>
      <c r="B75" s="28"/>
      <c r="C75" s="28"/>
      <c r="D75" s="28"/>
      <c r="E75" s="26"/>
      <c r="F75" s="28"/>
      <c r="G75" s="28"/>
      <c r="H75" s="28"/>
      <c r="I75" s="28"/>
      <c r="J75" s="28"/>
    </row>
    <row r="76" spans="1:10" x14ac:dyDescent="0.2">
      <c r="A76" s="28"/>
      <c r="B76" s="28"/>
      <c r="C76" s="28"/>
      <c r="D76" s="28"/>
      <c r="E76" s="26"/>
      <c r="F76" s="28"/>
      <c r="G76" s="28"/>
      <c r="H76" s="28"/>
      <c r="I76" s="28"/>
      <c r="J76" s="28"/>
    </row>
    <row r="77" spans="1:10" x14ac:dyDescent="0.2">
      <c r="A77" s="28"/>
      <c r="B77" s="28"/>
      <c r="C77" s="28"/>
      <c r="D77" s="28"/>
      <c r="E77" s="26"/>
      <c r="F77" s="28"/>
      <c r="G77" s="28"/>
      <c r="H77" s="28"/>
      <c r="I77" s="28"/>
      <c r="J77" s="28"/>
    </row>
    <row r="78" spans="1:10" x14ac:dyDescent="0.2">
      <c r="A78" s="28"/>
      <c r="B78" s="28"/>
      <c r="C78" s="28"/>
      <c r="D78" s="28"/>
      <c r="E78" s="26"/>
      <c r="F78" s="28"/>
      <c r="G78" s="28"/>
      <c r="H78" s="28"/>
      <c r="I78" s="28"/>
      <c r="J78" s="28"/>
    </row>
    <row r="79" spans="1:10" x14ac:dyDescent="0.2">
      <c r="A79" s="28"/>
      <c r="B79" s="28"/>
      <c r="C79" s="28"/>
      <c r="D79" s="28"/>
      <c r="E79" s="26"/>
      <c r="F79" s="28"/>
      <c r="G79" s="28"/>
      <c r="H79" s="28"/>
      <c r="I79" s="28"/>
      <c r="J79" s="28"/>
    </row>
  </sheetData>
  <sheetProtection algorithmName="SHA-512" hashValue="nraNdqmtC5wxje0LKgE35p25qeT5d4ug15pYIEESF7SpqHIgfYKTp4B2UNJ/aFyXBv0Ivbtb5nJ/89ru6JBwDQ==" saltValue="3gyrKsRgyWYtOeOzT71GOg==" spinCount="100000" sheet="1" selectLockedCells="1"/>
  <mergeCells count="7">
    <mergeCell ref="A2:I2"/>
    <mergeCell ref="A7:I7"/>
    <mergeCell ref="A1:I1"/>
    <mergeCell ref="C3:I3"/>
    <mergeCell ref="A5:B5"/>
    <mergeCell ref="C5:E5"/>
    <mergeCell ref="G5:I5"/>
  </mergeCells>
  <conditionalFormatting sqref="H11:H14 G37:G40">
    <cfRule type="cellIs" dxfId="34" priority="31" operator="equal">
      <formula>"!"</formula>
    </cfRule>
    <cfRule type="cellIs" dxfId="33" priority="32" operator="equal">
      <formula>"OK"</formula>
    </cfRule>
  </conditionalFormatting>
  <conditionalFormatting sqref="C21:I21">
    <cfRule type="cellIs" dxfId="32" priority="29" operator="equal">
      <formula>"!"</formula>
    </cfRule>
    <cfRule type="cellIs" dxfId="31" priority="30" operator="equal">
      <formula>"OK"</formula>
    </cfRule>
  </conditionalFormatting>
  <conditionalFormatting sqref="D25:F25">
    <cfRule type="cellIs" dxfId="30" priority="27" operator="equal">
      <formula>"!"</formula>
    </cfRule>
    <cfRule type="cellIs" dxfId="29" priority="28" operator="equal">
      <formula>"OK"</formula>
    </cfRule>
  </conditionalFormatting>
  <conditionalFormatting sqref="G33">
    <cfRule type="cellIs" dxfId="28" priority="25" operator="equal">
      <formula>"!"</formula>
    </cfRule>
    <cfRule type="cellIs" dxfId="27" priority="26" operator="equal">
      <formula>"OK"</formula>
    </cfRule>
  </conditionalFormatting>
  <conditionalFormatting sqref="I45">
    <cfRule type="cellIs" dxfId="26" priority="19" operator="equal">
      <formula>"!"</formula>
    </cfRule>
    <cfRule type="cellIs" dxfId="25" priority="20" operator="equal">
      <formula>"OK"</formula>
    </cfRule>
  </conditionalFormatting>
  <conditionalFormatting sqref="H47:H58">
    <cfRule type="cellIs" dxfId="24" priority="17" operator="equal">
      <formula>"!"</formula>
    </cfRule>
    <cfRule type="cellIs" dxfId="23" priority="18" operator="equal">
      <formula>"OK"</formula>
    </cfRule>
  </conditionalFormatting>
  <conditionalFormatting sqref="H69:I69">
    <cfRule type="duplicateValues" dxfId="22" priority="12"/>
  </conditionalFormatting>
  <conditionalFormatting sqref="H64:I64">
    <cfRule type="duplicateValues" dxfId="21" priority="11"/>
  </conditionalFormatting>
  <conditionalFormatting sqref="G32">
    <cfRule type="cellIs" dxfId="20" priority="8" operator="equal">
      <formula>"ED"</formula>
    </cfRule>
    <cfRule type="cellIs" dxfId="19" priority="9" operator="equal">
      <formula>"!"</formula>
    </cfRule>
    <cfRule type="cellIs" dxfId="18" priority="10" operator="equal">
      <formula>"OK"</formula>
    </cfRule>
  </conditionalFormatting>
  <conditionalFormatting sqref="B21">
    <cfRule type="cellIs" dxfId="17" priority="6" operator="equal">
      <formula>"!"</formula>
    </cfRule>
    <cfRule type="cellIs" dxfId="16" priority="7" operator="equal">
      <formula>"OK"</formula>
    </cfRule>
  </conditionalFormatting>
  <conditionalFormatting sqref="G35">
    <cfRule type="cellIs" dxfId="15" priority="4" operator="equal">
      <formula>"!"</formula>
    </cfRule>
    <cfRule type="cellIs" dxfId="14" priority="5" operator="equal">
      <formula>"OK"</formula>
    </cfRule>
  </conditionalFormatting>
  <conditionalFormatting sqref="G36">
    <cfRule type="cellIs" dxfId="13" priority="2" operator="equal">
      <formula>"!"</formula>
    </cfRule>
    <cfRule type="cellIs" dxfId="12" priority="3" operator="equal">
      <formula>"OK"</formula>
    </cfRule>
  </conditionalFormatting>
  <conditionalFormatting sqref="H58">
    <cfRule type="cellIs" dxfId="11" priority="1" operator="equal">
      <formula>"/"</formula>
    </cfRule>
  </conditionalFormatting>
  <printOptions horizontalCentered="1" verticalCentered="1"/>
  <pageMargins left="0.25" right="0.25" top="0.75" bottom="0.75" header="0.3" footer="0.3"/>
  <pageSetup scale="9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L52"/>
  <sheetViews>
    <sheetView view="pageBreakPreview" zoomScaleNormal="100" zoomScaleSheetLayoutView="100" workbookViewId="0">
      <selection activeCell="C11" sqref="C11"/>
    </sheetView>
  </sheetViews>
  <sheetFormatPr defaultColWidth="8.85546875" defaultRowHeight="12" x14ac:dyDescent="0.2"/>
  <cols>
    <col min="1" max="1" width="8.85546875" style="27"/>
    <col min="2" max="2" width="18.140625" style="27" customWidth="1"/>
    <col min="3" max="8" width="8.85546875" style="27"/>
    <col min="9" max="12" width="9.7109375" style="27" customWidth="1"/>
    <col min="13" max="16384" width="8.85546875" style="27"/>
  </cols>
  <sheetData>
    <row r="1" spans="1:12" ht="12.75" x14ac:dyDescent="0.2">
      <c r="A1" s="282" t="s">
        <v>207</v>
      </c>
      <c r="B1" s="282"/>
      <c r="C1" s="282"/>
      <c r="D1" s="282"/>
      <c r="E1" s="282"/>
      <c r="F1" s="282"/>
      <c r="G1" s="282"/>
    </row>
    <row r="2" spans="1:12" x14ac:dyDescent="0.2">
      <c r="A2" s="27" t="s">
        <v>154</v>
      </c>
      <c r="B2" s="299">
        <f>'CL_1 - Site Screening'!C3</f>
        <v>0</v>
      </c>
      <c r="C2" s="299"/>
      <c r="D2" s="299"/>
      <c r="E2" s="299"/>
      <c r="F2" s="27" t="s">
        <v>99</v>
      </c>
      <c r="G2" s="86">
        <f ca="1">'CL_1 - Site Screening'!G5</f>
        <v>44595</v>
      </c>
    </row>
    <row r="3" spans="1:12" x14ac:dyDescent="0.2">
      <c r="A3" s="87"/>
      <c r="B3" s="87"/>
      <c r="C3" s="87"/>
      <c r="D3" s="87"/>
      <c r="E3" s="87"/>
      <c r="F3" s="87"/>
    </row>
    <row r="4" spans="1:12" x14ac:dyDescent="0.2">
      <c r="A4" s="29" t="s">
        <v>59</v>
      </c>
      <c r="B4" s="29"/>
      <c r="C4" s="29"/>
      <c r="D4" s="29"/>
      <c r="E4" s="29"/>
      <c r="F4" s="29"/>
      <c r="G4" s="30"/>
    </row>
    <row r="5" spans="1:12" s="28" customFormat="1" ht="3.6" customHeight="1" x14ac:dyDescent="0.2">
      <c r="A5" s="88"/>
      <c r="B5" s="88"/>
      <c r="C5" s="88"/>
      <c r="D5" s="88"/>
      <c r="E5" s="88"/>
      <c r="F5" s="88"/>
    </row>
    <row r="6" spans="1:12" x14ac:dyDescent="0.2">
      <c r="A6" s="300" t="s">
        <v>313</v>
      </c>
      <c r="B6" s="300"/>
      <c r="C6" s="300"/>
      <c r="D6" s="300"/>
      <c r="E6" s="300"/>
      <c r="F6" s="300"/>
      <c r="G6" s="300"/>
    </row>
    <row r="7" spans="1:12" x14ac:dyDescent="0.2">
      <c r="A7" s="301" t="s">
        <v>310</v>
      </c>
      <c r="B7" s="301"/>
      <c r="C7" s="301"/>
      <c r="D7" s="301"/>
      <c r="E7" s="301"/>
      <c r="F7" s="301"/>
      <c r="G7" s="301"/>
    </row>
    <row r="9" spans="1:12" x14ac:dyDescent="0.2">
      <c r="A9" s="89" t="s">
        <v>243</v>
      </c>
      <c r="B9" s="89"/>
      <c r="C9" s="297" t="s">
        <v>17</v>
      </c>
      <c r="D9" s="297"/>
      <c r="E9" s="297"/>
      <c r="F9" s="297"/>
      <c r="G9" s="90"/>
    </row>
    <row r="10" spans="1:12" x14ac:dyDescent="0.2">
      <c r="A10" s="91" t="s">
        <v>61</v>
      </c>
      <c r="B10" s="91"/>
      <c r="C10" s="92" t="s">
        <v>18</v>
      </c>
      <c r="D10" s="92" t="s">
        <v>19</v>
      </c>
      <c r="E10" s="92" t="s">
        <v>20</v>
      </c>
      <c r="F10" s="92" t="s">
        <v>21</v>
      </c>
      <c r="I10" s="22" t="s">
        <v>18</v>
      </c>
      <c r="J10" s="22" t="s">
        <v>19</v>
      </c>
      <c r="K10" s="22" t="s">
        <v>20</v>
      </c>
      <c r="L10" s="22" t="s">
        <v>21</v>
      </c>
    </row>
    <row r="11" spans="1:12" x14ac:dyDescent="0.2">
      <c r="A11" s="27" t="s">
        <v>88</v>
      </c>
      <c r="C11" s="93">
        <v>0</v>
      </c>
      <c r="D11" s="93">
        <v>80</v>
      </c>
      <c r="E11" s="93">
        <v>0</v>
      </c>
      <c r="F11" s="93">
        <v>0</v>
      </c>
      <c r="I11" s="22">
        <v>30</v>
      </c>
      <c r="J11" s="22">
        <v>58</v>
      </c>
      <c r="K11" s="22">
        <v>71</v>
      </c>
      <c r="L11" s="22">
        <v>78</v>
      </c>
    </row>
    <row r="13" spans="1:12" x14ac:dyDescent="0.2">
      <c r="A13" s="27" t="s">
        <v>66</v>
      </c>
      <c r="C13" s="94">
        <f>SUM(C11:F11)</f>
        <v>80</v>
      </c>
      <c r="D13" s="27" t="s">
        <v>29</v>
      </c>
      <c r="F13" s="95"/>
      <c r="I13" s="27" t="s">
        <v>70</v>
      </c>
      <c r="J13" s="27">
        <v>1.25</v>
      </c>
      <c r="K13" s="27" t="s">
        <v>71</v>
      </c>
    </row>
    <row r="14" spans="1:12" x14ac:dyDescent="0.2">
      <c r="A14" s="27" t="s">
        <v>269</v>
      </c>
      <c r="C14" s="94">
        <f>IF(I16=0,ROUND(((C11*I11+D11*J11+E11*K11+F11*L11)/C13),0),I16)</f>
        <v>58</v>
      </c>
      <c r="F14" s="96"/>
    </row>
    <row r="15" spans="1:12" x14ac:dyDescent="0.2">
      <c r="D15" s="22"/>
      <c r="I15" s="97" t="s">
        <v>222</v>
      </c>
      <c r="J15" s="98"/>
      <c r="K15" s="98"/>
      <c r="L15" s="51"/>
    </row>
    <row r="16" spans="1:12" x14ac:dyDescent="0.2">
      <c r="I16" s="99">
        <v>0</v>
      </c>
      <c r="J16" s="98" t="s">
        <v>270</v>
      </c>
      <c r="K16" s="98"/>
      <c r="L16" s="51"/>
    </row>
    <row r="17" spans="1:12" x14ac:dyDescent="0.2">
      <c r="A17" s="100" t="s">
        <v>83</v>
      </c>
      <c r="B17" s="100"/>
      <c r="C17" s="298" t="s">
        <v>17</v>
      </c>
      <c r="D17" s="298"/>
      <c r="E17" s="298"/>
      <c r="F17" s="298"/>
      <c r="G17" s="101"/>
    </row>
    <row r="18" spans="1:12" x14ac:dyDescent="0.2">
      <c r="A18" s="91" t="s">
        <v>61</v>
      </c>
      <c r="B18" s="91"/>
      <c r="C18" s="92" t="s">
        <v>18</v>
      </c>
      <c r="D18" s="92" t="s">
        <v>19</v>
      </c>
      <c r="E18" s="92" t="s">
        <v>20</v>
      </c>
      <c r="F18" s="92" t="s">
        <v>21</v>
      </c>
      <c r="I18" s="296" t="s">
        <v>249</v>
      </c>
      <c r="J18" s="296"/>
      <c r="K18" s="296"/>
      <c r="L18" s="296"/>
    </row>
    <row r="19" spans="1:12" x14ac:dyDescent="0.2">
      <c r="A19" s="27" t="s">
        <v>60</v>
      </c>
      <c r="C19" s="93">
        <v>0</v>
      </c>
      <c r="D19" s="93">
        <v>0</v>
      </c>
      <c r="E19" s="93">
        <v>0</v>
      </c>
      <c r="F19" s="93">
        <v>0</v>
      </c>
      <c r="I19" s="22" t="s">
        <v>18</v>
      </c>
      <c r="J19" s="22" t="s">
        <v>19</v>
      </c>
      <c r="K19" s="22" t="s">
        <v>20</v>
      </c>
      <c r="L19" s="22" t="s">
        <v>21</v>
      </c>
    </row>
    <row r="20" spans="1:12" x14ac:dyDescent="0.2">
      <c r="A20" s="27" t="s">
        <v>62</v>
      </c>
      <c r="C20" s="93">
        <v>0</v>
      </c>
      <c r="D20" s="93">
        <v>0</v>
      </c>
      <c r="E20" s="93">
        <v>0</v>
      </c>
      <c r="F20" s="93">
        <v>0</v>
      </c>
      <c r="I20" s="22">
        <v>39</v>
      </c>
      <c r="J20" s="22">
        <v>61</v>
      </c>
      <c r="K20" s="22">
        <v>74</v>
      </c>
      <c r="L20" s="22">
        <v>80</v>
      </c>
    </row>
    <row r="21" spans="1:12" x14ac:dyDescent="0.2">
      <c r="A21" s="27" t="s">
        <v>63</v>
      </c>
      <c r="C21" s="93">
        <v>0</v>
      </c>
      <c r="D21" s="93">
        <v>0</v>
      </c>
      <c r="E21" s="93">
        <v>0</v>
      </c>
      <c r="F21" s="93">
        <v>0</v>
      </c>
      <c r="I21" s="22">
        <v>49</v>
      </c>
      <c r="J21" s="22">
        <v>69</v>
      </c>
      <c r="K21" s="22">
        <v>79</v>
      </c>
      <c r="L21" s="22">
        <v>84</v>
      </c>
    </row>
    <row r="22" spans="1:12" x14ac:dyDescent="0.2">
      <c r="A22" s="27" t="s">
        <v>64</v>
      </c>
      <c r="C22" s="93">
        <v>0</v>
      </c>
      <c r="D22" s="93">
        <v>0</v>
      </c>
      <c r="E22" s="93">
        <v>0</v>
      </c>
      <c r="F22" s="93">
        <v>0</v>
      </c>
      <c r="I22" s="22">
        <v>68</v>
      </c>
      <c r="J22" s="22">
        <v>79</v>
      </c>
      <c r="K22" s="22">
        <v>86</v>
      </c>
      <c r="L22" s="22">
        <v>89</v>
      </c>
    </row>
    <row r="23" spans="1:12" x14ac:dyDescent="0.2">
      <c r="A23" s="27" t="s">
        <v>90</v>
      </c>
      <c r="C23" s="93">
        <v>0</v>
      </c>
      <c r="D23" s="93">
        <v>0.5</v>
      </c>
      <c r="E23" s="93">
        <v>0</v>
      </c>
      <c r="F23" s="93">
        <v>0</v>
      </c>
      <c r="I23" s="22">
        <v>64</v>
      </c>
      <c r="J23" s="22">
        <v>74</v>
      </c>
      <c r="K23" s="22">
        <v>81</v>
      </c>
      <c r="L23" s="22">
        <v>85</v>
      </c>
    </row>
    <row r="24" spans="1:12" x14ac:dyDescent="0.2">
      <c r="A24" s="27" t="s">
        <v>65</v>
      </c>
      <c r="C24" s="93">
        <v>0</v>
      </c>
      <c r="D24" s="93">
        <v>0</v>
      </c>
      <c r="E24" s="93">
        <v>0</v>
      </c>
      <c r="F24" s="93">
        <v>0</v>
      </c>
    </row>
    <row r="25" spans="1:12" x14ac:dyDescent="0.2">
      <c r="A25" s="27" t="s">
        <v>89</v>
      </c>
      <c r="C25" s="102">
        <v>92</v>
      </c>
      <c r="D25" s="102">
        <v>92</v>
      </c>
      <c r="E25" s="102">
        <v>92</v>
      </c>
      <c r="F25" s="102">
        <v>92</v>
      </c>
      <c r="I25" s="97" t="s">
        <v>222</v>
      </c>
      <c r="J25" s="98"/>
      <c r="K25" s="98"/>
      <c r="L25" s="51"/>
    </row>
    <row r="26" spans="1:12" x14ac:dyDescent="0.2">
      <c r="C26" s="22"/>
      <c r="D26" s="20" t="s">
        <v>91</v>
      </c>
      <c r="E26" s="103" t="s">
        <v>93</v>
      </c>
      <c r="F26" s="22" t="s">
        <v>92</v>
      </c>
      <c r="I26" s="99">
        <v>0</v>
      </c>
      <c r="J26" s="98" t="s">
        <v>231</v>
      </c>
      <c r="K26" s="98"/>
      <c r="L26" s="51"/>
    </row>
    <row r="28" spans="1:12" x14ac:dyDescent="0.2">
      <c r="B28" s="20" t="s">
        <v>66</v>
      </c>
      <c r="C28" s="104">
        <f>SUM(C19:F23)+SUM(C24:F24)</f>
        <v>0.5</v>
      </c>
      <c r="D28" s="27" t="s">
        <v>29</v>
      </c>
      <c r="E28" s="20" t="s">
        <v>68</v>
      </c>
      <c r="F28" s="105">
        <f>0.05+0.009*C29*100</f>
        <v>0.05</v>
      </c>
      <c r="I28" s="27" t="s">
        <v>70</v>
      </c>
      <c r="J28" s="27">
        <v>1.25</v>
      </c>
      <c r="K28" s="27" t="s">
        <v>71</v>
      </c>
    </row>
    <row r="29" spans="1:12" x14ac:dyDescent="0.2">
      <c r="B29" s="20" t="s">
        <v>67</v>
      </c>
      <c r="C29" s="106">
        <f>(SUM(C19:F19)+SUM(C22:F22)/2+IF(E26="Y",SUM(C24:F24),0))/C28</f>
        <v>0</v>
      </c>
      <c r="E29" s="20" t="s">
        <v>69</v>
      </c>
      <c r="F29" s="107">
        <f>F28*J28*C28*43560/12+I26-IF(E26="N",0.05*J28*SUM(C24:F24)*43560/12,0)</f>
        <v>113.4375</v>
      </c>
    </row>
    <row r="30" spans="1:12" x14ac:dyDescent="0.2">
      <c r="C30" s="20" t="s">
        <v>72</v>
      </c>
      <c r="D30" s="104">
        <f>ROUND(((SUM(C19:F19)*98+C20*I20+C21*I21+C22*I22+D20*J20+D21*J21+D22*J22+E20*K20+E21*K21+E22*K22+F20*L20+F21*L21+F22*L22+C24*C25+D24*D25+E24*E25+F24*F25+C23*I23+D23*J23+E23*K23+F23*L23)/C28),0)</f>
        <v>74</v>
      </c>
      <c r="F30" s="34" t="str">
        <f>IF(I26&gt;0,"MANUAL"," ")</f>
        <v xml:space="preserve"> </v>
      </c>
    </row>
    <row r="31" spans="1:12" x14ac:dyDescent="0.2">
      <c r="C31" s="20" t="s">
        <v>244</v>
      </c>
      <c r="D31" s="104">
        <f>ROUND(1000/((10+5*J28+10*1.25*F28)-(10*((1.25*F28)^2+1.25*1.25*F28*J28)^0.5)),0)</f>
        <v>73</v>
      </c>
      <c r="F31" s="20" t="s">
        <v>95</v>
      </c>
      <c r="G31" s="108">
        <f>1.25*F28</f>
        <v>6.25E-2</v>
      </c>
    </row>
    <row r="32" spans="1:12" x14ac:dyDescent="0.2">
      <c r="A32" s="22"/>
    </row>
    <row r="33" spans="1:12" x14ac:dyDescent="0.2">
      <c r="A33" s="109" t="s">
        <v>84</v>
      </c>
      <c r="B33" s="109"/>
      <c r="C33" s="295" t="s">
        <v>17</v>
      </c>
      <c r="D33" s="295"/>
      <c r="E33" s="295"/>
      <c r="F33" s="295"/>
      <c r="G33" s="110"/>
    </row>
    <row r="34" spans="1:12" x14ac:dyDescent="0.2">
      <c r="A34" s="91" t="s">
        <v>61</v>
      </c>
      <c r="B34" s="91"/>
      <c r="C34" s="92" t="s">
        <v>18</v>
      </c>
      <c r="D34" s="92" t="s">
        <v>19</v>
      </c>
      <c r="E34" s="92" t="s">
        <v>20</v>
      </c>
      <c r="F34" s="92" t="s">
        <v>21</v>
      </c>
      <c r="I34" s="296" t="s">
        <v>249</v>
      </c>
      <c r="J34" s="296"/>
      <c r="K34" s="296"/>
      <c r="L34" s="296"/>
    </row>
    <row r="35" spans="1:12" x14ac:dyDescent="0.2">
      <c r="A35" s="27" t="s">
        <v>60</v>
      </c>
      <c r="C35" s="93">
        <v>0</v>
      </c>
      <c r="D35" s="93">
        <v>0.5</v>
      </c>
      <c r="E35" s="93">
        <v>0</v>
      </c>
      <c r="F35" s="93">
        <v>0</v>
      </c>
      <c r="I35" s="22" t="s">
        <v>18</v>
      </c>
      <c r="J35" s="22" t="s">
        <v>19</v>
      </c>
      <c r="K35" s="22" t="s">
        <v>20</v>
      </c>
      <c r="L35" s="22" t="s">
        <v>21</v>
      </c>
    </row>
    <row r="36" spans="1:12" x14ac:dyDescent="0.2">
      <c r="A36" s="27" t="s">
        <v>238</v>
      </c>
      <c r="C36" s="93">
        <v>0</v>
      </c>
      <c r="D36" s="93">
        <v>0.5</v>
      </c>
      <c r="E36" s="93">
        <v>0</v>
      </c>
      <c r="F36" s="93">
        <v>0</v>
      </c>
      <c r="I36" s="22">
        <v>39</v>
      </c>
      <c r="J36" s="22">
        <v>61</v>
      </c>
      <c r="K36" s="22">
        <v>74</v>
      </c>
      <c r="L36" s="22">
        <v>80</v>
      </c>
    </row>
    <row r="37" spans="1:12" x14ac:dyDescent="0.2">
      <c r="A37" s="27" t="s">
        <v>237</v>
      </c>
      <c r="C37" s="93">
        <v>0</v>
      </c>
      <c r="D37" s="93">
        <v>0</v>
      </c>
      <c r="E37" s="93">
        <v>0</v>
      </c>
      <c r="F37" s="93">
        <v>0</v>
      </c>
      <c r="I37" s="22">
        <v>49</v>
      </c>
      <c r="J37" s="22">
        <v>69</v>
      </c>
      <c r="K37" s="22">
        <v>79</v>
      </c>
      <c r="L37" s="22">
        <v>84</v>
      </c>
    </row>
    <row r="38" spans="1:12" x14ac:dyDescent="0.2">
      <c r="A38" s="27" t="s">
        <v>64</v>
      </c>
      <c r="C38" s="93">
        <v>0</v>
      </c>
      <c r="D38" s="93">
        <v>0</v>
      </c>
      <c r="E38" s="93">
        <v>0</v>
      </c>
      <c r="F38" s="93">
        <v>0</v>
      </c>
      <c r="I38" s="22">
        <v>68</v>
      </c>
      <c r="J38" s="22">
        <v>79</v>
      </c>
      <c r="K38" s="22">
        <v>86</v>
      </c>
      <c r="L38" s="22">
        <v>89</v>
      </c>
    </row>
    <row r="39" spans="1:12" x14ac:dyDescent="0.2">
      <c r="A39" s="27" t="s">
        <v>90</v>
      </c>
      <c r="C39" s="93">
        <v>0</v>
      </c>
      <c r="D39" s="93">
        <v>0</v>
      </c>
      <c r="E39" s="93">
        <v>0</v>
      </c>
      <c r="F39" s="93">
        <v>0</v>
      </c>
      <c r="I39" s="22">
        <v>64</v>
      </c>
      <c r="J39" s="22">
        <v>74</v>
      </c>
      <c r="K39" s="22">
        <v>81</v>
      </c>
      <c r="L39" s="22">
        <v>85</v>
      </c>
    </row>
    <row r="40" spans="1:12" x14ac:dyDescent="0.2">
      <c r="A40" s="27" t="s">
        <v>65</v>
      </c>
      <c r="C40" s="93">
        <v>0</v>
      </c>
      <c r="D40" s="93">
        <v>0</v>
      </c>
      <c r="E40" s="93">
        <v>0</v>
      </c>
      <c r="F40" s="93">
        <v>0</v>
      </c>
    </row>
    <row r="41" spans="1:12" x14ac:dyDescent="0.2">
      <c r="A41" s="27" t="s">
        <v>89</v>
      </c>
      <c r="C41" s="102">
        <v>92</v>
      </c>
      <c r="D41" s="102">
        <v>92</v>
      </c>
      <c r="E41" s="102">
        <v>92</v>
      </c>
      <c r="F41" s="102">
        <v>92</v>
      </c>
      <c r="I41" s="97" t="s">
        <v>222</v>
      </c>
      <c r="J41" s="98"/>
      <c r="K41" s="98"/>
      <c r="L41" s="51"/>
    </row>
    <row r="42" spans="1:12" x14ac:dyDescent="0.2">
      <c r="C42" s="22"/>
      <c r="D42" s="20" t="s">
        <v>91</v>
      </c>
      <c r="E42" s="103" t="s">
        <v>93</v>
      </c>
      <c r="F42" s="22" t="s">
        <v>92</v>
      </c>
      <c r="I42" s="99">
        <v>0</v>
      </c>
      <c r="J42" s="98" t="s">
        <v>231</v>
      </c>
      <c r="K42" s="98"/>
      <c r="L42" s="51"/>
    </row>
    <row r="44" spans="1:12" x14ac:dyDescent="0.2">
      <c r="B44" s="20" t="s">
        <v>66</v>
      </c>
      <c r="C44" s="111">
        <f>SUM(C35:F39)+SUM(C40:F40)</f>
        <v>1</v>
      </c>
      <c r="D44" s="27" t="s">
        <v>29</v>
      </c>
      <c r="E44" s="20" t="s">
        <v>68</v>
      </c>
      <c r="F44" s="112">
        <f>0.05+0.009*C45*100</f>
        <v>0.49999999999999994</v>
      </c>
      <c r="I44" s="27" t="s">
        <v>70</v>
      </c>
      <c r="J44" s="27">
        <v>1.25</v>
      </c>
      <c r="K44" s="27" t="s">
        <v>71</v>
      </c>
    </row>
    <row r="45" spans="1:12" x14ac:dyDescent="0.2">
      <c r="B45" s="20" t="s">
        <v>67</v>
      </c>
      <c r="C45" s="113">
        <f>(SUM(C35:F35)+SUM(C38:F38)/2+IF(E42="Y",SUM(C40:F40),0))/C44</f>
        <v>0.5</v>
      </c>
      <c r="E45" s="20" t="s">
        <v>69</v>
      </c>
      <c r="F45" s="114">
        <f>F44*J44*C44*43560/12+I42-IF(E42="N",0.05*J44*SUM(C40:F40)*43560/12,0)</f>
        <v>2268.7499999999995</v>
      </c>
    </row>
    <row r="46" spans="1:12" x14ac:dyDescent="0.2">
      <c r="C46" s="20" t="s">
        <v>72</v>
      </c>
      <c r="D46" s="111">
        <f>ROUND(((SUM(C35:F35)*98+C36*I36+C37*I37+C38*I38+D36*J36+D37*J37+D38*J38+E36*K36+E37*K37+E38*K38+F36*L36+F37*L37+F38*L38+C40*C41+D40*D41+E40*E41+F40*F41+C39*I39+D39*J39+E39*K39+F39*L39)/C44),0)</f>
        <v>80</v>
      </c>
      <c r="F46" s="34" t="str">
        <f>IF(I42&gt;0,"MANUAL"," ")</f>
        <v xml:space="preserve"> </v>
      </c>
    </row>
    <row r="47" spans="1:12" x14ac:dyDescent="0.2">
      <c r="C47" s="20" t="s">
        <v>244</v>
      </c>
      <c r="D47" s="111">
        <f>ROUND(1000/((10+5*J44+10*1.25*F44)-(10*((1.25*F44)^2+1.25*1.25*F44*J44)^0.5)),0)</f>
        <v>93</v>
      </c>
      <c r="F47" s="20" t="s">
        <v>95</v>
      </c>
      <c r="G47" s="115">
        <f>1.25*F44</f>
        <v>0.62499999999999989</v>
      </c>
    </row>
    <row r="48" spans="1:12" x14ac:dyDescent="0.2">
      <c r="A48" s="116" t="s">
        <v>245</v>
      </c>
    </row>
    <row r="49" spans="1:7" x14ac:dyDescent="0.2">
      <c r="A49" s="116" t="s">
        <v>94</v>
      </c>
    </row>
    <row r="50" spans="1:7" ht="12.75" thickBot="1" x14ac:dyDescent="0.25"/>
    <row r="51" spans="1:7" ht="15" x14ac:dyDescent="0.25">
      <c r="A51" s="42" t="s">
        <v>259</v>
      </c>
      <c r="B51" s="42"/>
      <c r="C51" s="42"/>
      <c r="D51" s="42"/>
      <c r="E51" s="42"/>
      <c r="F51" s="42"/>
      <c r="G51" s="42"/>
    </row>
    <row r="52" spans="1:7" ht="15" x14ac:dyDescent="0.25">
      <c r="A52" s="43" t="s">
        <v>260</v>
      </c>
      <c r="B52" s="43"/>
      <c r="C52" s="43"/>
      <c r="D52" s="43"/>
      <c r="E52" s="43"/>
      <c r="F52" s="43"/>
      <c r="G52" s="44" t="str">
        <f>'CL_1 - Site Screening'!J71</f>
        <v>IDALS: Issue Date: 08/03/2020</v>
      </c>
    </row>
  </sheetData>
  <sheetProtection algorithmName="SHA-512" hashValue="VAyWeer8WUkGNavfD21hcPjGSxBrTxT+skS56+bpTXt7FGaJPL6lzUoWVd6F7UOXkSITjgiNIko+NR6diPoLoQ==" saltValue="+r5RU7TJcHtiwLjh+nK49w==" spinCount="100000" sheet="1" selectLockedCells="1"/>
  <mergeCells count="9">
    <mergeCell ref="A1:G1"/>
    <mergeCell ref="C33:F33"/>
    <mergeCell ref="I34:L34"/>
    <mergeCell ref="C9:F9"/>
    <mergeCell ref="C17:F17"/>
    <mergeCell ref="I18:L18"/>
    <mergeCell ref="B2:E2"/>
    <mergeCell ref="A6:G6"/>
    <mergeCell ref="A7:G7"/>
  </mergeCells>
  <printOptions horizontalCentered="1" verticalCentered="1"/>
  <pageMargins left="0.25" right="0.25"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S78"/>
  <sheetViews>
    <sheetView view="pageBreakPreview" zoomScaleNormal="100" zoomScaleSheetLayoutView="100" workbookViewId="0">
      <selection activeCell="B18" sqref="B18"/>
    </sheetView>
  </sheetViews>
  <sheetFormatPr defaultColWidth="8.85546875" defaultRowHeight="12.75" x14ac:dyDescent="0.2"/>
  <cols>
    <col min="1" max="1" width="10.85546875" style="118" customWidth="1"/>
    <col min="2" max="8" width="10.7109375" style="118" customWidth="1"/>
    <col min="9" max="9" width="8.85546875" style="118"/>
    <col min="10" max="10" width="15.42578125" style="118" customWidth="1"/>
    <col min="11" max="16384" width="8.85546875" style="118"/>
  </cols>
  <sheetData>
    <row r="1" spans="1:9" x14ac:dyDescent="0.2">
      <c r="A1" s="282" t="s">
        <v>209</v>
      </c>
      <c r="B1" s="282"/>
      <c r="C1" s="282"/>
      <c r="D1" s="282"/>
      <c r="E1" s="282"/>
      <c r="F1" s="282"/>
      <c r="G1" s="282"/>
      <c r="H1" s="282"/>
      <c r="I1" s="117"/>
    </row>
    <row r="2" spans="1:9" x14ac:dyDescent="0.2">
      <c r="A2" s="118" t="s">
        <v>154</v>
      </c>
      <c r="B2" s="306">
        <f>'CL_1 - Site Screening'!C3</f>
        <v>0</v>
      </c>
      <c r="C2" s="306"/>
      <c r="D2" s="306"/>
      <c r="E2" s="306"/>
      <c r="F2" s="118" t="s">
        <v>99</v>
      </c>
      <c r="G2" s="305">
        <f ca="1">'CL_1 - Site Screening'!G5</f>
        <v>44595</v>
      </c>
      <c r="H2" s="305"/>
    </row>
    <row r="3" spans="1:9" s="120" customFormat="1" x14ac:dyDescent="0.2">
      <c r="A3" s="119" t="s">
        <v>155</v>
      </c>
      <c r="B3" s="119"/>
      <c r="C3" s="119"/>
      <c r="D3" s="119"/>
      <c r="E3" s="119"/>
      <c r="F3" s="119"/>
      <c r="G3" s="119"/>
      <c r="H3" s="119"/>
    </row>
    <row r="5" spans="1:9" x14ac:dyDescent="0.2">
      <c r="A5" s="121" t="s">
        <v>85</v>
      </c>
      <c r="B5" s="121"/>
      <c r="C5" s="121"/>
      <c r="D5" s="121"/>
      <c r="E5" s="121"/>
      <c r="F5" s="121"/>
      <c r="G5" s="121"/>
      <c r="H5" s="121"/>
    </row>
    <row r="7" spans="1:9" x14ac:dyDescent="0.2">
      <c r="B7" s="122" t="s">
        <v>66</v>
      </c>
      <c r="C7" s="54">
        <f>'DE_1 - Watershed Info'!C44</f>
        <v>1</v>
      </c>
      <c r="D7" s="118" t="s">
        <v>29</v>
      </c>
      <c r="E7" s="122" t="s">
        <v>68</v>
      </c>
      <c r="F7" s="123">
        <f>'DE_1 - Watershed Info'!F44</f>
        <v>0.49999999999999994</v>
      </c>
    </row>
    <row r="8" spans="1:9" x14ac:dyDescent="0.2">
      <c r="B8" s="122" t="s">
        <v>67</v>
      </c>
      <c r="C8" s="124">
        <f>'DE_1 - Watershed Info'!C45</f>
        <v>0.5</v>
      </c>
      <c r="E8" s="122" t="s">
        <v>69</v>
      </c>
      <c r="F8" s="125">
        <f>'DE_1 - Watershed Info'!F45</f>
        <v>2268.7499999999995</v>
      </c>
      <c r="G8" s="118" t="s">
        <v>82</v>
      </c>
    </row>
    <row r="9" spans="1:9" x14ac:dyDescent="0.2">
      <c r="C9" s="122" t="s">
        <v>72</v>
      </c>
      <c r="D9" s="54">
        <f>'DE_1 - Watershed Info'!D46</f>
        <v>80</v>
      </c>
      <c r="E9" s="122" t="s">
        <v>95</v>
      </c>
      <c r="F9" s="126">
        <f>'DE_1 - Watershed Info'!G47</f>
        <v>0.62499999999999989</v>
      </c>
      <c r="G9" s="118" t="s">
        <v>96</v>
      </c>
    </row>
    <row r="10" spans="1:9" x14ac:dyDescent="0.2">
      <c r="C10" s="122" t="s">
        <v>73</v>
      </c>
      <c r="D10" s="54">
        <f>'DE_1 - Watershed Info'!D47</f>
        <v>93</v>
      </c>
    </row>
    <row r="12" spans="1:9" x14ac:dyDescent="0.2">
      <c r="A12" s="121" t="s">
        <v>300</v>
      </c>
      <c r="B12" s="121"/>
      <c r="C12" s="121"/>
      <c r="D12" s="121"/>
      <c r="E12" s="121"/>
      <c r="F12" s="121"/>
      <c r="G12" s="121"/>
      <c r="H12" s="121"/>
    </row>
    <row r="13" spans="1:9" x14ac:dyDescent="0.2">
      <c r="A13" s="307" t="s">
        <v>312</v>
      </c>
      <c r="B13" s="307"/>
      <c r="C13" s="307"/>
      <c r="D13" s="307"/>
      <c r="E13" s="307"/>
      <c r="F13" s="307"/>
      <c r="G13" s="307"/>
      <c r="H13" s="307"/>
    </row>
    <row r="15" spans="1:9" x14ac:dyDescent="0.2">
      <c r="B15" s="127"/>
      <c r="C15" s="304" t="s">
        <v>250</v>
      </c>
      <c r="D15" s="304"/>
      <c r="E15" s="304" t="s">
        <v>77</v>
      </c>
      <c r="F15" s="304"/>
      <c r="G15" s="304" t="s">
        <v>78</v>
      </c>
      <c r="H15" s="304"/>
    </row>
    <row r="16" spans="1:9" x14ac:dyDescent="0.2">
      <c r="B16" s="128" t="s">
        <v>76</v>
      </c>
      <c r="C16" s="128" t="s">
        <v>79</v>
      </c>
      <c r="D16" s="128" t="s">
        <v>80</v>
      </c>
      <c r="E16" s="128" t="s">
        <v>79</v>
      </c>
      <c r="F16" s="128" t="s">
        <v>80</v>
      </c>
      <c r="G16" s="128" t="s">
        <v>79</v>
      </c>
      <c r="H16" s="128" t="s">
        <v>80</v>
      </c>
    </row>
    <row r="17" spans="1:8" x14ac:dyDescent="0.2">
      <c r="A17" s="129" t="s">
        <v>74</v>
      </c>
      <c r="B17" s="130" t="s">
        <v>71</v>
      </c>
      <c r="C17" s="130" t="s">
        <v>81</v>
      </c>
      <c r="D17" s="130" t="s">
        <v>82</v>
      </c>
      <c r="E17" s="130" t="s">
        <v>81</v>
      </c>
      <c r="F17" s="130" t="s">
        <v>82</v>
      </c>
      <c r="G17" s="130" t="s">
        <v>81</v>
      </c>
      <c r="H17" s="130" t="s">
        <v>82</v>
      </c>
    </row>
    <row r="18" spans="1:8" x14ac:dyDescent="0.2">
      <c r="A18" s="54" t="s">
        <v>75</v>
      </c>
      <c r="B18" s="131">
        <v>1.25</v>
      </c>
      <c r="C18" s="132"/>
      <c r="D18" s="133"/>
      <c r="E18" s="134"/>
      <c r="F18" s="135"/>
      <c r="G18" s="136"/>
      <c r="H18" s="137"/>
    </row>
    <row r="19" spans="1:8" x14ac:dyDescent="0.2">
      <c r="A19" s="54">
        <v>1</v>
      </c>
      <c r="B19" s="131"/>
      <c r="C19" s="138"/>
      <c r="D19" s="139"/>
      <c r="E19" s="140"/>
      <c r="F19" s="141"/>
      <c r="G19" s="136"/>
      <c r="H19" s="137"/>
    </row>
    <row r="20" spans="1:8" x14ac:dyDescent="0.2">
      <c r="A20" s="54">
        <v>2</v>
      </c>
      <c r="B20" s="131"/>
      <c r="C20" s="138"/>
      <c r="D20" s="139"/>
      <c r="E20" s="140"/>
      <c r="F20" s="141"/>
      <c r="G20" s="136"/>
      <c r="H20" s="137"/>
    </row>
    <row r="21" spans="1:8" x14ac:dyDescent="0.2">
      <c r="A21" s="54">
        <v>5</v>
      </c>
      <c r="B21" s="131"/>
      <c r="C21" s="138"/>
      <c r="D21" s="139"/>
      <c r="E21" s="140"/>
      <c r="F21" s="141"/>
      <c r="G21" s="136"/>
      <c r="H21" s="137"/>
    </row>
    <row r="22" spans="1:8" x14ac:dyDescent="0.2">
      <c r="A22" s="54">
        <v>10</v>
      </c>
      <c r="B22" s="131"/>
      <c r="C22" s="138"/>
      <c r="D22" s="139"/>
      <c r="E22" s="140"/>
      <c r="F22" s="141"/>
      <c r="G22" s="136"/>
      <c r="H22" s="137"/>
    </row>
    <row r="23" spans="1:8" x14ac:dyDescent="0.2">
      <c r="A23" s="54">
        <v>25</v>
      </c>
      <c r="B23" s="131"/>
      <c r="C23" s="138"/>
      <c r="D23" s="139"/>
      <c r="E23" s="140"/>
      <c r="F23" s="141"/>
      <c r="G23" s="136"/>
      <c r="H23" s="137"/>
    </row>
    <row r="24" spans="1:8" x14ac:dyDescent="0.2">
      <c r="A24" s="54">
        <v>50</v>
      </c>
      <c r="B24" s="131"/>
      <c r="C24" s="138"/>
      <c r="D24" s="139"/>
      <c r="E24" s="140"/>
      <c r="F24" s="141"/>
      <c r="G24" s="136"/>
      <c r="H24" s="137"/>
    </row>
    <row r="25" spans="1:8" x14ac:dyDescent="0.2">
      <c r="A25" s="54">
        <v>100</v>
      </c>
      <c r="B25" s="131"/>
      <c r="C25" s="138"/>
      <c r="D25" s="139"/>
      <c r="E25" s="140"/>
      <c r="F25" s="141"/>
      <c r="G25" s="136"/>
      <c r="H25" s="137"/>
    </row>
    <row r="26" spans="1:8" x14ac:dyDescent="0.2">
      <c r="A26" s="54"/>
      <c r="B26" s="142"/>
      <c r="C26" s="143"/>
      <c r="D26" s="144"/>
      <c r="E26" s="145"/>
      <c r="F26" s="144"/>
      <c r="G26" s="145"/>
      <c r="H26" s="146"/>
    </row>
    <row r="27" spans="1:8" x14ac:dyDescent="0.2">
      <c r="D27" s="19" t="s">
        <v>75</v>
      </c>
      <c r="E27" s="19" t="s">
        <v>248</v>
      </c>
    </row>
    <row r="28" spans="1:8" x14ac:dyDescent="0.2">
      <c r="A28" s="121" t="s">
        <v>246</v>
      </c>
      <c r="B28" s="121"/>
      <c r="C28" s="147" t="s">
        <v>95</v>
      </c>
      <c r="D28" s="148">
        <f>H18/43560/C7*12</f>
        <v>0</v>
      </c>
      <c r="E28" s="148">
        <f>H19/43560/C7*12</f>
        <v>0</v>
      </c>
      <c r="F28" s="118" t="s">
        <v>96</v>
      </c>
    </row>
    <row r="29" spans="1:8" x14ac:dyDescent="0.2">
      <c r="C29" s="122" t="s">
        <v>247</v>
      </c>
      <c r="D29" s="149" t="e">
        <f>G18*640/C7/D28</f>
        <v>#DIV/0!</v>
      </c>
      <c r="E29" s="149" t="e">
        <f>G19*640/C7/E28</f>
        <v>#DIV/0!</v>
      </c>
      <c r="F29" s="118" t="s">
        <v>101</v>
      </c>
    </row>
    <row r="30" spans="1:8" x14ac:dyDescent="0.2">
      <c r="C30" s="122" t="s">
        <v>102</v>
      </c>
      <c r="D30" s="150"/>
      <c r="E30" s="151"/>
      <c r="F30" s="118" t="s">
        <v>253</v>
      </c>
    </row>
    <row r="31" spans="1:8" x14ac:dyDescent="0.2">
      <c r="C31" s="122" t="s">
        <v>103</v>
      </c>
      <c r="D31" s="148">
        <f>D30*G18</f>
        <v>0</v>
      </c>
      <c r="E31" s="148">
        <f>E30*G19</f>
        <v>0</v>
      </c>
      <c r="F31" s="118" t="s">
        <v>81</v>
      </c>
    </row>
    <row r="33" spans="1:19" x14ac:dyDescent="0.2">
      <c r="A33" s="121" t="s">
        <v>153</v>
      </c>
      <c r="B33" s="121"/>
      <c r="C33" s="121"/>
      <c r="D33" s="121"/>
      <c r="E33" s="121"/>
      <c r="F33" s="121"/>
      <c r="G33" s="121"/>
      <c r="H33" s="121"/>
    </row>
    <row r="34" spans="1:19" x14ac:dyDescent="0.2">
      <c r="A34" s="34" t="str">
        <f>IF(J37&gt;0,"MANUAL",IF(J38&gt;0,"MANUAL",IF(J39&gt;0,"MANUAL",IF(J40&gt;0,"MANUAL",IF(J41&gt;0,"MANUAL",IF(J42&gt;0,"MANUAL",IF(J43&gt;0,"MANUAL",IF(J44&gt;0,"MANUAL"," "))))))))</f>
        <v xml:space="preserve"> </v>
      </c>
      <c r="B34" s="34"/>
      <c r="C34" s="34"/>
      <c r="D34" s="34"/>
      <c r="E34" s="34"/>
      <c r="F34" s="34"/>
      <c r="G34" s="34"/>
      <c r="H34" s="34"/>
      <c r="J34" s="152" t="s">
        <v>222</v>
      </c>
    </row>
    <row r="35" spans="1:19" x14ac:dyDescent="0.2">
      <c r="A35" s="153"/>
      <c r="B35" s="154" t="s">
        <v>104</v>
      </c>
      <c r="C35" s="154" t="s">
        <v>105</v>
      </c>
      <c r="D35" s="154" t="s">
        <v>106</v>
      </c>
      <c r="E35" s="154" t="s">
        <v>107</v>
      </c>
      <c r="F35" s="154" t="s">
        <v>108</v>
      </c>
      <c r="G35" s="154" t="s">
        <v>109</v>
      </c>
      <c r="H35" s="154" t="s">
        <v>110</v>
      </c>
      <c r="J35" s="155" t="s">
        <v>232</v>
      </c>
      <c r="S35" s="154" t="s">
        <v>104</v>
      </c>
    </row>
    <row r="36" spans="1:19" x14ac:dyDescent="0.2">
      <c r="A36" s="156" t="s">
        <v>74</v>
      </c>
      <c r="B36" s="156" t="s">
        <v>81</v>
      </c>
      <c r="C36" s="156" t="s">
        <v>81</v>
      </c>
      <c r="D36" s="156"/>
      <c r="E36" s="156"/>
      <c r="F36" s="156" t="s">
        <v>82</v>
      </c>
      <c r="G36" s="156" t="s">
        <v>82</v>
      </c>
      <c r="H36" s="156" t="s">
        <v>82</v>
      </c>
      <c r="J36" s="157" t="s">
        <v>81</v>
      </c>
      <c r="S36" s="156" t="s">
        <v>81</v>
      </c>
    </row>
    <row r="37" spans="1:19" x14ac:dyDescent="0.2">
      <c r="A37" s="158" t="s">
        <v>75</v>
      </c>
      <c r="B37" s="159" t="str">
        <f>IF('CL_2 - Design Summary'!F14="Y",IF(S37&lt;1,ROUND(S37,2),IF(S37&lt;10,ROUND(S37,1),ROUND(S37,0))),"NA")</f>
        <v>NA</v>
      </c>
      <c r="C37" s="160">
        <f>IF(G18&lt;1,ROUND(G18,2),IF(G18&lt;10,ROUND(G18,1),ROUND(G18,0)))</f>
        <v>0</v>
      </c>
      <c r="D37" s="161" t="str">
        <f>IF(B37="NA","NA",S37/C37)</f>
        <v>NA</v>
      </c>
      <c r="E37" s="162" t="str">
        <f>IF(B37="NA","NA",0.683-1.43*D37+1.64*D37^2-0.804*D37^3)</f>
        <v>NA</v>
      </c>
      <c r="F37" s="163">
        <f t="shared" ref="F37:F44" si="0">H18</f>
        <v>0</v>
      </c>
      <c r="G37" s="164" t="str">
        <f>IF(B37="NA","NA",E37*F37)</f>
        <v>NA</v>
      </c>
      <c r="H37" s="164" t="str">
        <f>IF(B37="NA","NA",ROUND(G37*1.15,-2))</f>
        <v>NA</v>
      </c>
      <c r="J37" s="165">
        <v>0</v>
      </c>
      <c r="S37" s="166">
        <f>IF(J37=0,D31,J37)</f>
        <v>0</v>
      </c>
    </row>
    <row r="38" spans="1:19" x14ac:dyDescent="0.2">
      <c r="A38" s="54">
        <v>1</v>
      </c>
      <c r="B38" s="54">
        <f t="shared" ref="B38:B43" si="1">IF(S38&lt;1,ROUND(S38,2),IF(S38&lt;10,ROUND(S38,1),ROUND(S38,0)))</f>
        <v>0</v>
      </c>
      <c r="C38" s="167">
        <f>IF(G19&lt;1,ROUND(G19,2),IF(G19&lt;10,ROUND(G19,1),ROUND(G19,0)))</f>
        <v>0</v>
      </c>
      <c r="D38" s="148" t="e">
        <f t="shared" ref="D38:D44" si="2">S38/C38</f>
        <v>#DIV/0!</v>
      </c>
      <c r="E38" s="168" t="e">
        <f>0.683-1.43*D38+1.64*D38^2-0.804*D38^3</f>
        <v>#DIV/0!</v>
      </c>
      <c r="F38" s="169">
        <f t="shared" si="0"/>
        <v>0</v>
      </c>
      <c r="G38" s="170" t="e">
        <f>E38*F38</f>
        <v>#DIV/0!</v>
      </c>
      <c r="H38" s="170" t="e">
        <f>ROUND(G38*1.15,-2)</f>
        <v>#DIV/0!</v>
      </c>
      <c r="J38" s="165">
        <v>0</v>
      </c>
      <c r="S38" s="148">
        <f>IF(J38=0,E31,J38)</f>
        <v>0</v>
      </c>
    </row>
    <row r="39" spans="1:19" x14ac:dyDescent="0.2">
      <c r="A39" s="54">
        <v>2</v>
      </c>
      <c r="B39" s="54">
        <f t="shared" si="1"/>
        <v>0</v>
      </c>
      <c r="C39" s="167">
        <f t="shared" ref="C39:C43" si="3">IF(G20&lt;1,ROUND(G20,2),IF(G20&lt;10,ROUND(G20,1),ROUND(G20,0)))</f>
        <v>0</v>
      </c>
      <c r="D39" s="148" t="e">
        <f t="shared" si="2"/>
        <v>#DIV/0!</v>
      </c>
      <c r="E39" s="168" t="e">
        <f t="shared" ref="E39:E44" si="4">0.683-1.43*D39+1.64*D39^2-0.804*D39^3</f>
        <v>#DIV/0!</v>
      </c>
      <c r="F39" s="169">
        <f t="shared" si="0"/>
        <v>0</v>
      </c>
      <c r="G39" s="170" t="e">
        <f t="shared" ref="G39:G44" si="5">E39*F39</f>
        <v>#DIV/0!</v>
      </c>
      <c r="H39" s="170" t="e">
        <f t="shared" ref="H39:H44" si="6">ROUND(G39*1.15,-2)</f>
        <v>#DIV/0!</v>
      </c>
      <c r="J39" s="165">
        <v>0</v>
      </c>
      <c r="S39" s="148">
        <f>IF(J39=0,MIN(C20,E$21),J39)</f>
        <v>0</v>
      </c>
    </row>
    <row r="40" spans="1:19" x14ac:dyDescent="0.2">
      <c r="A40" s="54">
        <v>5</v>
      </c>
      <c r="B40" s="54">
        <f t="shared" si="1"/>
        <v>0</v>
      </c>
      <c r="C40" s="167">
        <f t="shared" si="3"/>
        <v>0</v>
      </c>
      <c r="D40" s="148" t="e">
        <f t="shared" si="2"/>
        <v>#DIV/0!</v>
      </c>
      <c r="E40" s="168" t="e">
        <f t="shared" si="4"/>
        <v>#DIV/0!</v>
      </c>
      <c r="F40" s="169">
        <f t="shared" si="0"/>
        <v>0</v>
      </c>
      <c r="G40" s="170" t="e">
        <f t="shared" si="5"/>
        <v>#DIV/0!</v>
      </c>
      <c r="H40" s="170" t="e">
        <f t="shared" si="6"/>
        <v>#DIV/0!</v>
      </c>
      <c r="J40" s="165">
        <v>0</v>
      </c>
      <c r="S40" s="148">
        <f t="shared" ref="S40:S44" si="7">IF(J40=0,MIN(C21,E$21),J40)</f>
        <v>0</v>
      </c>
    </row>
    <row r="41" spans="1:19" x14ac:dyDescent="0.2">
      <c r="A41" s="54">
        <v>10</v>
      </c>
      <c r="B41" s="54">
        <f t="shared" si="1"/>
        <v>0</v>
      </c>
      <c r="C41" s="167">
        <f t="shared" si="3"/>
        <v>0</v>
      </c>
      <c r="D41" s="148" t="e">
        <f t="shared" si="2"/>
        <v>#DIV/0!</v>
      </c>
      <c r="E41" s="168" t="e">
        <f t="shared" si="4"/>
        <v>#DIV/0!</v>
      </c>
      <c r="F41" s="169">
        <f t="shared" si="0"/>
        <v>0</v>
      </c>
      <c r="G41" s="170" t="e">
        <f t="shared" si="5"/>
        <v>#DIV/0!</v>
      </c>
      <c r="H41" s="170" t="e">
        <f t="shared" si="6"/>
        <v>#DIV/0!</v>
      </c>
      <c r="J41" s="165">
        <v>0</v>
      </c>
      <c r="S41" s="148">
        <f t="shared" si="7"/>
        <v>0</v>
      </c>
    </row>
    <row r="42" spans="1:19" x14ac:dyDescent="0.2">
      <c r="A42" s="54">
        <v>25</v>
      </c>
      <c r="B42" s="54">
        <f t="shared" si="1"/>
        <v>0</v>
      </c>
      <c r="C42" s="167">
        <f t="shared" si="3"/>
        <v>0</v>
      </c>
      <c r="D42" s="148" t="e">
        <f t="shared" si="2"/>
        <v>#DIV/0!</v>
      </c>
      <c r="E42" s="168" t="e">
        <f t="shared" si="4"/>
        <v>#DIV/0!</v>
      </c>
      <c r="F42" s="169">
        <f t="shared" si="0"/>
        <v>0</v>
      </c>
      <c r="G42" s="170" t="e">
        <f t="shared" si="5"/>
        <v>#DIV/0!</v>
      </c>
      <c r="H42" s="170" t="e">
        <f t="shared" si="6"/>
        <v>#DIV/0!</v>
      </c>
      <c r="J42" s="165">
        <v>0</v>
      </c>
      <c r="S42" s="148">
        <f t="shared" si="7"/>
        <v>0</v>
      </c>
    </row>
    <row r="43" spans="1:19" x14ac:dyDescent="0.2">
      <c r="A43" s="54">
        <v>50</v>
      </c>
      <c r="B43" s="54">
        <f t="shared" si="1"/>
        <v>0</v>
      </c>
      <c r="C43" s="167">
        <f t="shared" si="3"/>
        <v>0</v>
      </c>
      <c r="D43" s="148" t="e">
        <f t="shared" si="2"/>
        <v>#DIV/0!</v>
      </c>
      <c r="E43" s="168" t="e">
        <f t="shared" si="4"/>
        <v>#DIV/0!</v>
      </c>
      <c r="F43" s="169">
        <f t="shared" si="0"/>
        <v>0</v>
      </c>
      <c r="G43" s="170" t="e">
        <f t="shared" si="5"/>
        <v>#DIV/0!</v>
      </c>
      <c r="H43" s="170" t="e">
        <f t="shared" si="6"/>
        <v>#DIV/0!</v>
      </c>
      <c r="J43" s="165">
        <v>0</v>
      </c>
      <c r="S43" s="148">
        <f t="shared" si="7"/>
        <v>0</v>
      </c>
    </row>
    <row r="44" spans="1:19" x14ac:dyDescent="0.2">
      <c r="A44" s="54">
        <v>100</v>
      </c>
      <c r="B44" s="54">
        <f t="shared" ref="B44" si="8">IF(S44&lt;1,ROUND(S44,2),IF(S44&lt;10,ROUND(S44,1),ROUND(S44,0)))</f>
        <v>0</v>
      </c>
      <c r="C44" s="167">
        <f>IF(G25&lt;1,ROUND(G25,2),IF(G25&lt;10,ROUND(G25,1),ROUND(G25,0)))</f>
        <v>0</v>
      </c>
      <c r="D44" s="148" t="e">
        <f t="shared" si="2"/>
        <v>#DIV/0!</v>
      </c>
      <c r="E44" s="168" t="e">
        <f t="shared" si="4"/>
        <v>#DIV/0!</v>
      </c>
      <c r="F44" s="169">
        <f t="shared" si="0"/>
        <v>0</v>
      </c>
      <c r="G44" s="170" t="e">
        <f t="shared" si="5"/>
        <v>#DIV/0!</v>
      </c>
      <c r="H44" s="170" t="e">
        <f t="shared" si="6"/>
        <v>#DIV/0!</v>
      </c>
      <c r="J44" s="171">
        <v>0</v>
      </c>
      <c r="S44" s="148">
        <f t="shared" si="7"/>
        <v>0</v>
      </c>
    </row>
    <row r="45" spans="1:19" ht="13.5" thickBot="1" x14ac:dyDescent="0.25">
      <c r="A45" s="54"/>
      <c r="B45" s="54"/>
      <c r="C45" s="167"/>
      <c r="D45" s="148"/>
      <c r="E45" s="168"/>
      <c r="F45" s="169"/>
      <c r="G45" s="170"/>
      <c r="H45" s="170"/>
      <c r="J45" s="172"/>
      <c r="S45" s="148"/>
    </row>
    <row r="46" spans="1:19" ht="15" x14ac:dyDescent="0.25">
      <c r="A46" s="42" t="s">
        <v>261</v>
      </c>
      <c r="B46" s="42"/>
      <c r="C46" s="42"/>
      <c r="D46" s="42"/>
      <c r="E46" s="42"/>
      <c r="F46" s="42"/>
      <c r="G46" s="42"/>
      <c r="H46" s="173"/>
      <c r="J46" s="172"/>
      <c r="S46" s="148"/>
    </row>
    <row r="47" spans="1:19" ht="15" x14ac:dyDescent="0.25">
      <c r="A47" s="43" t="s">
        <v>262</v>
      </c>
      <c r="B47" s="43"/>
      <c r="C47" s="43"/>
      <c r="D47" s="43"/>
      <c r="E47" s="43"/>
      <c r="F47" s="43"/>
      <c r="G47" s="43"/>
      <c r="H47" s="44" t="str">
        <f>'CL_1 - Site Screening'!J71</f>
        <v>IDALS: Issue Date: 08/03/2020</v>
      </c>
      <c r="J47" s="172"/>
      <c r="S47" s="148"/>
    </row>
    <row r="48" spans="1:19" x14ac:dyDescent="0.2">
      <c r="B48" s="174"/>
    </row>
    <row r="50" spans="1:8" x14ac:dyDescent="0.2">
      <c r="A50" s="303" t="s">
        <v>252</v>
      </c>
      <c r="B50" s="303"/>
      <c r="C50" s="303"/>
      <c r="D50" s="303"/>
      <c r="E50" s="303"/>
      <c r="F50" s="303"/>
      <c r="G50" s="303"/>
      <c r="H50" s="303"/>
    </row>
    <row r="77" spans="1:8" x14ac:dyDescent="0.2">
      <c r="A77" s="302" t="s">
        <v>271</v>
      </c>
      <c r="B77" s="302"/>
      <c r="C77" s="302"/>
      <c r="D77" s="302"/>
      <c r="E77" s="302"/>
      <c r="F77" s="302"/>
      <c r="G77" s="302"/>
      <c r="H77" s="302"/>
    </row>
    <row r="78" spans="1:8" x14ac:dyDescent="0.2">
      <c r="A78" s="175"/>
      <c r="B78" s="175"/>
      <c r="C78" s="175"/>
      <c r="D78" s="175"/>
      <c r="E78" s="175"/>
      <c r="F78" s="175"/>
      <c r="G78" s="175"/>
      <c r="H78" s="175"/>
    </row>
  </sheetData>
  <sheetProtection algorithmName="SHA-512" hashValue="UiM3TsQtW4g1PeJNTwbd/H+1PK3mn6T7VaH95Edlby8piGKxi20IG2pi28OC7JU4eO0aPFt4OqWH6RkF6sv9bQ==" saltValue="BwhZwee12XvrES02bHmJyw==" spinCount="100000" sheet="1" selectLockedCells="1"/>
  <mergeCells count="9">
    <mergeCell ref="A77:H77"/>
    <mergeCell ref="A50:H50"/>
    <mergeCell ref="A1:H1"/>
    <mergeCell ref="C15:D15"/>
    <mergeCell ref="E15:F15"/>
    <mergeCell ref="G15:H15"/>
    <mergeCell ref="G2:H2"/>
    <mergeCell ref="B2:E2"/>
    <mergeCell ref="A13:H13"/>
  </mergeCells>
  <printOptions horizontalCentered="1" verticalCentered="1"/>
  <pageMargins left="0.25" right="0.25"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P79"/>
  <sheetViews>
    <sheetView view="pageBreakPreview" zoomScaleNormal="100" zoomScaleSheetLayoutView="100" workbookViewId="0">
      <selection activeCell="H7" sqref="H7"/>
    </sheetView>
  </sheetViews>
  <sheetFormatPr defaultColWidth="8.85546875" defaultRowHeight="15" x14ac:dyDescent="0.25"/>
  <cols>
    <col min="1" max="1" width="23.85546875" style="43" customWidth="1"/>
    <col min="2" max="3" width="13" style="43" customWidth="1"/>
    <col min="4" max="4" width="19.28515625" style="43" customWidth="1"/>
    <col min="5" max="5" width="17" style="43" customWidth="1"/>
    <col min="6" max="6" width="6" style="43" customWidth="1"/>
    <col min="7" max="7" width="8.85546875" style="43"/>
    <col min="8" max="8" width="17" style="181" customWidth="1"/>
    <col min="9" max="9" width="8.85546875" style="43"/>
    <col min="10" max="13" width="14" style="43" customWidth="1"/>
    <col min="14" max="16384" width="8.85546875" style="43"/>
  </cols>
  <sheetData>
    <row r="1" spans="1:10" x14ac:dyDescent="0.25">
      <c r="A1" s="282" t="s">
        <v>210</v>
      </c>
      <c r="B1" s="282"/>
      <c r="C1" s="282"/>
      <c r="D1" s="282"/>
      <c r="E1" s="282"/>
      <c r="F1" s="282"/>
      <c r="G1" s="117"/>
      <c r="H1" s="19"/>
      <c r="I1" s="117"/>
    </row>
    <row r="2" spans="1:10" s="118" customFormat="1" ht="12.75" x14ac:dyDescent="0.2">
      <c r="A2" s="118" t="s">
        <v>154</v>
      </c>
      <c r="B2" s="306">
        <f>'CL_1 - Site Screening'!C3</f>
        <v>0</v>
      </c>
      <c r="C2" s="306"/>
      <c r="D2" s="306"/>
      <c r="E2" s="176">
        <f ca="1">'CL_1 - Site Screening'!G5</f>
        <v>44595</v>
      </c>
      <c r="F2" s="177" t="s">
        <v>159</v>
      </c>
      <c r="H2" s="54"/>
    </row>
    <row r="3" spans="1:10" s="120" customFormat="1" ht="12.75" x14ac:dyDescent="0.2">
      <c r="A3" s="119" t="s">
        <v>156</v>
      </c>
      <c r="B3" s="119"/>
      <c r="C3" s="119"/>
      <c r="D3" s="119"/>
      <c r="E3" s="119"/>
      <c r="F3" s="119"/>
      <c r="H3" s="178"/>
    </row>
    <row r="4" spans="1:10" s="120" customFormat="1" ht="12.75" x14ac:dyDescent="0.2">
      <c r="H4" s="178"/>
    </row>
    <row r="5" spans="1:10" x14ac:dyDescent="0.25">
      <c r="A5" s="179" t="s">
        <v>116</v>
      </c>
      <c r="B5" s="180"/>
      <c r="C5" s="180"/>
      <c r="D5" s="180"/>
      <c r="E5" s="180"/>
      <c r="F5" s="180"/>
    </row>
    <row r="6" spans="1:10" x14ac:dyDescent="0.25">
      <c r="D6" s="312" t="s">
        <v>208</v>
      </c>
      <c r="E6" s="312"/>
      <c r="F6" s="312"/>
      <c r="H6" s="308" t="s">
        <v>222</v>
      </c>
      <c r="I6" s="309"/>
      <c r="J6" s="310"/>
    </row>
    <row r="7" spans="1:10" x14ac:dyDescent="0.25">
      <c r="A7" s="44" t="s">
        <v>5</v>
      </c>
      <c r="B7" s="182">
        <f>IF(H7=0,'DE_1 - Watershed Info'!F45-'CL_2 - Design Summary'!F15,H7)</f>
        <v>2268.7499999999995</v>
      </c>
      <c r="C7" s="43" t="s">
        <v>82</v>
      </c>
      <c r="D7" s="183" t="str">
        <f>IF(H7+H8=0," ","MANUAL")</f>
        <v xml:space="preserve"> </v>
      </c>
      <c r="H7" s="184">
        <v>0</v>
      </c>
      <c r="I7" s="185" t="s">
        <v>233</v>
      </c>
      <c r="J7" s="186"/>
    </row>
    <row r="8" spans="1:10" x14ac:dyDescent="0.25">
      <c r="A8" s="44" t="s">
        <v>7</v>
      </c>
      <c r="B8" s="182">
        <f>IF(H8=0,B7*0.1,H8)</f>
        <v>226.87499999999997</v>
      </c>
      <c r="C8" s="43" t="s">
        <v>82</v>
      </c>
      <c r="D8" s="43" t="s">
        <v>160</v>
      </c>
      <c r="H8" s="184">
        <v>0</v>
      </c>
      <c r="I8" s="185" t="s">
        <v>234</v>
      </c>
      <c r="J8" s="186"/>
    </row>
    <row r="9" spans="1:10" x14ac:dyDescent="0.25">
      <c r="A9" s="44" t="s">
        <v>8</v>
      </c>
      <c r="B9" s="187">
        <v>0</v>
      </c>
      <c r="C9" s="43" t="s">
        <v>82</v>
      </c>
      <c r="D9" s="311"/>
      <c r="E9" s="311"/>
      <c r="F9" s="311"/>
    </row>
    <row r="10" spans="1:10" s="190" customFormat="1" ht="3.6" customHeight="1" x14ac:dyDescent="0.25">
      <c r="A10" s="188"/>
      <c r="B10" s="189"/>
      <c r="D10" s="191"/>
      <c r="E10" s="191"/>
      <c r="F10" s="191"/>
      <c r="H10" s="192"/>
    </row>
    <row r="11" spans="1:10" x14ac:dyDescent="0.25">
      <c r="A11" s="44" t="s">
        <v>9</v>
      </c>
      <c r="B11" s="182">
        <f>B8-B9</f>
        <v>226.87499999999997</v>
      </c>
      <c r="C11" s="43" t="s">
        <v>82</v>
      </c>
      <c r="D11" s="311" t="s">
        <v>56</v>
      </c>
      <c r="E11" s="311"/>
      <c r="F11" s="311"/>
    </row>
    <row r="13" spans="1:10" x14ac:dyDescent="0.25">
      <c r="A13" s="179" t="s">
        <v>0</v>
      </c>
      <c r="B13" s="180"/>
      <c r="C13" s="180"/>
      <c r="D13" s="180"/>
      <c r="E13" s="180"/>
      <c r="F13" s="180"/>
    </row>
    <row r="15" spans="1:10" x14ac:dyDescent="0.25">
      <c r="A15" s="179" t="s">
        <v>111</v>
      </c>
      <c r="B15" s="180"/>
      <c r="C15" s="180"/>
      <c r="D15" s="193" t="s">
        <v>239</v>
      </c>
      <c r="E15" s="194">
        <v>100</v>
      </c>
      <c r="F15" s="180"/>
    </row>
    <row r="16" spans="1:10" x14ac:dyDescent="0.25">
      <c r="A16" s="195" t="s">
        <v>240</v>
      </c>
      <c r="B16" s="195" t="s">
        <v>1</v>
      </c>
      <c r="C16" s="195" t="s">
        <v>2</v>
      </c>
      <c r="D16" s="195" t="s">
        <v>3</v>
      </c>
      <c r="E16" s="195" t="s">
        <v>4</v>
      </c>
    </row>
    <row r="17" spans="1:16" s="181" customFormat="1" x14ac:dyDescent="0.25">
      <c r="A17" s="181" t="s">
        <v>86</v>
      </c>
      <c r="B17" s="181" t="s">
        <v>86</v>
      </c>
      <c r="C17" s="181" t="s">
        <v>115</v>
      </c>
      <c r="D17" s="181" t="s">
        <v>82</v>
      </c>
      <c r="E17" s="181" t="s">
        <v>82</v>
      </c>
    </row>
    <row r="18" spans="1:16" x14ac:dyDescent="0.25">
      <c r="A18" s="196">
        <v>0</v>
      </c>
      <c r="B18" s="197">
        <f>E$15-A18</f>
        <v>100</v>
      </c>
      <c r="C18" s="198"/>
      <c r="D18" s="199"/>
      <c r="E18" s="199"/>
      <c r="J18" s="181"/>
      <c r="K18" s="181"/>
      <c r="L18" s="181"/>
      <c r="M18" s="181"/>
      <c r="N18" s="181"/>
      <c r="O18" s="181"/>
      <c r="P18" s="181"/>
    </row>
    <row r="19" spans="1:16" x14ac:dyDescent="0.25">
      <c r="A19" s="200">
        <v>1</v>
      </c>
      <c r="B19" s="197">
        <f t="shared" ref="B19:B23" si="0">E$15-A19</f>
        <v>99</v>
      </c>
      <c r="C19" s="198"/>
      <c r="D19" s="199">
        <f>IF(A19&gt;0,(C18+C19)*(B18-B19)/2,0)</f>
        <v>0</v>
      </c>
      <c r="E19" s="199">
        <f>D19+E18</f>
        <v>0</v>
      </c>
      <c r="I19" s="201"/>
      <c r="J19" s="181"/>
      <c r="K19" s="181"/>
      <c r="L19" s="181"/>
      <c r="M19" s="181"/>
      <c r="N19" s="181"/>
      <c r="O19" s="181"/>
      <c r="P19" s="181"/>
    </row>
    <row r="20" spans="1:16" x14ac:dyDescent="0.25">
      <c r="A20" s="200"/>
      <c r="B20" s="197">
        <f t="shared" si="0"/>
        <v>100</v>
      </c>
      <c r="C20" s="198"/>
      <c r="D20" s="199">
        <f t="shared" ref="D20:D23" si="1">IF(A20&gt;0,(C19+C20)*(B19-B20)/2,0)</f>
        <v>0</v>
      </c>
      <c r="E20" s="199">
        <f t="shared" ref="E20" si="2">D20+E19</f>
        <v>0</v>
      </c>
      <c r="J20" s="181"/>
      <c r="K20" s="181"/>
      <c r="L20" s="181"/>
      <c r="M20" s="181"/>
      <c r="N20" s="181"/>
      <c r="O20" s="181"/>
      <c r="P20" s="181"/>
    </row>
    <row r="21" spans="1:16" x14ac:dyDescent="0.25">
      <c r="A21" s="200"/>
      <c r="B21" s="197">
        <f t="shared" si="0"/>
        <v>100</v>
      </c>
      <c r="C21" s="198"/>
      <c r="D21" s="199">
        <f t="shared" si="1"/>
        <v>0</v>
      </c>
      <c r="E21" s="199">
        <f t="shared" ref="E21:E23" si="3">D21+E20</f>
        <v>0</v>
      </c>
      <c r="J21" s="181"/>
      <c r="K21" s="181"/>
      <c r="L21" s="181"/>
      <c r="M21" s="181"/>
      <c r="N21" s="181"/>
      <c r="O21" s="181"/>
      <c r="P21" s="181"/>
    </row>
    <row r="22" spans="1:16" x14ac:dyDescent="0.25">
      <c r="A22" s="200"/>
      <c r="B22" s="197">
        <f t="shared" si="0"/>
        <v>100</v>
      </c>
      <c r="C22" s="198"/>
      <c r="D22" s="199">
        <f t="shared" si="1"/>
        <v>0</v>
      </c>
      <c r="E22" s="199">
        <f t="shared" si="3"/>
        <v>0</v>
      </c>
      <c r="J22" s="181"/>
      <c r="K22" s="181"/>
      <c r="L22" s="181"/>
      <c r="M22" s="181"/>
      <c r="N22" s="181"/>
      <c r="O22" s="181"/>
      <c r="P22" s="181"/>
    </row>
    <row r="23" spans="1:16" x14ac:dyDescent="0.25">
      <c r="A23" s="200"/>
      <c r="B23" s="197">
        <f t="shared" si="0"/>
        <v>100</v>
      </c>
      <c r="C23" s="198"/>
      <c r="D23" s="199">
        <f t="shared" si="1"/>
        <v>0</v>
      </c>
      <c r="E23" s="199">
        <f t="shared" si="3"/>
        <v>0</v>
      </c>
      <c r="J23" s="181"/>
      <c r="K23" s="181"/>
      <c r="L23" s="181"/>
      <c r="M23" s="181"/>
      <c r="N23" s="181"/>
      <c r="O23" s="181"/>
      <c r="P23" s="181"/>
    </row>
    <row r="24" spans="1:16" x14ac:dyDescent="0.25">
      <c r="A24" s="181"/>
    </row>
    <row r="25" spans="1:16" x14ac:dyDescent="0.25">
      <c r="A25" s="181"/>
      <c r="E25" s="44"/>
      <c r="F25" s="202"/>
    </row>
    <row r="26" spans="1:16" x14ac:dyDescent="0.25">
      <c r="A26" s="179" t="s">
        <v>112</v>
      </c>
      <c r="B26" s="180"/>
      <c r="C26" s="180"/>
      <c r="D26" s="193" t="s">
        <v>239</v>
      </c>
      <c r="E26" s="194">
        <v>100</v>
      </c>
      <c r="F26" s="203"/>
    </row>
    <row r="27" spans="1:16" x14ac:dyDescent="0.25">
      <c r="A27" s="195" t="s">
        <v>240</v>
      </c>
      <c r="B27" s="195" t="s">
        <v>1</v>
      </c>
      <c r="C27" s="195" t="s">
        <v>2</v>
      </c>
      <c r="D27" s="195" t="s">
        <v>3</v>
      </c>
      <c r="E27" s="195" t="s">
        <v>4</v>
      </c>
      <c r="F27" s="202"/>
      <c r="K27" s="204"/>
    </row>
    <row r="28" spans="1:16" x14ac:dyDescent="0.25">
      <c r="A28" s="181" t="s">
        <v>86</v>
      </c>
      <c r="B28" s="181" t="s">
        <v>86</v>
      </c>
      <c r="C28" s="181" t="s">
        <v>115</v>
      </c>
      <c r="D28" s="181" t="s">
        <v>82</v>
      </c>
      <c r="E28" s="181" t="s">
        <v>82</v>
      </c>
      <c r="F28" s="202"/>
      <c r="K28" s="204"/>
    </row>
    <row r="29" spans="1:16" x14ac:dyDescent="0.25">
      <c r="A29" s="196">
        <v>0</v>
      </c>
      <c r="B29" s="197">
        <f>E$26-A29</f>
        <v>100</v>
      </c>
      <c r="C29" s="198"/>
      <c r="D29" s="199"/>
      <c r="E29" s="199"/>
      <c r="F29" s="202"/>
      <c r="K29" s="204"/>
    </row>
    <row r="30" spans="1:16" x14ac:dyDescent="0.25">
      <c r="A30" s="200">
        <v>1</v>
      </c>
      <c r="B30" s="197">
        <f t="shared" ref="B30:B34" si="4">E$26-A30</f>
        <v>99</v>
      </c>
      <c r="C30" s="198"/>
      <c r="D30" s="199">
        <f>IF(A30&gt;0,(C29+C30)*(B29-B30)/2,0)</f>
        <v>0</v>
      </c>
      <c r="E30" s="199">
        <f>D30+E29</f>
        <v>0</v>
      </c>
      <c r="F30" s="202"/>
    </row>
    <row r="31" spans="1:16" x14ac:dyDescent="0.25">
      <c r="A31" s="200"/>
      <c r="B31" s="197">
        <f t="shared" si="4"/>
        <v>100</v>
      </c>
      <c r="C31" s="198"/>
      <c r="D31" s="199">
        <f t="shared" ref="D31:D34" si="5">IF(A31&gt;0,(C30+C31)*(B30-B31)/2,0)</f>
        <v>0</v>
      </c>
      <c r="E31" s="199">
        <f t="shared" ref="E31:E34" si="6">D31+E30</f>
        <v>0</v>
      </c>
      <c r="F31" s="202"/>
    </row>
    <row r="32" spans="1:16" x14ac:dyDescent="0.25">
      <c r="A32" s="200"/>
      <c r="B32" s="197">
        <f t="shared" si="4"/>
        <v>100</v>
      </c>
      <c r="C32" s="198"/>
      <c r="D32" s="199">
        <f t="shared" si="5"/>
        <v>0</v>
      </c>
      <c r="E32" s="199">
        <f t="shared" si="6"/>
        <v>0</v>
      </c>
      <c r="F32" s="202"/>
    </row>
    <row r="33" spans="1:13" x14ac:dyDescent="0.25">
      <c r="A33" s="200"/>
      <c r="B33" s="197">
        <f t="shared" si="4"/>
        <v>100</v>
      </c>
      <c r="C33" s="198"/>
      <c r="D33" s="199">
        <f t="shared" si="5"/>
        <v>0</v>
      </c>
      <c r="E33" s="199">
        <f t="shared" si="6"/>
        <v>0</v>
      </c>
      <c r="F33" s="202"/>
    </row>
    <row r="34" spans="1:13" x14ac:dyDescent="0.25">
      <c r="A34" s="200"/>
      <c r="B34" s="197">
        <f t="shared" si="4"/>
        <v>100</v>
      </c>
      <c r="C34" s="198"/>
      <c r="D34" s="199">
        <f t="shared" si="5"/>
        <v>0</v>
      </c>
      <c r="E34" s="199">
        <f t="shared" si="6"/>
        <v>0</v>
      </c>
    </row>
    <row r="36" spans="1:13" x14ac:dyDescent="0.25">
      <c r="A36" s="181"/>
      <c r="B36" s="181"/>
      <c r="J36" s="181"/>
      <c r="K36" s="181"/>
    </row>
    <row r="37" spans="1:13" x14ac:dyDescent="0.25">
      <c r="A37" s="179" t="s">
        <v>113</v>
      </c>
      <c r="B37" s="179"/>
      <c r="C37" s="179"/>
      <c r="D37" s="193" t="s">
        <v>239</v>
      </c>
      <c r="E37" s="194">
        <v>0</v>
      </c>
      <c r="F37" s="205"/>
      <c r="J37" s="181"/>
      <c r="K37" s="181"/>
      <c r="L37" s="181"/>
      <c r="M37" s="181"/>
    </row>
    <row r="38" spans="1:13" x14ac:dyDescent="0.25">
      <c r="A38" s="195" t="s">
        <v>240</v>
      </c>
      <c r="B38" s="195" t="s">
        <v>1</v>
      </c>
      <c r="C38" s="195" t="s">
        <v>2</v>
      </c>
      <c r="D38" s="195" t="s">
        <v>3</v>
      </c>
      <c r="E38" s="195" t="s">
        <v>4</v>
      </c>
      <c r="F38" s="181"/>
      <c r="J38" s="181"/>
      <c r="K38" s="181"/>
      <c r="L38" s="181"/>
      <c r="M38" s="181"/>
    </row>
    <row r="39" spans="1:13" x14ac:dyDescent="0.25">
      <c r="A39" s="181" t="s">
        <v>86</v>
      </c>
      <c r="B39" s="181" t="s">
        <v>86</v>
      </c>
      <c r="C39" s="181" t="s">
        <v>115</v>
      </c>
      <c r="D39" s="181" t="s">
        <v>82</v>
      </c>
      <c r="E39" s="181" t="s">
        <v>82</v>
      </c>
      <c r="F39" s="181"/>
      <c r="J39" s="181"/>
      <c r="K39" s="181"/>
      <c r="L39" s="181"/>
      <c r="M39" s="181"/>
    </row>
    <row r="40" spans="1:13" x14ac:dyDescent="0.25">
      <c r="A40" s="196">
        <v>0</v>
      </c>
      <c r="B40" s="197">
        <f>E$37-A40</f>
        <v>0</v>
      </c>
      <c r="C40" s="198"/>
      <c r="D40" s="199"/>
      <c r="E40" s="199"/>
      <c r="F40" s="181"/>
      <c r="J40" s="181"/>
      <c r="K40" s="181"/>
      <c r="L40" s="181"/>
      <c r="M40" s="181"/>
    </row>
    <row r="41" spans="1:13" x14ac:dyDescent="0.25">
      <c r="A41" s="200">
        <v>1</v>
      </c>
      <c r="B41" s="197">
        <f t="shared" ref="B41:B45" si="7">E$37-A41</f>
        <v>-1</v>
      </c>
      <c r="C41" s="198"/>
      <c r="D41" s="199">
        <f>IF(A41&gt;0,(C40+C41)*(B40-B41)/2,0)</f>
        <v>0</v>
      </c>
      <c r="E41" s="199">
        <f>D41+E40</f>
        <v>0</v>
      </c>
      <c r="F41" s="181"/>
      <c r="J41" s="181"/>
      <c r="K41" s="181"/>
      <c r="L41" s="181"/>
      <c r="M41" s="181"/>
    </row>
    <row r="42" spans="1:13" x14ac:dyDescent="0.25">
      <c r="A42" s="200"/>
      <c r="B42" s="197">
        <f t="shared" si="7"/>
        <v>0</v>
      </c>
      <c r="C42" s="198"/>
      <c r="D42" s="199">
        <f t="shared" ref="D42:D45" si="8">IF(A42&gt;0,(C41+C42)*(B41-B42)/2,0)</f>
        <v>0</v>
      </c>
      <c r="E42" s="199">
        <f t="shared" ref="E42:E45" si="9">D42+E41</f>
        <v>0</v>
      </c>
      <c r="F42" s="181"/>
      <c r="J42" s="181"/>
      <c r="K42" s="181"/>
      <c r="L42" s="181"/>
      <c r="M42" s="181"/>
    </row>
    <row r="43" spans="1:13" x14ac:dyDescent="0.25">
      <c r="A43" s="200"/>
      <c r="B43" s="197">
        <f t="shared" si="7"/>
        <v>0</v>
      </c>
      <c r="C43" s="198"/>
      <c r="D43" s="199">
        <f t="shared" si="8"/>
        <v>0</v>
      </c>
      <c r="E43" s="199">
        <f t="shared" si="9"/>
        <v>0</v>
      </c>
      <c r="F43" s="181"/>
      <c r="J43" s="181"/>
      <c r="K43" s="181"/>
      <c r="L43" s="181"/>
      <c r="M43" s="181"/>
    </row>
    <row r="44" spans="1:13" x14ac:dyDescent="0.25">
      <c r="A44" s="200"/>
      <c r="B44" s="197">
        <f t="shared" si="7"/>
        <v>0</v>
      </c>
      <c r="C44" s="198"/>
      <c r="D44" s="199">
        <f t="shared" si="8"/>
        <v>0</v>
      </c>
      <c r="E44" s="199">
        <f t="shared" si="9"/>
        <v>0</v>
      </c>
      <c r="F44" s="181"/>
      <c r="J44" s="181"/>
      <c r="K44" s="181"/>
      <c r="L44" s="181"/>
      <c r="M44" s="181"/>
    </row>
    <row r="45" spans="1:13" x14ac:dyDescent="0.25">
      <c r="A45" s="200"/>
      <c r="B45" s="197">
        <f t="shared" si="7"/>
        <v>0</v>
      </c>
      <c r="C45" s="198"/>
      <c r="D45" s="199">
        <f t="shared" si="8"/>
        <v>0</v>
      </c>
      <c r="E45" s="199">
        <f t="shared" si="9"/>
        <v>0</v>
      </c>
      <c r="F45" s="181"/>
      <c r="J45" s="181"/>
      <c r="K45" s="181"/>
      <c r="L45" s="181"/>
      <c r="M45" s="181"/>
    </row>
    <row r="46" spans="1:13" x14ac:dyDescent="0.25">
      <c r="A46" s="181"/>
      <c r="B46" s="181"/>
      <c r="C46" s="181"/>
      <c r="D46" s="206" t="str">
        <f>IF(H47=0," ","MANUAL")</f>
        <v xml:space="preserve"> </v>
      </c>
      <c r="E46" s="181"/>
      <c r="F46" s="181"/>
      <c r="H46" s="308" t="s">
        <v>222</v>
      </c>
      <c r="I46" s="309"/>
      <c r="J46" s="310"/>
      <c r="K46" s="181"/>
      <c r="L46" s="181"/>
      <c r="M46" s="181"/>
    </row>
    <row r="47" spans="1:13" x14ac:dyDescent="0.25">
      <c r="A47" s="181"/>
      <c r="B47" s="181"/>
      <c r="C47" s="44" t="s">
        <v>114</v>
      </c>
      <c r="D47" s="199">
        <f>IF(H47=0,MAX(E19:E23)+MAX(E30:E34)+MAX(E41:E45),H47)</f>
        <v>0</v>
      </c>
      <c r="E47" s="207" t="s">
        <v>82</v>
      </c>
      <c r="F47" s="181"/>
      <c r="H47" s="184">
        <v>0</v>
      </c>
      <c r="I47" s="185" t="s">
        <v>241</v>
      </c>
      <c r="J47" s="186"/>
      <c r="K47" s="181"/>
      <c r="L47" s="181"/>
      <c r="M47" s="181"/>
    </row>
    <row r="48" spans="1:13" x14ac:dyDescent="0.25">
      <c r="C48" s="44" t="s">
        <v>10</v>
      </c>
      <c r="D48" s="208">
        <f>(D47)/B11</f>
        <v>0</v>
      </c>
      <c r="E48" s="207" t="s">
        <v>11</v>
      </c>
      <c r="F48" s="54" t="str">
        <f>IF(D48=0,"-",IF(D48&gt;=1,"OK","!"))</f>
        <v>-</v>
      </c>
      <c r="J48" s="181"/>
      <c r="K48" s="181"/>
      <c r="L48" s="181"/>
      <c r="M48" s="181"/>
    </row>
    <row r="49" spans="1:13" ht="15.75" thickBot="1" x14ac:dyDescent="0.3">
      <c r="E49" s="181"/>
      <c r="F49" s="181"/>
      <c r="J49" s="181"/>
      <c r="K49" s="181"/>
      <c r="L49" s="181"/>
      <c r="M49" s="181"/>
    </row>
    <row r="50" spans="1:13" x14ac:dyDescent="0.25">
      <c r="A50" s="42" t="s">
        <v>263</v>
      </c>
      <c r="B50" s="42"/>
      <c r="C50" s="42"/>
      <c r="D50" s="42"/>
      <c r="E50" s="42"/>
      <c r="F50" s="42"/>
      <c r="G50" s="27"/>
      <c r="H50" s="170"/>
      <c r="J50" s="181"/>
      <c r="K50" s="181"/>
      <c r="L50" s="181"/>
      <c r="M50" s="181"/>
    </row>
    <row r="51" spans="1:13" x14ac:dyDescent="0.25">
      <c r="A51" s="43" t="s">
        <v>264</v>
      </c>
      <c r="F51" s="44" t="str">
        <f>'CL_1 - Site Screening'!J71</f>
        <v>IDALS: Issue Date: 08/03/2020</v>
      </c>
      <c r="G51" s="118"/>
      <c r="J51" s="181"/>
      <c r="K51" s="181"/>
      <c r="L51" s="181"/>
      <c r="M51" s="181"/>
    </row>
    <row r="52" spans="1:13" x14ac:dyDescent="0.25">
      <c r="A52" s="181"/>
      <c r="B52" s="181"/>
      <c r="C52" s="181"/>
      <c r="D52" s="181"/>
      <c r="E52" s="181"/>
      <c r="F52" s="181"/>
      <c r="J52" s="181"/>
      <c r="K52" s="181"/>
      <c r="L52" s="181"/>
      <c r="M52" s="181"/>
    </row>
    <row r="53" spans="1:13" x14ac:dyDescent="0.25">
      <c r="A53" s="181"/>
      <c r="B53" s="181"/>
      <c r="C53" s="181"/>
      <c r="D53" s="181"/>
      <c r="E53" s="181"/>
      <c r="F53" s="181"/>
      <c r="J53" s="181"/>
      <c r="K53" s="181"/>
      <c r="L53" s="181"/>
      <c r="M53" s="181"/>
    </row>
    <row r="54" spans="1:13" x14ac:dyDescent="0.25">
      <c r="A54" s="181"/>
      <c r="B54" s="181"/>
      <c r="C54" s="181"/>
      <c r="D54" s="209"/>
      <c r="E54" s="181"/>
      <c r="F54" s="181"/>
      <c r="J54" s="181"/>
      <c r="K54" s="181"/>
      <c r="L54" s="181"/>
      <c r="M54" s="181"/>
    </row>
    <row r="55" spans="1:13" x14ac:dyDescent="0.25">
      <c r="A55" s="181"/>
      <c r="B55" s="181"/>
      <c r="C55" s="181"/>
      <c r="D55" s="209"/>
      <c r="E55" s="181"/>
      <c r="F55" s="181"/>
      <c r="J55" s="181"/>
      <c r="K55" s="181"/>
      <c r="L55" s="181"/>
      <c r="M55" s="181"/>
    </row>
    <row r="56" spans="1:13" x14ac:dyDescent="0.25">
      <c r="A56" s="181"/>
      <c r="B56" s="181"/>
      <c r="C56" s="181"/>
      <c r="D56" s="209"/>
      <c r="E56" s="181"/>
      <c r="F56" s="181"/>
      <c r="J56" s="181"/>
      <c r="K56" s="181"/>
      <c r="L56" s="181"/>
      <c r="M56" s="181"/>
    </row>
    <row r="59" spans="1:13" x14ac:dyDescent="0.25">
      <c r="F59" s="181"/>
    </row>
    <row r="65" spans="3:4" x14ac:dyDescent="0.25">
      <c r="C65" s="181"/>
      <c r="D65" s="181"/>
    </row>
    <row r="66" spans="3:4" x14ac:dyDescent="0.25">
      <c r="C66" s="181"/>
      <c r="D66" s="181"/>
    </row>
    <row r="67" spans="3:4" x14ac:dyDescent="0.25">
      <c r="C67" s="181"/>
      <c r="D67" s="181"/>
    </row>
    <row r="68" spans="3:4" x14ac:dyDescent="0.25">
      <c r="C68" s="181"/>
      <c r="D68" s="181"/>
    </row>
    <row r="69" spans="3:4" x14ac:dyDescent="0.25">
      <c r="C69" s="181"/>
      <c r="D69" s="181"/>
    </row>
    <row r="70" spans="3:4" x14ac:dyDescent="0.25">
      <c r="C70" s="181"/>
      <c r="D70" s="181"/>
    </row>
    <row r="71" spans="3:4" x14ac:dyDescent="0.25">
      <c r="C71" s="181"/>
      <c r="D71" s="181"/>
    </row>
    <row r="72" spans="3:4" x14ac:dyDescent="0.25">
      <c r="C72" s="181"/>
      <c r="D72" s="181"/>
    </row>
    <row r="73" spans="3:4" x14ac:dyDescent="0.25">
      <c r="C73" s="181"/>
      <c r="D73" s="181"/>
    </row>
    <row r="74" spans="3:4" x14ac:dyDescent="0.25">
      <c r="C74" s="181"/>
      <c r="D74" s="181"/>
    </row>
    <row r="75" spans="3:4" x14ac:dyDescent="0.25">
      <c r="C75" s="181"/>
      <c r="D75" s="181"/>
    </row>
    <row r="76" spans="3:4" x14ac:dyDescent="0.25">
      <c r="C76" s="181"/>
      <c r="D76" s="181"/>
    </row>
    <row r="77" spans="3:4" x14ac:dyDescent="0.25">
      <c r="C77" s="181"/>
      <c r="D77" s="181"/>
    </row>
    <row r="78" spans="3:4" x14ac:dyDescent="0.25">
      <c r="C78" s="181"/>
      <c r="D78" s="181"/>
    </row>
    <row r="79" spans="3:4" x14ac:dyDescent="0.25">
      <c r="C79" s="181"/>
      <c r="D79" s="181"/>
    </row>
  </sheetData>
  <sheetProtection algorithmName="SHA-512" hashValue="X63FerdVoH1xdmw4wYHegsT7p39mxiigDVXJREdNaELnCGaZLgapmqreMWGctd/VeSp0J5asQD6RiPV47Aal0A==" saltValue="99P1Dzue4jPJFxaD3qq7eA==" spinCount="100000" sheet="1" selectLockedCells="1"/>
  <mergeCells count="7">
    <mergeCell ref="H46:J46"/>
    <mergeCell ref="A1:F1"/>
    <mergeCell ref="H6:J6"/>
    <mergeCell ref="B2:D2"/>
    <mergeCell ref="D9:F9"/>
    <mergeCell ref="D11:F11"/>
    <mergeCell ref="D6:F6"/>
  </mergeCells>
  <conditionalFormatting sqref="F48">
    <cfRule type="cellIs" dxfId="10" priority="1" operator="equal">
      <formula>"!"</formula>
    </cfRule>
    <cfRule type="cellIs" dxfId="9" priority="2" operator="equal">
      <formula>"OK"</formula>
    </cfRule>
  </conditionalFormatting>
  <printOptions horizontalCentered="1" verticalCentered="1"/>
  <pageMargins left="0.25" right="0.25" top="0.75" bottom="0.75" header="0.3" footer="0.3"/>
  <pageSetup orientation="portrait" r:id="rId1"/>
  <colBreaks count="1" manualBreakCount="1">
    <brk id="6"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N70"/>
  <sheetViews>
    <sheetView view="pageBreakPreview" zoomScaleNormal="100" zoomScaleSheetLayoutView="100" workbookViewId="0">
      <selection activeCell="C14" sqref="C14"/>
    </sheetView>
  </sheetViews>
  <sheetFormatPr defaultColWidth="8.85546875" defaultRowHeight="12" x14ac:dyDescent="0.2"/>
  <cols>
    <col min="1" max="1" width="9.7109375" style="27" customWidth="1"/>
    <col min="2" max="5" width="14.7109375" style="27" customWidth="1"/>
    <col min="6" max="6" width="18.85546875" style="27" customWidth="1"/>
    <col min="7" max="7" width="14.7109375" style="27" customWidth="1"/>
    <col min="8" max="9" width="3.7109375" style="27" customWidth="1"/>
    <col min="10" max="10" width="8.85546875" style="27"/>
    <col min="11" max="11" width="14" style="27" customWidth="1"/>
    <col min="12" max="12" width="15.7109375" style="22" customWidth="1"/>
    <col min="13" max="13" width="3.42578125" style="27" customWidth="1"/>
    <col min="14" max="14" width="14" style="27" customWidth="1"/>
    <col min="15" max="16384" width="8.85546875" style="27"/>
  </cols>
  <sheetData>
    <row r="1" spans="1:14" ht="12.75" x14ac:dyDescent="0.2">
      <c r="B1" s="282" t="s">
        <v>211</v>
      </c>
      <c r="C1" s="282"/>
      <c r="D1" s="282"/>
      <c r="E1" s="282"/>
      <c r="F1" s="282"/>
      <c r="G1" s="282"/>
      <c r="H1" s="117"/>
      <c r="I1" s="117"/>
      <c r="J1" s="117"/>
    </row>
    <row r="2" spans="1:14" x14ac:dyDescent="0.2">
      <c r="A2" s="27" t="s">
        <v>154</v>
      </c>
      <c r="B2" s="299">
        <f>'CL_1 - Site Screening'!C3</f>
        <v>0</v>
      </c>
      <c r="C2" s="299"/>
      <c r="D2" s="299"/>
      <c r="E2" s="299"/>
      <c r="F2" s="27" t="s">
        <v>99</v>
      </c>
      <c r="G2" s="86">
        <f ca="1">'CL_1 - Site Screening'!G5</f>
        <v>44595</v>
      </c>
      <c r="H2" s="86"/>
    </row>
    <row r="3" spans="1:14" s="211" customFormat="1" x14ac:dyDescent="0.2">
      <c r="A3" s="210" t="s">
        <v>157</v>
      </c>
      <c r="B3" s="210"/>
      <c r="C3" s="210"/>
      <c r="D3" s="210"/>
      <c r="E3" s="210"/>
      <c r="F3" s="210"/>
      <c r="G3" s="210"/>
      <c r="L3" s="212"/>
    </row>
    <row r="4" spans="1:14" ht="12" customHeight="1" x14ac:dyDescent="0.2">
      <c r="K4" s="313" t="s">
        <v>222</v>
      </c>
      <c r="L4" s="314"/>
      <c r="M4" s="315"/>
    </row>
    <row r="5" spans="1:14" x14ac:dyDescent="0.2">
      <c r="A5" s="213" t="str">
        <f>IF(L5&gt;0,"MANUAL"," ")</f>
        <v xml:space="preserve"> </v>
      </c>
      <c r="B5" s="27" t="s">
        <v>5</v>
      </c>
      <c r="C5" s="214">
        <f>IF(L5=0,'DE_1 - Watershed Info'!F45-'CL_2 - Design Summary'!F15,L5)</f>
        <v>2268.7499999999995</v>
      </c>
      <c r="D5" s="27" t="s">
        <v>82</v>
      </c>
      <c r="E5" s="317" t="s">
        <v>217</v>
      </c>
      <c r="F5" s="317"/>
      <c r="G5" s="215">
        <v>100</v>
      </c>
      <c r="H5" s="216" t="s">
        <v>86</v>
      </c>
      <c r="K5" s="217" t="s">
        <v>5</v>
      </c>
      <c r="L5" s="218">
        <v>0</v>
      </c>
      <c r="M5" s="56" t="s">
        <v>82</v>
      </c>
    </row>
    <row r="6" spans="1:14" x14ac:dyDescent="0.2">
      <c r="A6" s="213" t="str">
        <f t="shared" ref="A6:A7" si="0">IF(L6&gt;0,"MANUAL"," ")</f>
        <v xml:space="preserve"> </v>
      </c>
      <c r="B6" s="27" t="s">
        <v>37</v>
      </c>
      <c r="C6" s="214">
        <f>IF(L6=0,MIN('Step 4 - Pre-treat'!B9+'Step 4 - Pre-treat'!D47,'Step 4 - Pre-treat'!B8),L6)</f>
        <v>0</v>
      </c>
      <c r="D6" s="27" t="s">
        <v>82</v>
      </c>
      <c r="E6" s="317" t="s">
        <v>278</v>
      </c>
      <c r="F6" s="317"/>
      <c r="G6" s="215">
        <v>3</v>
      </c>
      <c r="H6" s="216" t="s">
        <v>86</v>
      </c>
      <c r="K6" s="217" t="s">
        <v>37</v>
      </c>
      <c r="L6" s="218">
        <v>0</v>
      </c>
      <c r="M6" s="56" t="s">
        <v>82</v>
      </c>
    </row>
    <row r="7" spans="1:14" x14ac:dyDescent="0.2">
      <c r="A7" s="213" t="str">
        <f t="shared" si="0"/>
        <v xml:space="preserve"> </v>
      </c>
      <c r="B7" s="27" t="s">
        <v>117</v>
      </c>
      <c r="C7" s="214">
        <f>IF(L7=0,C5-C6,L7)</f>
        <v>2268.7499999999995</v>
      </c>
      <c r="D7" s="27" t="s">
        <v>82</v>
      </c>
      <c r="K7" s="219" t="s">
        <v>117</v>
      </c>
      <c r="L7" s="220">
        <v>0</v>
      </c>
      <c r="M7" s="58" t="s">
        <v>82</v>
      </c>
    </row>
    <row r="9" spans="1:14" x14ac:dyDescent="0.2">
      <c r="A9" s="221" t="s">
        <v>0</v>
      </c>
      <c r="C9" s="316" t="s">
        <v>311</v>
      </c>
      <c r="D9" s="316"/>
      <c r="E9" s="316"/>
      <c r="F9" s="316"/>
      <c r="G9" s="316"/>
      <c r="H9" s="316"/>
      <c r="I9" s="316"/>
    </row>
    <row r="10" spans="1:14" x14ac:dyDescent="0.2">
      <c r="B10" s="222"/>
      <c r="C10" s="88"/>
      <c r="D10" s="221"/>
      <c r="E10" s="221"/>
      <c r="F10" s="221"/>
      <c r="G10" s="221"/>
    </row>
    <row r="11" spans="1:14" x14ac:dyDescent="0.2">
      <c r="A11" s="223" t="s">
        <v>277</v>
      </c>
      <c r="B11" s="224"/>
      <c r="C11" s="223"/>
      <c r="D11" s="223"/>
      <c r="E11" s="223"/>
      <c r="F11" s="223"/>
      <c r="G11" s="225"/>
      <c r="H11" s="224"/>
      <c r="I11" s="224"/>
    </row>
    <row r="12" spans="1:14" x14ac:dyDescent="0.2">
      <c r="A12" s="222" t="s">
        <v>216</v>
      </c>
      <c r="B12" s="222" t="s">
        <v>1</v>
      </c>
      <c r="C12" s="222" t="s">
        <v>119</v>
      </c>
      <c r="D12" s="222" t="s">
        <v>254</v>
      </c>
      <c r="E12" s="222" t="s">
        <v>4</v>
      </c>
      <c r="F12" s="226"/>
      <c r="G12" s="226"/>
      <c r="H12" s="28"/>
      <c r="I12" s="28"/>
    </row>
    <row r="13" spans="1:14" s="22" customFormat="1" x14ac:dyDescent="0.2">
      <c r="A13" s="227" t="s">
        <v>86</v>
      </c>
      <c r="B13" s="227" t="s">
        <v>86</v>
      </c>
      <c r="C13" s="227" t="s">
        <v>115</v>
      </c>
      <c r="D13" s="227" t="s">
        <v>82</v>
      </c>
      <c r="E13" s="227" t="s">
        <v>82</v>
      </c>
      <c r="F13" s="228"/>
      <c r="G13" s="228"/>
      <c r="H13" s="228"/>
      <c r="I13" s="228"/>
    </row>
    <row r="14" spans="1:14" x14ac:dyDescent="0.2">
      <c r="A14" s="229">
        <v>0</v>
      </c>
      <c r="B14" s="73">
        <f>G5</f>
        <v>100</v>
      </c>
      <c r="C14" s="230"/>
      <c r="D14" s="231"/>
      <c r="E14" s="231"/>
      <c r="F14" s="28"/>
      <c r="G14" s="28"/>
      <c r="H14" s="28"/>
      <c r="I14" s="28"/>
      <c r="K14" s="22"/>
    </row>
    <row r="15" spans="1:14" x14ac:dyDescent="0.2">
      <c r="A15" s="232">
        <v>1</v>
      </c>
      <c r="B15" s="233">
        <f>B$14-A15</f>
        <v>99</v>
      </c>
      <c r="C15" s="234"/>
      <c r="D15" s="231" t="str">
        <f>IF(C15&gt;0,((C14+C15)*(B14-B15)/2),"NA")</f>
        <v>NA</v>
      </c>
      <c r="E15" s="231" t="str">
        <f>IF(D15=$J$42,"NA",(D15+E14))</f>
        <v>NA</v>
      </c>
      <c r="F15" s="235"/>
      <c r="G15" s="235"/>
      <c r="H15" s="236"/>
      <c r="I15" s="237"/>
      <c r="K15" s="22"/>
      <c r="M15" s="22"/>
      <c r="N15" s="22"/>
    </row>
    <row r="16" spans="1:14" x14ac:dyDescent="0.2">
      <c r="A16" s="232">
        <f>A15+1</f>
        <v>2</v>
      </c>
      <c r="B16" s="233">
        <f t="shared" ref="B16:B32" si="1">B$14-A16</f>
        <v>98</v>
      </c>
      <c r="C16" s="234"/>
      <c r="D16" s="231" t="str">
        <f t="shared" ref="D16:D32" si="2">IF(C16&gt;0,((C15+C16)*(B15-B16)/2),"NA")</f>
        <v>NA</v>
      </c>
      <c r="E16" s="231" t="str">
        <f t="shared" ref="E16:E34" si="3">IF(D16=$J$42,"NA",(D16+E15))</f>
        <v>NA</v>
      </c>
      <c r="F16" s="235"/>
      <c r="G16" s="235"/>
      <c r="H16" s="238"/>
      <c r="I16" s="237"/>
      <c r="K16" s="22"/>
      <c r="M16" s="22"/>
      <c r="N16" s="22"/>
    </row>
    <row r="17" spans="1:14" x14ac:dyDescent="0.2">
      <c r="A17" s="232">
        <f t="shared" ref="A17:A32" si="4">A16+1</f>
        <v>3</v>
      </c>
      <c r="B17" s="233">
        <f t="shared" si="1"/>
        <v>97</v>
      </c>
      <c r="C17" s="234"/>
      <c r="D17" s="239" t="str">
        <f t="shared" si="2"/>
        <v>NA</v>
      </c>
      <c r="E17" s="231" t="str">
        <f t="shared" si="3"/>
        <v>NA</v>
      </c>
      <c r="F17" s="235"/>
      <c r="G17" s="235"/>
      <c r="H17" s="238"/>
      <c r="I17" s="237"/>
      <c r="K17" s="22"/>
      <c r="M17" s="22"/>
      <c r="N17" s="22"/>
    </row>
    <row r="18" spans="1:14" ht="12" customHeight="1" x14ac:dyDescent="0.2">
      <c r="A18" s="232">
        <f t="shared" si="4"/>
        <v>4</v>
      </c>
      <c r="B18" s="233">
        <f t="shared" si="1"/>
        <v>96</v>
      </c>
      <c r="C18" s="234"/>
      <c r="D18" s="239" t="str">
        <f t="shared" si="2"/>
        <v>NA</v>
      </c>
      <c r="E18" s="231" t="str">
        <f t="shared" si="3"/>
        <v>NA</v>
      </c>
      <c r="F18" s="235"/>
      <c r="G18" s="235"/>
      <c r="H18" s="238"/>
      <c r="I18" s="238"/>
      <c r="K18" s="22"/>
      <c r="M18" s="22"/>
      <c r="N18" s="22"/>
    </row>
    <row r="19" spans="1:14" x14ac:dyDescent="0.2">
      <c r="A19" s="232">
        <f t="shared" si="4"/>
        <v>5</v>
      </c>
      <c r="B19" s="73">
        <f t="shared" si="1"/>
        <v>95</v>
      </c>
      <c r="C19" s="230"/>
      <c r="D19" s="231" t="str">
        <f t="shared" si="2"/>
        <v>NA</v>
      </c>
      <c r="E19" s="231" t="str">
        <f t="shared" si="3"/>
        <v>NA</v>
      </c>
      <c r="F19" s="235"/>
      <c r="G19" s="235"/>
      <c r="H19" s="238"/>
      <c r="I19" s="238"/>
      <c r="K19" s="22"/>
      <c r="M19" s="22"/>
      <c r="N19" s="22"/>
    </row>
    <row r="20" spans="1:14" x14ac:dyDescent="0.2">
      <c r="A20" s="232">
        <f t="shared" si="4"/>
        <v>6</v>
      </c>
      <c r="B20" s="73">
        <f t="shared" si="1"/>
        <v>94</v>
      </c>
      <c r="C20" s="234"/>
      <c r="D20" s="231" t="str">
        <f t="shared" si="2"/>
        <v>NA</v>
      </c>
      <c r="E20" s="231" t="str">
        <f t="shared" si="3"/>
        <v>NA</v>
      </c>
      <c r="F20" s="235"/>
      <c r="G20" s="235"/>
      <c r="H20" s="238"/>
      <c r="I20" s="238"/>
      <c r="K20" s="22"/>
      <c r="M20" s="22"/>
      <c r="N20" s="22"/>
    </row>
    <row r="21" spans="1:14" x14ac:dyDescent="0.2">
      <c r="A21" s="232">
        <f t="shared" si="4"/>
        <v>7</v>
      </c>
      <c r="B21" s="73">
        <f t="shared" si="1"/>
        <v>93</v>
      </c>
      <c r="C21" s="234"/>
      <c r="D21" s="231" t="str">
        <f t="shared" si="2"/>
        <v>NA</v>
      </c>
      <c r="E21" s="231" t="str">
        <f t="shared" si="3"/>
        <v>NA</v>
      </c>
      <c r="F21" s="235"/>
      <c r="G21" s="235"/>
      <c r="H21" s="238"/>
      <c r="I21" s="238"/>
      <c r="K21" s="22"/>
      <c r="M21" s="22"/>
      <c r="N21" s="22"/>
    </row>
    <row r="22" spans="1:14" x14ac:dyDescent="0.2">
      <c r="A22" s="232">
        <f t="shared" si="4"/>
        <v>8</v>
      </c>
      <c r="B22" s="73">
        <f t="shared" si="1"/>
        <v>92</v>
      </c>
      <c r="C22" s="234"/>
      <c r="D22" s="231" t="str">
        <f t="shared" si="2"/>
        <v>NA</v>
      </c>
      <c r="E22" s="231" t="str">
        <f t="shared" si="3"/>
        <v>NA</v>
      </c>
      <c r="F22" s="235"/>
      <c r="G22" s="235"/>
      <c r="H22" s="238"/>
      <c r="I22" s="238"/>
      <c r="K22" s="22"/>
      <c r="M22" s="22"/>
      <c r="N22" s="22"/>
    </row>
    <row r="23" spans="1:14" x14ac:dyDescent="0.2">
      <c r="A23" s="232">
        <f t="shared" si="4"/>
        <v>9</v>
      </c>
      <c r="B23" s="73">
        <f t="shared" si="1"/>
        <v>91</v>
      </c>
      <c r="C23" s="234"/>
      <c r="D23" s="231" t="str">
        <f t="shared" si="2"/>
        <v>NA</v>
      </c>
      <c r="E23" s="231" t="str">
        <f t="shared" si="3"/>
        <v>NA</v>
      </c>
      <c r="F23" s="235"/>
      <c r="G23" s="235"/>
      <c r="H23" s="238"/>
      <c r="I23" s="238"/>
      <c r="K23" s="22"/>
      <c r="M23" s="22"/>
      <c r="N23" s="22"/>
    </row>
    <row r="24" spans="1:14" x14ac:dyDescent="0.2">
      <c r="A24" s="232">
        <f t="shared" si="4"/>
        <v>10</v>
      </c>
      <c r="B24" s="73">
        <f t="shared" si="1"/>
        <v>90</v>
      </c>
      <c r="C24" s="234"/>
      <c r="D24" s="231" t="str">
        <f t="shared" si="2"/>
        <v>NA</v>
      </c>
      <c r="E24" s="231" t="str">
        <f t="shared" si="3"/>
        <v>NA</v>
      </c>
      <c r="F24" s="235"/>
      <c r="G24" s="235"/>
      <c r="H24" s="238"/>
      <c r="I24" s="238"/>
      <c r="K24" s="22"/>
      <c r="M24" s="22"/>
      <c r="N24" s="22"/>
    </row>
    <row r="25" spans="1:14" x14ac:dyDescent="0.2">
      <c r="A25" s="232">
        <f t="shared" si="4"/>
        <v>11</v>
      </c>
      <c r="B25" s="73">
        <f t="shared" si="1"/>
        <v>89</v>
      </c>
      <c r="C25" s="234"/>
      <c r="D25" s="231" t="str">
        <f t="shared" si="2"/>
        <v>NA</v>
      </c>
      <c r="E25" s="231" t="str">
        <f t="shared" si="3"/>
        <v>NA</v>
      </c>
      <c r="F25" s="235"/>
      <c r="G25" s="235"/>
      <c r="H25" s="238"/>
      <c r="I25" s="238"/>
      <c r="K25" s="22"/>
      <c r="M25" s="22"/>
      <c r="N25" s="22"/>
    </row>
    <row r="26" spans="1:14" x14ac:dyDescent="0.2">
      <c r="A26" s="232">
        <f t="shared" si="4"/>
        <v>12</v>
      </c>
      <c r="B26" s="73">
        <f t="shared" si="1"/>
        <v>88</v>
      </c>
      <c r="C26" s="234"/>
      <c r="D26" s="231" t="str">
        <f t="shared" si="2"/>
        <v>NA</v>
      </c>
      <c r="E26" s="231" t="str">
        <f t="shared" si="3"/>
        <v>NA</v>
      </c>
      <c r="F26" s="235"/>
      <c r="G26" s="235"/>
      <c r="H26" s="238"/>
      <c r="I26" s="238"/>
      <c r="K26" s="22"/>
      <c r="M26" s="22"/>
      <c r="N26" s="22"/>
    </row>
    <row r="27" spans="1:14" x14ac:dyDescent="0.2">
      <c r="A27" s="232">
        <f t="shared" si="4"/>
        <v>13</v>
      </c>
      <c r="B27" s="73">
        <f t="shared" si="1"/>
        <v>87</v>
      </c>
      <c r="C27" s="234"/>
      <c r="D27" s="231" t="str">
        <f t="shared" si="2"/>
        <v>NA</v>
      </c>
      <c r="E27" s="231" t="str">
        <f t="shared" si="3"/>
        <v>NA</v>
      </c>
      <c r="F27" s="235"/>
      <c r="G27" s="235"/>
      <c r="H27" s="238"/>
      <c r="I27" s="238"/>
      <c r="K27" s="22"/>
      <c r="M27" s="22"/>
      <c r="N27" s="22"/>
    </row>
    <row r="28" spans="1:14" x14ac:dyDescent="0.2">
      <c r="A28" s="232">
        <f t="shared" si="4"/>
        <v>14</v>
      </c>
      <c r="B28" s="73">
        <f t="shared" si="1"/>
        <v>86</v>
      </c>
      <c r="C28" s="234"/>
      <c r="D28" s="231" t="str">
        <f t="shared" si="2"/>
        <v>NA</v>
      </c>
      <c r="E28" s="231" t="str">
        <f t="shared" si="3"/>
        <v>NA</v>
      </c>
      <c r="F28" s="235"/>
      <c r="G28" s="235"/>
      <c r="H28" s="238"/>
      <c r="I28" s="238"/>
      <c r="K28" s="22"/>
      <c r="M28" s="22"/>
      <c r="N28" s="22"/>
    </row>
    <row r="29" spans="1:14" x14ac:dyDescent="0.2">
      <c r="A29" s="232">
        <f t="shared" si="4"/>
        <v>15</v>
      </c>
      <c r="B29" s="73">
        <f t="shared" si="1"/>
        <v>85</v>
      </c>
      <c r="C29" s="234"/>
      <c r="D29" s="231" t="str">
        <f t="shared" si="2"/>
        <v>NA</v>
      </c>
      <c r="E29" s="231" t="str">
        <f t="shared" si="3"/>
        <v>NA</v>
      </c>
      <c r="F29" s="235"/>
      <c r="G29" s="235"/>
      <c r="H29" s="238"/>
      <c r="I29" s="238"/>
      <c r="K29" s="22"/>
      <c r="M29" s="22"/>
      <c r="N29" s="22"/>
    </row>
    <row r="30" spans="1:14" x14ac:dyDescent="0.2">
      <c r="A30" s="232">
        <f t="shared" si="4"/>
        <v>16</v>
      </c>
      <c r="B30" s="73">
        <f t="shared" si="1"/>
        <v>84</v>
      </c>
      <c r="C30" s="234"/>
      <c r="D30" s="231" t="str">
        <f t="shared" si="2"/>
        <v>NA</v>
      </c>
      <c r="E30" s="231" t="str">
        <f t="shared" si="3"/>
        <v>NA</v>
      </c>
      <c r="F30" s="235"/>
      <c r="G30" s="235"/>
      <c r="H30" s="238"/>
      <c r="I30" s="238"/>
      <c r="K30" s="22"/>
      <c r="M30" s="22"/>
      <c r="N30" s="22"/>
    </row>
    <row r="31" spans="1:14" x14ac:dyDescent="0.2">
      <c r="A31" s="232">
        <f t="shared" si="4"/>
        <v>17</v>
      </c>
      <c r="B31" s="73">
        <f t="shared" si="1"/>
        <v>83</v>
      </c>
      <c r="C31" s="230"/>
      <c r="D31" s="231" t="str">
        <f t="shared" si="2"/>
        <v>NA</v>
      </c>
      <c r="E31" s="231" t="str">
        <f t="shared" si="3"/>
        <v>NA</v>
      </c>
      <c r="F31" s="235"/>
      <c r="G31" s="235"/>
      <c r="H31" s="238"/>
      <c r="I31" s="238"/>
      <c r="K31" s="22"/>
      <c r="M31" s="22"/>
      <c r="N31" s="22"/>
    </row>
    <row r="32" spans="1:14" x14ac:dyDescent="0.2">
      <c r="A32" s="232">
        <f t="shared" si="4"/>
        <v>18</v>
      </c>
      <c r="B32" s="73">
        <f t="shared" si="1"/>
        <v>82</v>
      </c>
      <c r="C32" s="230"/>
      <c r="D32" s="231" t="str">
        <f t="shared" si="2"/>
        <v>NA</v>
      </c>
      <c r="E32" s="231" t="str">
        <f t="shared" si="3"/>
        <v>NA</v>
      </c>
      <c r="F32" s="235"/>
      <c r="G32" s="235"/>
      <c r="H32" s="238"/>
      <c r="I32" s="238"/>
    </row>
    <row r="33" spans="1:10" x14ac:dyDescent="0.2">
      <c r="A33" s="232">
        <f t="shared" ref="A33:A34" si="5">A32+1</f>
        <v>19</v>
      </c>
      <c r="B33" s="73">
        <f t="shared" ref="B33:B34" si="6">B$14-A33</f>
        <v>81</v>
      </c>
      <c r="C33" s="230"/>
      <c r="D33" s="231" t="str">
        <f t="shared" ref="D33:D34" si="7">IF(C33&gt;0,((C32+C33)*(B32-B33)/2),"NA")</f>
        <v>NA</v>
      </c>
      <c r="E33" s="231" t="str">
        <f t="shared" si="3"/>
        <v>NA</v>
      </c>
      <c r="F33" s="235"/>
      <c r="G33" s="235"/>
      <c r="H33" s="238"/>
      <c r="I33" s="238"/>
    </row>
    <row r="34" spans="1:10" x14ac:dyDescent="0.2">
      <c r="A34" s="232">
        <f t="shared" si="5"/>
        <v>20</v>
      </c>
      <c r="B34" s="73">
        <f t="shared" si="6"/>
        <v>80</v>
      </c>
      <c r="C34" s="230"/>
      <c r="D34" s="231" t="str">
        <f t="shared" si="7"/>
        <v>NA</v>
      </c>
      <c r="E34" s="231" t="str">
        <f t="shared" si="3"/>
        <v>NA</v>
      </c>
      <c r="F34" s="235"/>
      <c r="G34" s="235"/>
      <c r="H34" s="238"/>
      <c r="I34" s="238"/>
    </row>
    <row r="35" spans="1:10" x14ac:dyDescent="0.2">
      <c r="A35" s="229"/>
      <c r="B35" s="240" t="s">
        <v>120</v>
      </c>
    </row>
    <row r="36" spans="1:10" x14ac:dyDescent="0.2">
      <c r="A36" s="229"/>
      <c r="B36" s="240"/>
    </row>
    <row r="37" spans="1:10" x14ac:dyDescent="0.2">
      <c r="A37" s="229"/>
    </row>
    <row r="38" spans="1:10" x14ac:dyDescent="0.2">
      <c r="A38" s="241" t="s">
        <v>118</v>
      </c>
      <c r="B38" s="241"/>
      <c r="C38" s="241"/>
      <c r="D38" s="241"/>
      <c r="E38" s="241"/>
      <c r="F38" s="241"/>
      <c r="G38" s="241"/>
      <c r="H38" s="242"/>
      <c r="I38" s="242"/>
    </row>
    <row r="39" spans="1:10" x14ac:dyDescent="0.2">
      <c r="A39" s="222" t="s">
        <v>218</v>
      </c>
      <c r="B39" s="222" t="s">
        <v>1</v>
      </c>
      <c r="C39" s="222" t="s">
        <v>2</v>
      </c>
      <c r="D39" s="222" t="s">
        <v>254</v>
      </c>
      <c r="E39" s="222" t="s">
        <v>4</v>
      </c>
      <c r="F39" s="222"/>
      <c r="G39" s="222"/>
    </row>
    <row r="40" spans="1:10" x14ac:dyDescent="0.2">
      <c r="A40" s="227" t="s">
        <v>86</v>
      </c>
      <c r="B40" s="227" t="s">
        <v>86</v>
      </c>
      <c r="C40" s="227" t="s">
        <v>115</v>
      </c>
      <c r="D40" s="227" t="s">
        <v>82</v>
      </c>
      <c r="E40" s="227" t="s">
        <v>82</v>
      </c>
    </row>
    <row r="41" spans="1:10" x14ac:dyDescent="0.2">
      <c r="A41" s="229">
        <v>0</v>
      </c>
      <c r="B41" s="73">
        <f>G5</f>
        <v>100</v>
      </c>
      <c r="C41" s="230">
        <f>C14</f>
        <v>0</v>
      </c>
      <c r="D41" s="231"/>
      <c r="E41" s="231"/>
    </row>
    <row r="42" spans="1:10" x14ac:dyDescent="0.2">
      <c r="A42" s="243">
        <v>1</v>
      </c>
      <c r="B42" s="73">
        <f>B$14+A42</f>
        <v>101</v>
      </c>
      <c r="C42" s="230"/>
      <c r="D42" s="231" t="str">
        <f>IF(C42&gt;0,((C41+C42)*(B42-B41)/2),"NA")</f>
        <v>NA</v>
      </c>
      <c r="E42" s="231" t="str">
        <f t="shared" ref="E42:E47" si="8">IF(D42=$J$42,"NA",(D42+E41))</f>
        <v>NA</v>
      </c>
      <c r="J42" s="244" t="s">
        <v>219</v>
      </c>
    </row>
    <row r="43" spans="1:10" x14ac:dyDescent="0.2">
      <c r="A43" s="243">
        <f>A42+1</f>
        <v>2</v>
      </c>
      <c r="B43" s="73">
        <f t="shared" ref="B43:B51" si="9">B$14+A43</f>
        <v>102</v>
      </c>
      <c r="C43" s="230"/>
      <c r="D43" s="231" t="str">
        <f t="shared" ref="D43:D47" si="10">IF(C43&gt;0,((C42+C43)*(B43-B42)/2),"NA")</f>
        <v>NA</v>
      </c>
      <c r="E43" s="231" t="str">
        <f t="shared" si="8"/>
        <v>NA</v>
      </c>
    </row>
    <row r="44" spans="1:10" x14ac:dyDescent="0.2">
      <c r="A44" s="243">
        <f t="shared" ref="A44:A52" si="11">A43+1</f>
        <v>3</v>
      </c>
      <c r="B44" s="73">
        <f t="shared" si="9"/>
        <v>103</v>
      </c>
      <c r="C44" s="230"/>
      <c r="D44" s="231" t="str">
        <f t="shared" si="10"/>
        <v>NA</v>
      </c>
      <c r="E44" s="231" t="str">
        <f t="shared" si="8"/>
        <v>NA</v>
      </c>
    </row>
    <row r="45" spans="1:10" x14ac:dyDescent="0.2">
      <c r="A45" s="243">
        <f t="shared" si="11"/>
        <v>4</v>
      </c>
      <c r="B45" s="73">
        <f t="shared" si="9"/>
        <v>104</v>
      </c>
      <c r="C45" s="230"/>
      <c r="D45" s="231" t="str">
        <f t="shared" si="10"/>
        <v>NA</v>
      </c>
      <c r="E45" s="231" t="str">
        <f t="shared" si="8"/>
        <v>NA</v>
      </c>
    </row>
    <row r="46" spans="1:10" x14ac:dyDescent="0.2">
      <c r="A46" s="243">
        <f t="shared" si="11"/>
        <v>5</v>
      </c>
      <c r="B46" s="73">
        <f t="shared" si="9"/>
        <v>105</v>
      </c>
      <c r="C46" s="230"/>
      <c r="D46" s="231" t="str">
        <f t="shared" si="10"/>
        <v>NA</v>
      </c>
      <c r="E46" s="231" t="str">
        <f t="shared" si="8"/>
        <v>NA</v>
      </c>
    </row>
    <row r="47" spans="1:10" x14ac:dyDescent="0.2">
      <c r="A47" s="243">
        <f t="shared" si="11"/>
        <v>6</v>
      </c>
      <c r="B47" s="73">
        <f t="shared" si="9"/>
        <v>106</v>
      </c>
      <c r="C47" s="230"/>
      <c r="D47" s="231" t="str">
        <f t="shared" si="10"/>
        <v>NA</v>
      </c>
      <c r="E47" s="231" t="str">
        <f t="shared" si="8"/>
        <v>NA</v>
      </c>
    </row>
    <row r="48" spans="1:10" x14ac:dyDescent="0.2">
      <c r="A48" s="243">
        <f t="shared" si="11"/>
        <v>7</v>
      </c>
      <c r="B48" s="73">
        <f t="shared" si="9"/>
        <v>107</v>
      </c>
      <c r="C48" s="230"/>
      <c r="D48" s="231" t="str">
        <f t="shared" ref="D48:D52" si="12">IF(C48&gt;0,((C47+C48)*(B48-B47)/2),"NA")</f>
        <v>NA</v>
      </c>
      <c r="E48" s="231" t="str">
        <f t="shared" ref="E48:E52" si="13">IF(D48=$J$42,"NA",(D48+E47))</f>
        <v>NA</v>
      </c>
    </row>
    <row r="49" spans="1:8" x14ac:dyDescent="0.2">
      <c r="A49" s="243">
        <f t="shared" si="11"/>
        <v>8</v>
      </c>
      <c r="B49" s="73">
        <f t="shared" si="9"/>
        <v>108</v>
      </c>
      <c r="C49" s="230"/>
      <c r="D49" s="231" t="str">
        <f t="shared" si="12"/>
        <v>NA</v>
      </c>
      <c r="E49" s="231" t="str">
        <f t="shared" si="13"/>
        <v>NA</v>
      </c>
    </row>
    <row r="50" spans="1:8" x14ac:dyDescent="0.2">
      <c r="A50" s="243">
        <f t="shared" si="11"/>
        <v>9</v>
      </c>
      <c r="B50" s="73">
        <f t="shared" si="9"/>
        <v>109</v>
      </c>
      <c r="C50" s="230"/>
      <c r="D50" s="231" t="str">
        <f t="shared" si="12"/>
        <v>NA</v>
      </c>
      <c r="E50" s="231" t="str">
        <f t="shared" si="13"/>
        <v>NA</v>
      </c>
    </row>
    <row r="51" spans="1:8" x14ac:dyDescent="0.2">
      <c r="A51" s="243">
        <f t="shared" si="11"/>
        <v>10</v>
      </c>
      <c r="B51" s="73">
        <f t="shared" si="9"/>
        <v>110</v>
      </c>
      <c r="C51" s="230"/>
      <c r="D51" s="231" t="str">
        <f t="shared" si="12"/>
        <v>NA</v>
      </c>
      <c r="E51" s="231" t="str">
        <f t="shared" si="13"/>
        <v>NA</v>
      </c>
    </row>
    <row r="52" spans="1:8" x14ac:dyDescent="0.2">
      <c r="A52" s="243">
        <f t="shared" si="11"/>
        <v>11</v>
      </c>
      <c r="B52" s="73">
        <f t="shared" ref="B52" si="14">B$14+A52</f>
        <v>111</v>
      </c>
      <c r="C52" s="230"/>
      <c r="D52" s="231" t="str">
        <f t="shared" si="12"/>
        <v>NA</v>
      </c>
      <c r="E52" s="231" t="str">
        <f t="shared" si="13"/>
        <v>NA</v>
      </c>
    </row>
    <row r="53" spans="1:8" x14ac:dyDescent="0.2">
      <c r="A53" s="229"/>
      <c r="D53" s="22"/>
      <c r="E53" s="22"/>
    </row>
    <row r="54" spans="1:8" x14ac:dyDescent="0.2">
      <c r="A54" s="229"/>
      <c r="C54" s="224"/>
      <c r="D54" s="245" t="s">
        <v>121</v>
      </c>
      <c r="E54" s="246">
        <f>G54/43560</f>
        <v>0</v>
      </c>
      <c r="F54" s="224" t="s">
        <v>220</v>
      </c>
      <c r="G54" s="247">
        <f>MAX(E15:E34)</f>
        <v>0</v>
      </c>
      <c r="H54" s="224" t="s">
        <v>82</v>
      </c>
    </row>
    <row r="55" spans="1:8" x14ac:dyDescent="0.2">
      <c r="A55" s="229"/>
      <c r="C55" s="242"/>
      <c r="D55" s="248" t="s">
        <v>122</v>
      </c>
      <c r="E55" s="249">
        <f>G55/43560</f>
        <v>0</v>
      </c>
      <c r="F55" s="242" t="s">
        <v>220</v>
      </c>
      <c r="G55" s="250">
        <f>MAX(E42:E52)</f>
        <v>0</v>
      </c>
      <c r="H55" s="242" t="s">
        <v>82</v>
      </c>
    </row>
    <row r="56" spans="1:8" x14ac:dyDescent="0.2">
      <c r="D56" s="20" t="s">
        <v>190</v>
      </c>
      <c r="E56" s="251">
        <f>SUM(E54:E55)</f>
        <v>0</v>
      </c>
      <c r="F56" s="27" t="s">
        <v>220</v>
      </c>
    </row>
    <row r="57" spans="1:8" ht="13.5" customHeight="1" x14ac:dyDescent="0.2">
      <c r="D57" s="22"/>
      <c r="E57" s="252" t="s">
        <v>242</v>
      </c>
    </row>
    <row r="58" spans="1:8" x14ac:dyDescent="0.2">
      <c r="D58" s="22"/>
      <c r="E58" s="22"/>
    </row>
    <row r="59" spans="1:8" x14ac:dyDescent="0.2">
      <c r="D59" s="20" t="s">
        <v>123</v>
      </c>
      <c r="E59" s="78">
        <f>G54/C7</f>
        <v>0</v>
      </c>
      <c r="F59" s="27" t="s">
        <v>124</v>
      </c>
      <c r="G59" s="22" t="str">
        <f>IF(E59=0,"-",IF(E59&gt;=1,"OK",IF(E59&gt;=0.5,"ED","!")))</f>
        <v>-</v>
      </c>
    </row>
    <row r="60" spans="1:8" x14ac:dyDescent="0.2">
      <c r="D60" s="20" t="s">
        <v>284</v>
      </c>
      <c r="E60" s="78" t="e">
        <f>IF(E63&lt;=0.15,2,IF(E63&lt;=0.65,2-(E63-0.15)*2,IF(E63&gt;0.65,1,NA)))</f>
        <v>#DIV/0!</v>
      </c>
      <c r="G60" s="22"/>
    </row>
    <row r="61" spans="1:8" x14ac:dyDescent="0.2">
      <c r="D61" s="22"/>
      <c r="E61" s="22"/>
    </row>
    <row r="62" spans="1:8" x14ac:dyDescent="0.2">
      <c r="D62" s="20" t="s">
        <v>279</v>
      </c>
      <c r="E62" s="253">
        <f>G5-G6</f>
        <v>97</v>
      </c>
      <c r="G62" s="22"/>
    </row>
    <row r="63" spans="1:8" x14ac:dyDescent="0.2">
      <c r="D63" s="20" t="s">
        <v>282</v>
      </c>
      <c r="E63" s="78" t="e">
        <f>(C14-INDEX(C14:C34,MATCH(E62,B14:B34,0)))/C14</f>
        <v>#DIV/0!</v>
      </c>
      <c r="F63" s="27" t="s">
        <v>280</v>
      </c>
      <c r="G63" s="22" t="e">
        <f>IF(E63=0,0,IF(E63&lt;=0.15,"OK","!"))</f>
        <v>#DIV/0!</v>
      </c>
    </row>
    <row r="64" spans="1:8" x14ac:dyDescent="0.2">
      <c r="D64" s="20" t="s">
        <v>281</v>
      </c>
      <c r="E64" s="78" t="e">
        <f>(INDEX(C14:C34,MATCH((G5-8),B14:B34,0)))/C14</f>
        <v>#DIV/0!</v>
      </c>
      <c r="F64" s="27" t="s">
        <v>283</v>
      </c>
      <c r="G64" s="22" t="e">
        <f>IF(E64=0,0,IF(E64&gt;=0.25,"OK","!"))</f>
        <v>#DIV/0!</v>
      </c>
    </row>
    <row r="65" spans="1:9" x14ac:dyDescent="0.2">
      <c r="D65" s="20"/>
      <c r="E65" s="78"/>
      <c r="G65" s="22"/>
    </row>
    <row r="66" spans="1:9" ht="12.75" thickBot="1" x14ac:dyDescent="0.25">
      <c r="D66" s="20"/>
      <c r="E66" s="78"/>
      <c r="G66" s="22"/>
    </row>
    <row r="67" spans="1:9" ht="15" x14ac:dyDescent="0.25">
      <c r="A67" s="42" t="s">
        <v>265</v>
      </c>
      <c r="B67" s="42"/>
      <c r="C67" s="42"/>
      <c r="D67" s="42"/>
      <c r="E67" s="42"/>
      <c r="F67" s="42"/>
      <c r="G67" s="42"/>
      <c r="H67" s="173"/>
      <c r="I67" s="42"/>
    </row>
    <row r="68" spans="1:9" ht="15" x14ac:dyDescent="0.25">
      <c r="A68" s="43" t="s">
        <v>266</v>
      </c>
      <c r="B68" s="43"/>
      <c r="C68" s="43"/>
      <c r="D68" s="43"/>
      <c r="E68" s="43"/>
      <c r="F68" s="43"/>
      <c r="G68" s="43"/>
      <c r="H68" s="43"/>
      <c r="I68" s="44" t="str">
        <f>'CL_1 - Site Screening'!J71</f>
        <v>IDALS: Issue Date: 08/03/2020</v>
      </c>
    </row>
    <row r="69" spans="1:9" x14ac:dyDescent="0.2">
      <c r="D69" s="22"/>
      <c r="E69" s="22"/>
    </row>
    <row r="70" spans="1:9" x14ac:dyDescent="0.2">
      <c r="D70" s="20" t="s">
        <v>221</v>
      </c>
      <c r="E70" s="254" t="e">
        <f>E63+#REF!+E65</f>
        <v>#DIV/0!</v>
      </c>
    </row>
  </sheetData>
  <sheetProtection algorithmName="SHA-512" hashValue="5A4hoJI3hx2eTvJ9S40IM78/HFZP7nPGSXn55wF6VQN5251JrCtEgCTF95NzwuxvvARC/52VaX2qUeA3xMxdTg==" saltValue="YGbPaEl+a6A/3flFgHmPKg==" spinCount="100000" sheet="1" selectLockedCells="1"/>
  <mergeCells count="6">
    <mergeCell ref="K4:M4"/>
    <mergeCell ref="C9:I9"/>
    <mergeCell ref="B1:G1"/>
    <mergeCell ref="B2:E2"/>
    <mergeCell ref="E5:F5"/>
    <mergeCell ref="E6:F6"/>
  </mergeCells>
  <conditionalFormatting sqref="G62 G64:G68">
    <cfRule type="cellIs" dxfId="8" priority="8" operator="equal">
      <formula>"!"</formula>
    </cfRule>
    <cfRule type="cellIs" dxfId="7" priority="9" operator="equal">
      <formula>"OK"</formula>
    </cfRule>
  </conditionalFormatting>
  <conditionalFormatting sqref="G59:G60">
    <cfRule type="cellIs" dxfId="6" priority="3" operator="equal">
      <formula>"ED"</formula>
    </cfRule>
    <cfRule type="cellIs" dxfId="5" priority="4" operator="equal">
      <formula>"!"</formula>
    </cfRule>
    <cfRule type="cellIs" dxfId="4" priority="5" operator="equal">
      <formula>"OK"</formula>
    </cfRule>
  </conditionalFormatting>
  <conditionalFormatting sqref="G63">
    <cfRule type="cellIs" dxfId="3" priority="1" operator="equal">
      <formula>"!"</formula>
    </cfRule>
    <cfRule type="cellIs" dxfId="2" priority="2" operator="equal">
      <formula>"OK"</formula>
    </cfRule>
  </conditionalFormatting>
  <printOptions horizontalCentered="1" verticalCentered="1"/>
  <pageMargins left="0.25" right="0.25" top="0.75" bottom="0.75" header="0.3" footer="0.3"/>
  <pageSetup scale="98"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I43"/>
  <sheetViews>
    <sheetView view="pageBreakPreview" zoomScaleNormal="100" zoomScaleSheetLayoutView="100" workbookViewId="0">
      <selection activeCell="C17" sqref="C17"/>
    </sheetView>
  </sheetViews>
  <sheetFormatPr defaultColWidth="8.85546875" defaultRowHeight="12.75" x14ac:dyDescent="0.2"/>
  <cols>
    <col min="1" max="1" width="12.7109375" style="118" customWidth="1"/>
    <col min="2" max="2" width="10.42578125" style="118" customWidth="1"/>
    <col min="3" max="3" width="9" style="118" customWidth="1"/>
    <col min="4" max="4" width="21.7109375" style="118" customWidth="1"/>
    <col min="5" max="6" width="18" style="118" customWidth="1"/>
    <col min="7" max="7" width="9" style="118" customWidth="1"/>
    <col min="8" max="8" width="10.28515625" style="118" customWidth="1"/>
    <col min="9" max="16384" width="8.85546875" style="118"/>
  </cols>
  <sheetData>
    <row r="1" spans="1:9" x14ac:dyDescent="0.2">
      <c r="A1" s="282" t="s">
        <v>212</v>
      </c>
      <c r="B1" s="282"/>
      <c r="C1" s="282"/>
      <c r="D1" s="282"/>
      <c r="E1" s="282"/>
      <c r="F1" s="282"/>
      <c r="G1" s="282"/>
      <c r="H1" s="117"/>
      <c r="I1" s="117"/>
    </row>
    <row r="2" spans="1:9" x14ac:dyDescent="0.2">
      <c r="A2" s="118" t="s">
        <v>154</v>
      </c>
      <c r="B2" s="306">
        <f>'CL_1 - Site Screening'!C3</f>
        <v>0</v>
      </c>
      <c r="C2" s="306"/>
      <c r="D2" s="306"/>
      <c r="E2" s="306"/>
      <c r="F2" s="177">
        <f ca="1">'CL_1 - Site Screening'!G5</f>
        <v>44595</v>
      </c>
      <c r="G2" s="118" t="s">
        <v>159</v>
      </c>
    </row>
    <row r="3" spans="1:9" x14ac:dyDescent="0.2">
      <c r="A3" s="119" t="s">
        <v>158</v>
      </c>
      <c r="B3" s="119"/>
      <c r="C3" s="119"/>
      <c r="D3" s="119"/>
      <c r="E3" s="119"/>
      <c r="F3" s="119"/>
      <c r="G3" s="255"/>
    </row>
    <row r="5" spans="1:9" x14ac:dyDescent="0.2">
      <c r="A5" s="118" t="s">
        <v>85</v>
      </c>
    </row>
    <row r="7" spans="1:9" x14ac:dyDescent="0.2">
      <c r="A7" s="118" t="s">
        <v>66</v>
      </c>
      <c r="C7" s="54">
        <f>'DE_1 - Watershed Info'!C44</f>
        <v>1</v>
      </c>
      <c r="D7" s="118" t="s">
        <v>29</v>
      </c>
      <c r="E7" s="318" t="s">
        <v>235</v>
      </c>
      <c r="F7" s="318"/>
      <c r="G7" s="318"/>
    </row>
    <row r="9" spans="1:9" x14ac:dyDescent="0.2">
      <c r="A9" s="256" t="s">
        <v>301</v>
      </c>
      <c r="B9" s="256"/>
      <c r="C9" s="256"/>
      <c r="D9" s="256"/>
      <c r="E9" s="256"/>
      <c r="F9" s="256"/>
      <c r="G9" s="256"/>
    </row>
    <row r="10" spans="1:9" x14ac:dyDescent="0.2">
      <c r="B10" s="257"/>
      <c r="C10" s="257"/>
      <c r="D10" s="257"/>
      <c r="E10" s="257"/>
      <c r="F10" s="257"/>
      <c r="G10" s="257"/>
      <c r="H10" s="257"/>
    </row>
    <row r="11" spans="1:9" ht="30.6" customHeight="1" x14ac:dyDescent="0.2">
      <c r="A11" s="54" t="s">
        <v>74</v>
      </c>
      <c r="B11" s="142" t="s">
        <v>125</v>
      </c>
      <c r="C11" s="143" t="s">
        <v>126</v>
      </c>
      <c r="D11" s="144" t="s">
        <v>127</v>
      </c>
      <c r="E11" s="258" t="s">
        <v>128</v>
      </c>
      <c r="F11" s="259" t="s">
        <v>128</v>
      </c>
      <c r="G11" s="145"/>
      <c r="H11" s="146"/>
    </row>
    <row r="12" spans="1:9" x14ac:dyDescent="0.2">
      <c r="A12" s="156"/>
      <c r="B12" s="260" t="s">
        <v>129</v>
      </c>
      <c r="C12" s="261" t="s">
        <v>129</v>
      </c>
      <c r="D12" s="262" t="s">
        <v>130</v>
      </c>
      <c r="E12" s="263" t="s">
        <v>131</v>
      </c>
      <c r="F12" s="262" t="s">
        <v>132</v>
      </c>
      <c r="G12" s="145"/>
      <c r="H12" s="146"/>
    </row>
    <row r="13" spans="1:9" x14ac:dyDescent="0.2">
      <c r="A13" s="264" t="s">
        <v>75</v>
      </c>
      <c r="B13" s="143" t="str">
        <f>'Step 3 - Hydrology'!B37</f>
        <v>NA</v>
      </c>
      <c r="C13" s="265"/>
      <c r="D13" s="266"/>
      <c r="E13" s="267"/>
      <c r="F13" s="268" t="str">
        <f>IF(B13="NA","NA",12*E13/(C$7*43560))</f>
        <v>NA</v>
      </c>
      <c r="G13" s="145"/>
      <c r="H13" s="146"/>
    </row>
    <row r="14" spans="1:9" x14ac:dyDescent="0.2">
      <c r="A14" s="54" t="s">
        <v>133</v>
      </c>
      <c r="B14" s="143">
        <f>'Step 3 - Hydrology'!B38</f>
        <v>0</v>
      </c>
      <c r="C14" s="265"/>
      <c r="D14" s="266"/>
      <c r="E14" s="267"/>
      <c r="F14" s="268">
        <f>12*E14/(C$7*43560)</f>
        <v>0</v>
      </c>
      <c r="G14" s="145"/>
      <c r="H14" s="146"/>
    </row>
    <row r="15" spans="1:9" x14ac:dyDescent="0.2">
      <c r="A15" s="54" t="s">
        <v>134</v>
      </c>
      <c r="B15" s="143">
        <f>'Step 3 - Hydrology'!B39</f>
        <v>0</v>
      </c>
      <c r="C15" s="265"/>
      <c r="D15" s="266"/>
      <c r="E15" s="267"/>
      <c r="F15" s="268">
        <f t="shared" ref="F15:F20" si="0">12*E15/(C$7*43560)</f>
        <v>0</v>
      </c>
      <c r="G15" s="145"/>
      <c r="H15" s="146"/>
    </row>
    <row r="16" spans="1:9" x14ac:dyDescent="0.2">
      <c r="A16" s="54" t="s">
        <v>135</v>
      </c>
      <c r="B16" s="143">
        <f>'Step 3 - Hydrology'!B40</f>
        <v>0</v>
      </c>
      <c r="C16" s="265"/>
      <c r="D16" s="266"/>
      <c r="E16" s="267"/>
      <c r="F16" s="268">
        <f t="shared" si="0"/>
        <v>0</v>
      </c>
      <c r="G16" s="145"/>
      <c r="H16" s="146"/>
    </row>
    <row r="17" spans="1:8" x14ac:dyDescent="0.2">
      <c r="A17" s="54" t="s">
        <v>136</v>
      </c>
      <c r="B17" s="143">
        <f>'Step 3 - Hydrology'!B41</f>
        <v>0</v>
      </c>
      <c r="C17" s="265"/>
      <c r="D17" s="266"/>
      <c r="E17" s="267"/>
      <c r="F17" s="268">
        <f t="shared" si="0"/>
        <v>0</v>
      </c>
      <c r="G17" s="145"/>
      <c r="H17" s="146"/>
    </row>
    <row r="18" spans="1:8" x14ac:dyDescent="0.2">
      <c r="A18" s="54" t="s">
        <v>137</v>
      </c>
      <c r="B18" s="143">
        <f>'Step 3 - Hydrology'!B42</f>
        <v>0</v>
      </c>
      <c r="C18" s="265"/>
      <c r="D18" s="266"/>
      <c r="E18" s="267"/>
      <c r="F18" s="268">
        <f t="shared" si="0"/>
        <v>0</v>
      </c>
      <c r="G18" s="145"/>
      <c r="H18" s="146"/>
    </row>
    <row r="19" spans="1:8" x14ac:dyDescent="0.2">
      <c r="A19" s="54" t="s">
        <v>138</v>
      </c>
      <c r="B19" s="143">
        <f>'Step 3 - Hydrology'!B43</f>
        <v>0</v>
      </c>
      <c r="C19" s="265"/>
      <c r="D19" s="266"/>
      <c r="E19" s="267"/>
      <c r="F19" s="268">
        <f t="shared" si="0"/>
        <v>0</v>
      </c>
    </row>
    <row r="20" spans="1:8" x14ac:dyDescent="0.2">
      <c r="A20" s="54" t="s">
        <v>139</v>
      </c>
      <c r="B20" s="143">
        <f>'Step 3 - Hydrology'!B44</f>
        <v>0</v>
      </c>
      <c r="C20" s="265"/>
      <c r="D20" s="266"/>
      <c r="E20" s="267"/>
      <c r="F20" s="268">
        <f t="shared" si="0"/>
        <v>0</v>
      </c>
    </row>
    <row r="21" spans="1:8" x14ac:dyDescent="0.2">
      <c r="D21" s="122"/>
      <c r="E21" s="149"/>
    </row>
    <row r="22" spans="1:8" x14ac:dyDescent="0.2">
      <c r="A22" s="256" t="s">
        <v>302</v>
      </c>
      <c r="B22" s="256"/>
      <c r="C22" s="256"/>
      <c r="D22" s="256"/>
      <c r="E22" s="256"/>
      <c r="F22" s="256"/>
      <c r="G22" s="256"/>
    </row>
    <row r="23" spans="1:8" ht="51" x14ac:dyDescent="0.2">
      <c r="A23" s="54" t="s">
        <v>140</v>
      </c>
      <c r="B23" s="269" t="s">
        <v>141</v>
      </c>
      <c r="C23" s="269" t="s">
        <v>149</v>
      </c>
      <c r="D23" s="269" t="s">
        <v>150</v>
      </c>
      <c r="E23" s="269" t="s">
        <v>142</v>
      </c>
      <c r="F23" s="269" t="s">
        <v>236</v>
      </c>
      <c r="G23" s="269" t="s">
        <v>151</v>
      </c>
    </row>
    <row r="24" spans="1:8" x14ac:dyDescent="0.2">
      <c r="A24" s="54"/>
      <c r="B24" s="269"/>
      <c r="C24" s="270"/>
      <c r="D24" s="269" t="s">
        <v>143</v>
      </c>
      <c r="E24" s="269"/>
      <c r="F24" s="269"/>
    </row>
    <row r="25" spans="1:8" x14ac:dyDescent="0.2">
      <c r="A25" s="54"/>
      <c r="B25" s="54"/>
      <c r="C25" s="54" t="s">
        <v>144</v>
      </c>
      <c r="D25" s="54" t="s">
        <v>144</v>
      </c>
      <c r="E25" s="54"/>
      <c r="F25" s="54"/>
    </row>
    <row r="26" spans="1:8" x14ac:dyDescent="0.2">
      <c r="A26" s="156" t="s">
        <v>145</v>
      </c>
      <c r="B26" s="156" t="s">
        <v>30</v>
      </c>
      <c r="C26" s="156" t="s">
        <v>146</v>
      </c>
      <c r="D26" s="156" t="s">
        <v>147</v>
      </c>
      <c r="E26" s="156" t="s">
        <v>131</v>
      </c>
      <c r="F26" s="156" t="s">
        <v>131</v>
      </c>
      <c r="G26" s="255"/>
    </row>
    <row r="27" spans="1:8" x14ac:dyDescent="0.2">
      <c r="A27" s="264" t="s">
        <v>75</v>
      </c>
      <c r="B27" s="271" t="str">
        <f>IF(B13="NA","NA",F13/'Step 3 - Hydrology'!B18)</f>
        <v>NA</v>
      </c>
      <c r="C27" s="272"/>
      <c r="D27" s="124" t="str">
        <f>IF(B27="NA","NA",1-C13/'Step 3 - Hydrology'!G18)</f>
        <v>NA</v>
      </c>
      <c r="E27" s="170" t="str">
        <f>'Step 3 - Hydrology'!G37</f>
        <v>NA</v>
      </c>
      <c r="F27" s="170" t="str">
        <f>IF(B13="NA","NA",E13)</f>
        <v>NA</v>
      </c>
      <c r="G27" s="148" t="str">
        <f>IF(B13="NA","NA",F27/E27)</f>
        <v>NA</v>
      </c>
    </row>
    <row r="28" spans="1:8" x14ac:dyDescent="0.2">
      <c r="A28" s="54" t="s">
        <v>148</v>
      </c>
      <c r="B28" s="271" t="e">
        <f>F14/'Step 3 - Hydrology'!B19</f>
        <v>#DIV/0!</v>
      </c>
      <c r="C28" s="272"/>
      <c r="D28" s="124" t="e">
        <f>1-C14/'Step 3 - Hydrology'!G19</f>
        <v>#DIV/0!</v>
      </c>
      <c r="E28" s="170" t="e">
        <f>'Step 3 - Hydrology'!G38</f>
        <v>#DIV/0!</v>
      </c>
      <c r="F28" s="170">
        <f>E14</f>
        <v>0</v>
      </c>
      <c r="G28" s="148" t="e">
        <f>F28/E28</f>
        <v>#DIV/0!</v>
      </c>
    </row>
    <row r="29" spans="1:8" x14ac:dyDescent="0.2">
      <c r="A29" s="54" t="s">
        <v>134</v>
      </c>
      <c r="B29" s="271" t="e">
        <f>F15/'Step 3 - Hydrology'!B20</f>
        <v>#DIV/0!</v>
      </c>
      <c r="C29" s="272"/>
      <c r="D29" s="124" t="e">
        <f>1-C15/'Step 3 - Hydrology'!G20</f>
        <v>#DIV/0!</v>
      </c>
      <c r="E29" s="170" t="e">
        <f>'Step 3 - Hydrology'!G39</f>
        <v>#DIV/0!</v>
      </c>
      <c r="F29" s="170">
        <f>E15</f>
        <v>0</v>
      </c>
      <c r="G29" s="148" t="e">
        <f t="shared" ref="G29:G34" si="1">F29/E29</f>
        <v>#DIV/0!</v>
      </c>
    </row>
    <row r="30" spans="1:8" x14ac:dyDescent="0.2">
      <c r="A30" s="54" t="s">
        <v>135</v>
      </c>
      <c r="B30" s="271" t="e">
        <f>F16/'Step 3 - Hydrology'!B21</f>
        <v>#DIV/0!</v>
      </c>
      <c r="C30" s="272"/>
      <c r="D30" s="124" t="e">
        <f>1-C16/'Step 3 - Hydrology'!G21</f>
        <v>#DIV/0!</v>
      </c>
      <c r="E30" s="170" t="e">
        <f>'Step 3 - Hydrology'!G40</f>
        <v>#DIV/0!</v>
      </c>
      <c r="F30" s="170">
        <f>E16</f>
        <v>0</v>
      </c>
      <c r="G30" s="148" t="e">
        <f t="shared" si="1"/>
        <v>#DIV/0!</v>
      </c>
    </row>
    <row r="31" spans="1:8" x14ac:dyDescent="0.2">
      <c r="A31" s="54" t="s">
        <v>136</v>
      </c>
      <c r="B31" s="271" t="e">
        <f>F17/'Step 3 - Hydrology'!B22</f>
        <v>#DIV/0!</v>
      </c>
      <c r="C31" s="272"/>
      <c r="D31" s="124" t="e">
        <f>1-C17/'Step 3 - Hydrology'!G22</f>
        <v>#DIV/0!</v>
      </c>
      <c r="E31" s="170" t="e">
        <f>'Step 3 - Hydrology'!G41</f>
        <v>#DIV/0!</v>
      </c>
      <c r="F31" s="170">
        <f>E17</f>
        <v>0</v>
      </c>
      <c r="G31" s="148" t="e">
        <f t="shared" si="1"/>
        <v>#DIV/0!</v>
      </c>
    </row>
    <row r="32" spans="1:8" x14ac:dyDescent="0.2">
      <c r="A32" s="54" t="s">
        <v>137</v>
      </c>
      <c r="B32" s="271" t="e">
        <f>F18/'Step 3 - Hydrology'!B23</f>
        <v>#DIV/0!</v>
      </c>
      <c r="C32" s="272"/>
      <c r="D32" s="124" t="e">
        <f>1-C18/'Step 3 - Hydrology'!G23</f>
        <v>#DIV/0!</v>
      </c>
      <c r="E32" s="170" t="e">
        <f>'Step 3 - Hydrology'!G42</f>
        <v>#DIV/0!</v>
      </c>
      <c r="F32" s="170">
        <f t="shared" ref="F32:F34" si="2">E18</f>
        <v>0</v>
      </c>
      <c r="G32" s="148" t="e">
        <f t="shared" si="1"/>
        <v>#DIV/0!</v>
      </c>
    </row>
    <row r="33" spans="1:9" x14ac:dyDescent="0.2">
      <c r="A33" s="54" t="s">
        <v>138</v>
      </c>
      <c r="B33" s="271" t="e">
        <f>F19/'Step 3 - Hydrology'!B24</f>
        <v>#DIV/0!</v>
      </c>
      <c r="C33" s="272"/>
      <c r="D33" s="124" t="e">
        <f>1-C19/'Step 3 - Hydrology'!G24</f>
        <v>#DIV/0!</v>
      </c>
      <c r="E33" s="170" t="e">
        <f>'Step 3 - Hydrology'!G43</f>
        <v>#DIV/0!</v>
      </c>
      <c r="F33" s="170">
        <f t="shared" si="2"/>
        <v>0</v>
      </c>
      <c r="G33" s="148" t="e">
        <f t="shared" si="1"/>
        <v>#DIV/0!</v>
      </c>
    </row>
    <row r="34" spans="1:9" x14ac:dyDescent="0.2">
      <c r="A34" s="54" t="s">
        <v>139</v>
      </c>
      <c r="B34" s="271" t="e">
        <f>F20/'Step 3 - Hydrology'!B25</f>
        <v>#DIV/0!</v>
      </c>
      <c r="C34" s="272"/>
      <c r="D34" s="124" t="e">
        <f>1-C20/'Step 3 - Hydrology'!G25</f>
        <v>#DIV/0!</v>
      </c>
      <c r="E34" s="170" t="e">
        <f>'Step 3 - Hydrology'!G44</f>
        <v>#DIV/0!</v>
      </c>
      <c r="F34" s="170">
        <f t="shared" si="2"/>
        <v>0</v>
      </c>
      <c r="G34" s="148" t="e">
        <f t="shared" si="1"/>
        <v>#DIV/0!</v>
      </c>
    </row>
    <row r="35" spans="1:9" x14ac:dyDescent="0.2">
      <c r="A35" s="240" t="s">
        <v>152</v>
      </c>
      <c r="B35" s="273"/>
      <c r="C35" s="149"/>
      <c r="D35" s="148"/>
      <c r="E35" s="168"/>
      <c r="F35" s="169"/>
      <c r="G35" s="170"/>
      <c r="H35" s="170"/>
    </row>
    <row r="36" spans="1:9" x14ac:dyDescent="0.2">
      <c r="A36" s="240"/>
      <c r="B36" s="273"/>
      <c r="C36" s="149"/>
      <c r="D36" s="148"/>
      <c r="E36" s="168"/>
      <c r="F36" s="169"/>
      <c r="G36" s="170"/>
      <c r="H36" s="170"/>
    </row>
    <row r="37" spans="1:9" x14ac:dyDescent="0.2">
      <c r="A37" s="240"/>
      <c r="B37" s="273"/>
      <c r="C37" s="149"/>
      <c r="D37" s="148"/>
      <c r="E37" s="168"/>
      <c r="F37" s="169"/>
      <c r="G37" s="170"/>
      <c r="H37" s="170"/>
    </row>
    <row r="38" spans="1:9" x14ac:dyDescent="0.2">
      <c r="A38" s="240"/>
      <c r="B38" s="273"/>
      <c r="C38" s="149"/>
      <c r="D38" s="148"/>
      <c r="E38" s="168"/>
      <c r="F38" s="169"/>
      <c r="G38" s="170"/>
      <c r="H38" s="170"/>
    </row>
    <row r="39" spans="1:9" x14ac:dyDescent="0.2">
      <c r="A39" s="240"/>
      <c r="B39" s="273"/>
      <c r="C39" s="149"/>
      <c r="D39" s="148"/>
      <c r="E39" s="168"/>
      <c r="F39" s="169"/>
      <c r="G39" s="170"/>
      <c r="H39" s="170"/>
    </row>
    <row r="40" spans="1:9" x14ac:dyDescent="0.2">
      <c r="A40" s="240"/>
      <c r="B40" s="273"/>
      <c r="C40" s="149"/>
      <c r="D40" s="148"/>
      <c r="E40" s="168"/>
      <c r="F40" s="169"/>
      <c r="G40" s="170"/>
      <c r="H40" s="170"/>
    </row>
    <row r="41" spans="1:9" ht="15.75" thickBot="1" x14ac:dyDescent="0.3">
      <c r="A41" s="181"/>
      <c r="B41" s="274"/>
      <c r="C41" s="275"/>
      <c r="D41" s="209"/>
      <c r="E41" s="276"/>
      <c r="F41" s="277"/>
      <c r="G41" s="199"/>
      <c r="H41" s="170"/>
    </row>
    <row r="42" spans="1:9" ht="15" x14ac:dyDescent="0.25">
      <c r="A42" s="42" t="s">
        <v>267</v>
      </c>
      <c r="B42" s="42"/>
      <c r="C42" s="42"/>
      <c r="D42" s="42"/>
      <c r="E42" s="42"/>
      <c r="F42" s="42"/>
      <c r="G42" s="42"/>
      <c r="H42" s="170"/>
      <c r="I42" s="27"/>
    </row>
    <row r="43" spans="1:9" ht="15" x14ac:dyDescent="0.25">
      <c r="A43" s="43" t="s">
        <v>268</v>
      </c>
      <c r="B43" s="43"/>
      <c r="C43" s="43"/>
      <c r="D43" s="43"/>
      <c r="E43" s="43"/>
      <c r="F43" s="43"/>
      <c r="G43" s="44" t="str">
        <f>'CL_1 - Site Screening'!J71</f>
        <v>IDALS: Issue Date: 08/03/2020</v>
      </c>
      <c r="H43" s="27"/>
    </row>
  </sheetData>
  <sheetProtection algorithmName="SHA-512" hashValue="ev32AtgLPNoDafNLsz7oSnkEoyLGu2h0efO2k3Q115lT48ijUZnMkyTLYkBFyPfDQR/TFc9sQK+G8vx3PtoCpw==" saltValue="iltS+vWWbeb47rRCSkOyZg==" spinCount="100000" sheet="1" selectLockedCells="1"/>
  <mergeCells count="3">
    <mergeCell ref="B2:E2"/>
    <mergeCell ref="E7:G7"/>
    <mergeCell ref="A1:G1"/>
  </mergeCells>
  <conditionalFormatting sqref="G42:G43">
    <cfRule type="cellIs" dxfId="1" priority="1" operator="equal">
      <formula>"!"</formula>
    </cfRule>
    <cfRule type="cellIs" dxfId="0" priority="2" operator="equal">
      <formula>"OK"</formula>
    </cfRule>
  </conditionalFormatting>
  <printOptions horizontalCentered="1" verticalCentered="1"/>
  <pageMargins left="0.25" right="0.25" top="0.75" bottom="0.75" header="0.3" footer="0.3"/>
  <pageSetup orientation="portrait" r:id="rId1"/>
  <colBreaks count="1" manualBreakCount="1">
    <brk id="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DISCLAIMER</vt:lpstr>
      <vt:lpstr>CL_1 - Site Screening</vt:lpstr>
      <vt:lpstr>CL_2 - Design Summary</vt:lpstr>
      <vt:lpstr>DE_1 - Watershed Info</vt:lpstr>
      <vt:lpstr>Step 3 - Hydrology</vt:lpstr>
      <vt:lpstr>Step 4 - Pre-treat</vt:lpstr>
      <vt:lpstr>Step 5-7 Final Storage Volumes</vt:lpstr>
      <vt:lpstr>Step 9 - Results</vt:lpstr>
      <vt:lpstr>'CL_1 - Site Screening'!Print_Area</vt:lpstr>
      <vt:lpstr>'CL_2 - Design Summary'!Print_Area</vt:lpstr>
      <vt:lpstr>'DE_1 - Watershed Info'!Print_Area</vt:lpstr>
      <vt:lpstr>DISCLAIMER!Print_Area</vt:lpstr>
      <vt:lpstr>'Step 3 - Hydrology'!Print_Area</vt:lpstr>
      <vt:lpstr>'Step 4 - Pre-treat'!Print_Area</vt:lpstr>
      <vt:lpstr>'Step 5-7 Final Storage Volumes'!Print_Area</vt:lpstr>
      <vt:lpstr>'Step 9 -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Pierce</dc:creator>
  <cp:lastModifiedBy>Griffin, Joe [DNR]</cp:lastModifiedBy>
  <cp:lastPrinted>2020-06-18T16:45:42Z</cp:lastPrinted>
  <dcterms:created xsi:type="dcterms:W3CDTF">2017-07-05T15:47:13Z</dcterms:created>
  <dcterms:modified xsi:type="dcterms:W3CDTF">2022-02-03T14:41:12Z</dcterms:modified>
</cp:coreProperties>
</file>