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mc:AlternateContent xmlns:mc="http://schemas.openxmlformats.org/markup-compatibility/2006">
    <mc:Choice Requires="x15">
      <x15ac:absPath xmlns:x15ac="http://schemas.microsoft.com/office/spreadsheetml/2010/11/ac" url="C:\Hard drive\Manual\New chapters\"/>
    </mc:Choice>
  </mc:AlternateContent>
  <xr:revisionPtr revIDLastSave="0" documentId="13_ncr:1_{969D760C-262C-4562-B4BC-BD567C71BE7C}" xr6:coauthVersionLast="36" xr6:coauthVersionMax="36" xr10:uidLastSave="{00000000-0000-0000-0000-000000000000}"/>
  <bookViews>
    <workbookView xWindow="-28920" yWindow="-7230" windowWidth="29040" windowHeight="17640" tabRatio="758" xr2:uid="{00000000-000D-0000-FFFF-FFFF00000000}"/>
  </bookViews>
  <sheets>
    <sheet name="DISCLAIMER" sheetId="11" r:id="rId1"/>
    <sheet name="CL_1 - Site Screening" sheetId="3" r:id="rId2"/>
    <sheet name="CL_2 - Design Summary" sheetId="10" r:id="rId3"/>
    <sheet name="DE_1 - Watershed Info" sheetId="4" r:id="rId4"/>
    <sheet name="Step 3 - Hydrology" sheetId="5" r:id="rId5"/>
    <sheet name="Step 4 - Pre-treat" sheetId="7" r:id="rId6"/>
    <sheet name="Step 5-7 Final Storage Volumes" sheetId="2" r:id="rId7"/>
    <sheet name="Step 9 - Results" sheetId="8" r:id="rId8"/>
  </sheets>
  <definedNames>
    <definedName name="_xlnm.Print_Area" localSheetId="1">'CL_1 - Site Screening'!$A$1:$J$70</definedName>
    <definedName name="_xlnm.Print_Area" localSheetId="2">'CL_2 - Design Summary'!$A$1:$I$61</definedName>
    <definedName name="_xlnm.Print_Area" localSheetId="3">'DE_1 - Watershed Info'!$A$1:$G$52</definedName>
    <definedName name="_xlnm.Print_Area" localSheetId="0">DISCLAIMER!$A$1:$J$58</definedName>
    <definedName name="_xlnm.Print_Area" localSheetId="4">'Step 3 - Hydrology'!$A$1:$H$47</definedName>
    <definedName name="_xlnm.Print_Area" localSheetId="5">'Step 4 - Pre-treat'!$A$1:$F$51</definedName>
    <definedName name="_xlnm.Print_Area" localSheetId="6">'Step 5-7 Final Storage Volumes'!$A$1:$I$45</definedName>
    <definedName name="_xlnm.Print_Area" localSheetId="7">'Step 9 - Results'!$A$1:$G$43</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0" l="1"/>
  <c r="E24" i="10"/>
  <c r="D24" i="10"/>
  <c r="I25" i="10" l="1"/>
  <c r="D25" i="10"/>
  <c r="D23" i="10"/>
  <c r="C17" i="10"/>
  <c r="C19" i="10"/>
  <c r="G43" i="8" l="1"/>
  <c r="I45" i="2"/>
  <c r="F51" i="7"/>
  <c r="H47" i="5"/>
  <c r="G52" i="4"/>
  <c r="I61" i="10"/>
  <c r="F42" i="10" l="1"/>
  <c r="H41" i="10"/>
  <c r="H46" i="10"/>
  <c r="H45" i="10"/>
  <c r="H37" i="10"/>
  <c r="I37" i="10" s="1"/>
  <c r="A1" i="3" l="1"/>
  <c r="A1" i="10" s="1"/>
  <c r="D19" i="10" l="1"/>
  <c r="S39" i="5" l="1"/>
  <c r="B39" i="5" s="1"/>
  <c r="S44" i="5" l="1"/>
  <c r="S43" i="5"/>
  <c r="B43" i="5" s="1"/>
  <c r="S42" i="5"/>
  <c r="B42" i="5" s="1"/>
  <c r="S41" i="5"/>
  <c r="B41" i="5" s="1"/>
  <c r="S40" i="5"/>
  <c r="B40" i="5" s="1"/>
  <c r="F37" i="5" l="1"/>
  <c r="C44" i="5"/>
  <c r="C38" i="5"/>
  <c r="C39" i="5"/>
  <c r="D39" i="5" s="1"/>
  <c r="C40" i="5"/>
  <c r="C41" i="5"/>
  <c r="C42" i="5"/>
  <c r="C43" i="5"/>
  <c r="C37" i="5"/>
  <c r="B15" i="8"/>
  <c r="B16" i="8"/>
  <c r="B17" i="8"/>
  <c r="B18" i="8"/>
  <c r="B19" i="8"/>
  <c r="B44" i="5"/>
  <c r="B20" i="8" s="1"/>
  <c r="A34" i="5"/>
  <c r="S37" i="5" l="1"/>
  <c r="B37" i="5" s="1"/>
  <c r="E31" i="5"/>
  <c r="S38" i="5" s="1"/>
  <c r="B38" i="5" l="1"/>
  <c r="B13" i="8"/>
  <c r="D37" i="5"/>
  <c r="E37" i="5" s="1"/>
  <c r="G37" i="5" s="1"/>
  <c r="E27" i="8" s="1"/>
  <c r="D7" i="7"/>
  <c r="D46" i="7"/>
  <c r="D42" i="7"/>
  <c r="D43" i="7"/>
  <c r="D44" i="7"/>
  <c r="D45" i="7"/>
  <c r="D31" i="7"/>
  <c r="D32" i="7"/>
  <c r="D33" i="7"/>
  <c r="B42" i="7"/>
  <c r="B43" i="7"/>
  <c r="B44" i="7"/>
  <c r="B45" i="7"/>
  <c r="B31" i="7"/>
  <c r="B32" i="7"/>
  <c r="B33" i="7"/>
  <c r="D34" i="7" s="1"/>
  <c r="B34" i="7"/>
  <c r="B20" i="7"/>
  <c r="B21" i="7"/>
  <c r="B22" i="7"/>
  <c r="B23" i="7"/>
  <c r="D38" i="5" l="1"/>
  <c r="E38" i="5" s="1"/>
  <c r="B14" i="8"/>
  <c r="C18" i="10" s="1"/>
  <c r="H37" i="5"/>
  <c r="F13" i="8"/>
  <c r="B27" i="8" s="1"/>
  <c r="D27" i="8" s="1"/>
  <c r="F27" i="8"/>
  <c r="G27" i="8" s="1"/>
  <c r="D21" i="7"/>
  <c r="D23" i="7"/>
  <c r="D22" i="7"/>
  <c r="B41" i="7"/>
  <c r="B40" i="7"/>
  <c r="B30" i="7"/>
  <c r="B29" i="7"/>
  <c r="D30" i="7" s="1"/>
  <c r="E30" i="7" s="1"/>
  <c r="E31" i="7" s="1"/>
  <c r="E32" i="7" s="1"/>
  <c r="E33" i="7" s="1"/>
  <c r="E34" i="7" s="1"/>
  <c r="B19" i="7"/>
  <c r="D20" i="7" s="1"/>
  <c r="B18" i="7"/>
  <c r="D19" i="7" l="1"/>
  <c r="D41" i="7"/>
  <c r="E41" i="7" s="1"/>
  <c r="E42" i="7" s="1"/>
  <c r="E43" i="7" s="1"/>
  <c r="E44" i="7" s="1"/>
  <c r="E45" i="7" s="1"/>
  <c r="F28" i="8"/>
  <c r="F31" i="8"/>
  <c r="F30" i="8"/>
  <c r="F29" i="8"/>
  <c r="F46" i="4"/>
  <c r="F30" i="4"/>
  <c r="F26" i="10"/>
  <c r="E26" i="10"/>
  <c r="D26" i="10"/>
  <c r="I24" i="10"/>
  <c r="I12" i="10"/>
  <c r="I11" i="10"/>
  <c r="E29" i="3"/>
  <c r="G31" i="3"/>
  <c r="A5" i="2"/>
  <c r="D21" i="2"/>
  <c r="D22" i="2"/>
  <c r="E22" i="2" s="1"/>
  <c r="D23" i="2"/>
  <c r="E23" i="2" s="1"/>
  <c r="D24" i="2"/>
  <c r="E24" i="2" s="1"/>
  <c r="D25" i="2"/>
  <c r="E25" i="2" s="1"/>
  <c r="A16" i="2"/>
  <c r="A17" i="2" s="1"/>
  <c r="A18" i="2" s="1"/>
  <c r="A19" i="2" s="1"/>
  <c r="A20" i="2" s="1"/>
  <c r="A21" i="2" s="1"/>
  <c r="A22" i="2" s="1"/>
  <c r="A23" i="2" s="1"/>
  <c r="A24" i="2" s="1"/>
  <c r="A25" i="2" s="1"/>
  <c r="F40" i="10" l="1"/>
  <c r="E25" i="10"/>
  <c r="A6" i="2"/>
  <c r="A7" i="2"/>
  <c r="B14" i="2"/>
  <c r="F25" i="10" l="1"/>
  <c r="H39" i="10"/>
  <c r="B25" i="2"/>
  <c r="B17" i="2"/>
  <c r="B24" i="2"/>
  <c r="B16" i="2"/>
  <c r="B15" i="2"/>
  <c r="B19" i="2"/>
  <c r="B18" i="2"/>
  <c r="B23" i="2"/>
  <c r="B22" i="2"/>
  <c r="B21" i="2"/>
  <c r="B20" i="2"/>
  <c r="I19" i="10"/>
  <c r="H19" i="10"/>
  <c r="G19" i="10"/>
  <c r="F19" i="10"/>
  <c r="E19" i="10"/>
  <c r="C5" i="10"/>
  <c r="C3" i="10"/>
  <c r="B2" i="4"/>
  <c r="D17" i="2" l="1"/>
  <c r="D20" i="2"/>
  <c r="D18" i="2"/>
  <c r="D19" i="2"/>
  <c r="D15" i="2"/>
  <c r="E15" i="2" s="1"/>
  <c r="D16" i="2"/>
  <c r="B2" i="8"/>
  <c r="B2" i="2"/>
  <c r="B2" i="7"/>
  <c r="B2" i="5"/>
  <c r="G5" i="3"/>
  <c r="F32" i="8"/>
  <c r="F33" i="8"/>
  <c r="F34" i="8"/>
  <c r="D29" i="8"/>
  <c r="D30" i="8"/>
  <c r="D31" i="8"/>
  <c r="D32" i="8"/>
  <c r="D33" i="8"/>
  <c r="D34" i="8"/>
  <c r="D28" i="8"/>
  <c r="E19" i="7"/>
  <c r="F39" i="5"/>
  <c r="F40" i="5"/>
  <c r="F41" i="5"/>
  <c r="F42" i="5"/>
  <c r="F43" i="5"/>
  <c r="F44" i="5"/>
  <c r="F38" i="5"/>
  <c r="G38" i="5" s="1"/>
  <c r="H38" i="5" s="1"/>
  <c r="D41" i="5"/>
  <c r="E41" i="5" s="1"/>
  <c r="D42" i="5"/>
  <c r="E42" i="5" s="1"/>
  <c r="D43" i="5"/>
  <c r="E43" i="5" s="1"/>
  <c r="D44" i="5"/>
  <c r="E44" i="5" s="1"/>
  <c r="D18" i="10"/>
  <c r="D21" i="10" s="1"/>
  <c r="E18" i="10"/>
  <c r="E21" i="10" s="1"/>
  <c r="F18" i="10"/>
  <c r="F21" i="10" s="1"/>
  <c r="C44" i="4"/>
  <c r="C28" i="4"/>
  <c r="C13" i="4"/>
  <c r="C14" i="4" s="1"/>
  <c r="E16" i="2" l="1"/>
  <c r="E17" i="2" s="1"/>
  <c r="E18" i="2" s="1"/>
  <c r="E19" i="2" s="1"/>
  <c r="G42" i="5"/>
  <c r="H42" i="5" s="1"/>
  <c r="G43" i="5"/>
  <c r="H43" i="5" s="1"/>
  <c r="G44" i="5"/>
  <c r="E34" i="8" s="1"/>
  <c r="G34" i="8" s="1"/>
  <c r="C45" i="4"/>
  <c r="F44" i="4" s="1"/>
  <c r="C29" i="3"/>
  <c r="E29" i="10" s="1"/>
  <c r="D40" i="5"/>
  <c r="E40" i="5" s="1"/>
  <c r="G40" i="5" s="1"/>
  <c r="E30" i="8" s="1"/>
  <c r="G30" i="8" s="1"/>
  <c r="H18" i="10"/>
  <c r="H21" i="10" s="1"/>
  <c r="G41" i="5"/>
  <c r="E31" i="8" s="1"/>
  <c r="G31" i="8" s="1"/>
  <c r="E39" i="5"/>
  <c r="G39" i="5" s="1"/>
  <c r="I18" i="10"/>
  <c r="I21" i="10" s="1"/>
  <c r="G18" i="10"/>
  <c r="G21" i="10" s="1"/>
  <c r="D46" i="4"/>
  <c r="C29" i="4"/>
  <c r="G2" i="4"/>
  <c r="G5" i="10"/>
  <c r="C7" i="5"/>
  <c r="C7" i="8"/>
  <c r="G2" i="5"/>
  <c r="F2" i="8"/>
  <c r="G2" i="2"/>
  <c r="E2" i="7"/>
  <c r="E20" i="7"/>
  <c r="D30" i="4"/>
  <c r="E21" i="7" l="1"/>
  <c r="E22" i="7" s="1"/>
  <c r="E23" i="7" s="1"/>
  <c r="D47" i="7"/>
  <c r="F12" i="10" s="1"/>
  <c r="E28" i="5"/>
  <c r="E29" i="5" s="1"/>
  <c r="H44" i="5"/>
  <c r="E32" i="8"/>
  <c r="G32" i="8" s="1"/>
  <c r="F15" i="8"/>
  <c r="B29" i="8" s="1"/>
  <c r="C21" i="10"/>
  <c r="E33" i="8"/>
  <c r="G33" i="8" s="1"/>
  <c r="E28" i="8"/>
  <c r="G28" i="8" s="1"/>
  <c r="G47" i="4"/>
  <c r="F9" i="5" s="1"/>
  <c r="F45" i="4"/>
  <c r="H40" i="5"/>
  <c r="H41" i="5"/>
  <c r="H39" i="5"/>
  <c r="E29" i="8"/>
  <c r="G29" i="8" s="1"/>
  <c r="F18" i="8"/>
  <c r="B32" i="8" s="1"/>
  <c r="F16" i="8"/>
  <c r="B30" i="8" s="1"/>
  <c r="F17" i="8"/>
  <c r="B31" i="8" s="1"/>
  <c r="F14" i="8"/>
  <c r="B28" i="8" s="1"/>
  <c r="F19" i="8"/>
  <c r="B33" i="8" s="1"/>
  <c r="F20" i="8"/>
  <c r="B34" i="8" s="1"/>
  <c r="D47" i="4"/>
  <c r="F7" i="5"/>
  <c r="C5" i="2" l="1"/>
  <c r="B7" i="7"/>
  <c r="B8" i="7" s="1"/>
  <c r="C6" i="2" s="1"/>
  <c r="C11" i="10"/>
  <c r="E20" i="2"/>
  <c r="C8" i="5"/>
  <c r="F8" i="5"/>
  <c r="D10" i="5"/>
  <c r="D9" i="5"/>
  <c r="F28" i="4"/>
  <c r="F29" i="4" s="1"/>
  <c r="C12" i="10" l="1"/>
  <c r="H12" i="10" s="1"/>
  <c r="E21" i="2"/>
  <c r="G27" i="2" s="1"/>
  <c r="B11" i="7"/>
  <c r="C7" i="2" s="1"/>
  <c r="D31" i="4"/>
  <c r="G31" i="4"/>
  <c r="E27" i="2" l="1"/>
  <c r="D48" i="7"/>
  <c r="F48" i="7" s="1"/>
  <c r="E3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E13" authorId="0" shapeId="0" xr:uid="{70F0E8AF-2313-4059-8CAC-E1B52949031C}">
      <text>
        <r>
          <rPr>
            <sz val="9"/>
            <color indexed="81"/>
            <rFont val="Tahoma"/>
            <family val="2"/>
          </rPr>
          <t>Mark with "X" as applicable</t>
        </r>
      </text>
    </comment>
    <comment ref="A22" authorId="0" shapeId="0" xr:uid="{A28B9102-7A8B-4D21-AB4C-F6C93CCE9092}">
      <text>
        <r>
          <rPr>
            <sz val="9"/>
            <color indexed="81"/>
            <rFont val="Tahoma"/>
            <family val="2"/>
          </rPr>
          <t>i.e. Other tests that would indicate soil permeability</t>
        </r>
      </text>
    </comment>
    <comment ref="C27" authorId="0" shapeId="0" xr:uid="{0A8D3538-DC03-4E57-A6CA-1A8653F295EE}">
      <text>
        <r>
          <rPr>
            <sz val="9"/>
            <color indexed="81"/>
            <rFont val="Tahoma"/>
            <family val="2"/>
          </rPr>
          <t>Example: "Row crop", "Trees", "Impervious", "Lawn", etc.</t>
        </r>
      </text>
    </comment>
    <comment ref="C29" authorId="0" shapeId="0" xr:uid="{493FE101-8884-45CC-A54B-6253D7FD9411}">
      <text>
        <r>
          <rPr>
            <sz val="9"/>
            <color indexed="81"/>
            <rFont val="Tahoma"/>
            <family val="2"/>
          </rPr>
          <t xml:space="preserve">Populates when sheet DE_1 is completed
May be manually entered at right
</t>
        </r>
      </text>
    </comment>
    <comment ref="E31" authorId="0" shapeId="0" xr:uid="{FDE20617-1CCA-4852-A3E1-4055A7E8E739}">
      <text>
        <r>
          <rPr>
            <sz val="9"/>
            <color indexed="81"/>
            <rFont val="Tahoma"/>
            <family val="2"/>
          </rPr>
          <t xml:space="preserve">Example, 1-2%
</t>
        </r>
      </text>
    </comment>
    <comment ref="D58" authorId="0" shapeId="0" xr:uid="{6E783EA1-DBC8-4818-B7D7-5F848963CBD4}">
      <text>
        <r>
          <rPr>
            <sz val="9"/>
            <color indexed="81"/>
            <rFont val="Tahoma"/>
            <family val="2"/>
          </rPr>
          <t>City or county where local stormwater regulations must be met</t>
        </r>
      </text>
    </comment>
    <comment ref="F59" authorId="0" shapeId="0" xr:uid="{63AD183D-FA81-4698-BE4F-6FD848C61AEE}">
      <text>
        <r>
          <rPr>
            <sz val="9"/>
            <color indexed="81"/>
            <rFont val="Tahoma"/>
            <family val="2"/>
          </rPr>
          <t>Example: "Release rates at natural conditions for similar storm event or 5-yr existing condition, whichever is less."</t>
        </r>
      </text>
    </comment>
    <comment ref="E62" authorId="0" shapeId="0" xr:uid="{1D6938BC-A48E-4222-B241-954C9EFC9F6E}">
      <text>
        <r>
          <rPr>
            <sz val="9"/>
            <color indexed="81"/>
            <rFont val="Tahoma"/>
            <family val="2"/>
          </rPr>
          <t>Is the perimeter buffer met, yes or no?</t>
        </r>
      </text>
    </comment>
    <comment ref="E63" authorId="0" shapeId="0" xr:uid="{D0998F15-8A63-4266-85EB-EA1C81A705AA}">
      <text>
        <r>
          <rPr>
            <sz val="9"/>
            <color indexed="81"/>
            <rFont val="Tahoma"/>
            <family val="2"/>
          </rPr>
          <t>Fill in the distances, or mark "NA"</t>
        </r>
      </text>
    </comment>
    <comment ref="E67" authorId="0" shapeId="0" xr:uid="{D658E970-E0DD-4369-B920-32FB8E02E7E5}">
      <text>
        <r>
          <rPr>
            <sz val="9"/>
            <color indexed="81"/>
            <rFont val="Tahoma"/>
            <family val="2"/>
          </rPr>
          <t>Is the utility setback met, yes or 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C11" authorId="0" shapeId="0" xr:uid="{504AF0BD-1C04-4EB8-A288-F2EB5AB05386}">
      <text>
        <r>
          <rPr>
            <sz val="9"/>
            <color indexed="81"/>
            <rFont val="Tahoma"/>
            <family val="2"/>
          </rPr>
          <t>These values pull automatically from the DE_1 and Step 4 spreadsheets.  It is recommended to complete these sheets.
In special circumstances, data can be entered manually at right.</t>
        </r>
      </text>
    </comment>
    <comment ref="D24" authorId="0" shapeId="0" xr:uid="{77E15F6A-711F-4F0B-B692-11ADC5370892}">
      <text>
        <r>
          <rPr>
            <sz val="9"/>
            <color indexed="81"/>
            <rFont val="Tahoma"/>
            <family val="2"/>
          </rPr>
          <t>These cells will pull data from Step 9 spreadsheet.  It is recommended to complete that sheet.
Data can be entered manually at right.</t>
        </r>
      </text>
    </comment>
    <comment ref="I24" authorId="0" shapeId="0" xr:uid="{B7429622-646D-4F27-AB71-6C99202AD751}">
      <text>
        <r>
          <rPr>
            <sz val="9"/>
            <color indexed="81"/>
            <rFont val="Tahoma"/>
            <family val="2"/>
          </rPr>
          <t>Will pull from Step 5-7 sheet or manually enter at right.</t>
        </r>
      </text>
    </comment>
    <comment ref="E29" authorId="0" shapeId="0" xr:uid="{C0985DFB-9C13-4E04-B7C1-9D8CBFF95C86}">
      <text>
        <r>
          <rPr>
            <sz val="9"/>
            <color indexed="81"/>
            <rFont val="Tahoma"/>
            <family val="2"/>
          </rPr>
          <t>Sheet DE_1 must be completed to have this calculate correctly.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I10" authorId="0" shapeId="0" xr:uid="{21392C0C-FD46-4C8E-B24E-527B3028C0A8}">
      <text>
        <r>
          <rPr>
            <sz val="9"/>
            <color indexed="81"/>
            <rFont val="Tahoma"/>
            <family val="2"/>
          </rPr>
          <t>Background CN data used for different land uses and soil types.  Not to be edited.</t>
        </r>
      </text>
    </comment>
    <comment ref="D13" authorId="0" shapeId="0" xr:uid="{AE1C50B1-0115-4C05-922B-BD1D2594A37C}">
      <text>
        <r>
          <rPr>
            <sz val="9"/>
            <color indexed="81"/>
            <rFont val="Tahoma"/>
            <family val="2"/>
          </rPr>
          <t>Calculates when data above is filled</t>
        </r>
      </text>
    </comment>
    <comment ref="I16" authorId="0" shapeId="0" xr:uid="{CBB65ABA-B58D-49B1-9234-4F7068B1C8B5}">
      <text>
        <r>
          <rPr>
            <sz val="9"/>
            <color indexed="81"/>
            <rFont val="Tahoma"/>
            <family val="2"/>
          </rPr>
          <t>If a local jurisdiction sets limits on what CN is to be used for natural conditions, it may be entered here.</t>
        </r>
      </text>
    </comment>
    <comment ref="C24" authorId="0" shapeId="0" xr:uid="{A18AE49D-C023-4276-A7E7-1BFC4F673E17}">
      <text>
        <r>
          <rPr>
            <sz val="9"/>
            <color indexed="81"/>
            <rFont val="Tahoma"/>
            <family val="2"/>
          </rPr>
          <t>Only use "other areas" to account for land uses that don't fall into "Impervious", "Open Space" or "Row Crop" areas (such as green roofs, permeable pavers).  WQv for these areas must be calculated separately and manually entered at right (or check the box below to treat these areas as impervious).</t>
        </r>
      </text>
    </comment>
    <comment ref="E26" authorId="0" shapeId="0" xr:uid="{EC600F96-649C-4244-A41B-BB189535E83C}">
      <text>
        <r>
          <rPr>
            <sz val="9"/>
            <color indexed="81"/>
            <rFont val="Tahoma"/>
            <family val="2"/>
          </rPr>
          <t>Answer "Y" if "Other Areas" are to be treated as impervious for WQv calculations.</t>
        </r>
      </text>
    </comment>
    <comment ref="I26" authorId="0" shapeId="0" xr:uid="{5ACCA930-8671-4229-A527-9DC1E859A9CB}">
      <text>
        <r>
          <rPr>
            <sz val="9"/>
            <color indexed="81"/>
            <rFont val="Tahoma"/>
            <family val="2"/>
          </rPr>
          <t>If "Other Areas" land use is used, calculate the WQv of that area separately and enter it here.</t>
        </r>
      </text>
    </comment>
    <comment ref="D28" authorId="0" shapeId="0" xr:uid="{0CE676D5-AD0C-49FC-AA67-1A2FE3436102}">
      <text>
        <r>
          <rPr>
            <sz val="9"/>
            <color indexed="81"/>
            <rFont val="Tahoma"/>
            <family val="2"/>
          </rPr>
          <t>Calculates when data above is filled</t>
        </r>
      </text>
    </comment>
    <comment ref="C40" authorId="0" shapeId="0" xr:uid="{B4E33414-2206-4D67-BA1E-6A51D50BECC4}">
      <text>
        <r>
          <rPr>
            <sz val="9"/>
            <color indexed="81"/>
            <rFont val="Tahoma"/>
            <family val="2"/>
          </rPr>
          <t>Only use "other areas" to account for land uses that don't fall into "Impervious", "Open Space" or "Row Crop" areas (such as green roofs, permeable pavers).  WQv for these areas must be calculated separately and manually entered at right  (or check the box below to treat these areas as impervious).</t>
        </r>
      </text>
    </comment>
    <comment ref="E42" authorId="0" shapeId="0" xr:uid="{89B5515C-C4E9-4D3A-8D4E-3794C751BE31}">
      <text>
        <r>
          <rPr>
            <sz val="9"/>
            <color indexed="81"/>
            <rFont val="Tahoma"/>
            <family val="2"/>
          </rPr>
          <t>Answer "Y" if "Other Areas" are to be treated as impervious for WQv calculations.</t>
        </r>
      </text>
    </comment>
    <comment ref="I42" authorId="0" shapeId="0" xr:uid="{9D9443EF-0055-440C-A0AF-6AD7160F2249}">
      <text>
        <r>
          <rPr>
            <sz val="9"/>
            <color indexed="81"/>
            <rFont val="Tahoma"/>
            <family val="2"/>
          </rPr>
          <t>If "Other Areas" land use is used, calculate the WQv of that area separately and enter it here.</t>
        </r>
      </text>
    </comment>
    <comment ref="D44" authorId="0" shapeId="0" xr:uid="{5B61A8AE-8CE8-4D0C-8AA8-7625167236D5}">
      <text>
        <r>
          <rPr>
            <sz val="9"/>
            <color indexed="81"/>
            <rFont val="Tahoma"/>
            <family val="2"/>
          </rPr>
          <t>Calculates when data above is filled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RDG</author>
    <author>Greg Pierce</author>
  </authors>
  <commentList>
    <comment ref="F7" authorId="0" shapeId="0" xr:uid="{B95EFC90-5CF7-48EE-9197-E162953CED6D}">
      <text>
        <r>
          <rPr>
            <sz val="9"/>
            <color indexed="81"/>
            <rFont val="Tahoma"/>
            <family val="2"/>
          </rPr>
          <t>These values automatically calculate if sheet DE_1 is completed.</t>
        </r>
      </text>
    </comment>
    <comment ref="G18" authorId="0" shapeId="0" xr:uid="{50514BA6-A172-463C-9922-16A3CA78307B}">
      <text>
        <r>
          <rPr>
            <sz val="9"/>
            <color indexed="81"/>
            <rFont val="Tahoma"/>
            <family val="2"/>
          </rPr>
          <t>Enter data from the WQv TR-55 model (remember to use adjusted CNs for this event)</t>
        </r>
      </text>
    </comment>
    <comment ref="B19" authorId="0" shapeId="0" xr:uid="{A289042E-7F2B-4050-A12B-E4DEA93B6C34}">
      <text>
        <r>
          <rPr>
            <sz val="9"/>
            <color indexed="81"/>
            <rFont val="Tahoma"/>
            <family val="2"/>
          </rPr>
          <t xml:space="preserve">Enter other data from TR-55 model for all other events (1-yr thru 100-yr).
</t>
        </r>
      </text>
    </comment>
    <comment ref="G19" authorId="0" shapeId="0" xr:uid="{6C631636-DC45-4D0F-9548-753EE71F7A87}">
      <text>
        <r>
          <rPr>
            <sz val="9"/>
            <color indexed="81"/>
            <rFont val="Tahoma"/>
            <family val="2"/>
          </rPr>
          <t>Values for developed rates and volumes are TR-55 model output for runoff that enters or falls within the detention basin.</t>
        </r>
      </text>
    </comment>
    <comment ref="B37" authorId="1" shapeId="0" xr:uid="{6144F567-4F22-44CA-BE78-C01CEA9B141D}">
      <text>
        <r>
          <rPr>
            <sz val="9"/>
            <color indexed="81"/>
            <rFont val="Tahoma"/>
            <family val="2"/>
          </rPr>
          <t>Allowable release rate (qo) has been set to use the lesser value of (1) pre-settlement rate for the same storm event or (2) the existing rate for the 5-year storm event.  Other values may be manually entered at right.</t>
        </r>
      </text>
    </comment>
    <comment ref="H37" authorId="0" shapeId="0" xr:uid="{77819505-698A-40D7-990E-C79554310608}">
      <text>
        <r>
          <rPr>
            <sz val="9"/>
            <color indexed="81"/>
            <rFont val="Tahoma"/>
            <family val="2"/>
          </rPr>
          <t>This sheet can be used to estimate required storage volumes prior to developing a detailed grading plan for a certain site.  This allows an estimate of required land area to be determined, prior to extensive design.</t>
        </r>
      </text>
    </comment>
    <comment ref="J37" authorId="1" shapeId="0" xr:uid="{81664934-B0FC-4A91-ABD1-A65EEAE33CB1}">
      <text>
        <r>
          <rPr>
            <sz val="9"/>
            <color indexed="81"/>
            <rFont val="Tahoma"/>
            <family val="2"/>
          </rPr>
          <t>As needed, enter allowable release rate data manually here.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B7" authorId="0" shapeId="0" xr:uid="{27CABC90-CB2C-44F1-81FA-D418E9588CE7}">
      <text>
        <r>
          <rPr>
            <sz val="9"/>
            <color indexed="81"/>
            <rFont val="Tahoma"/>
            <family val="2"/>
          </rPr>
          <t>Cells will calculate based on data entered on sheet DE_1.</t>
        </r>
      </text>
    </comment>
    <comment ref="H7" authorId="0" shapeId="0" xr:uid="{FC853E4C-3F78-4FDE-A0B3-461253C59320}">
      <text>
        <r>
          <rPr>
            <sz val="9"/>
            <color indexed="81"/>
            <rFont val="Tahoma"/>
            <family val="2"/>
          </rPr>
          <t>Data may be entered manually here.</t>
        </r>
      </text>
    </comment>
    <comment ref="D9" authorId="0" shapeId="0" xr:uid="{48E7B61E-6CED-4856-AA9C-28D28BC93C19}">
      <text>
        <r>
          <rPr>
            <sz val="9"/>
            <color indexed="81"/>
            <rFont val="Tahoma"/>
            <family val="2"/>
          </rPr>
          <t>Example: "Vegetative buffer strip, etc."</t>
        </r>
      </text>
    </comment>
    <comment ref="B18" authorId="0" shapeId="0" xr:uid="{5315F026-00E4-4424-A707-3CC3830FCCA7}">
      <text>
        <r>
          <rPr>
            <sz val="9"/>
            <color indexed="81"/>
            <rFont val="Tahoma"/>
            <family val="2"/>
          </rPr>
          <t>Enter stage-area information for each forebay here…</t>
        </r>
      </text>
    </comment>
    <comment ref="B29" authorId="0" shapeId="0" xr:uid="{ED2CC6A0-3E0B-4515-A1F4-EE258169E362}">
      <text>
        <r>
          <rPr>
            <sz val="9"/>
            <color indexed="81"/>
            <rFont val="Tahoma"/>
            <family val="2"/>
          </rPr>
          <t>Enter stage-area information for each forebay here…</t>
        </r>
      </text>
    </comment>
    <comment ref="B40" authorId="0" shapeId="0" xr:uid="{1527ED4C-5FCF-41AA-BC74-DDFBF4218D37}">
      <text>
        <r>
          <rPr>
            <sz val="9"/>
            <color indexed="81"/>
            <rFont val="Tahoma"/>
            <family val="2"/>
          </rPr>
          <t>Enter stage-area information for each forebay here…</t>
        </r>
      </text>
    </comment>
    <comment ref="D47" authorId="0" shapeId="0" xr:uid="{BB875381-10F5-4935-9BAA-85B0908A6805}">
      <text>
        <r>
          <rPr>
            <sz val="9"/>
            <color indexed="81"/>
            <rFont val="Tahoma"/>
            <family val="2"/>
          </rPr>
          <t>Enter stage-storage data above to calculate this value</t>
        </r>
      </text>
    </comment>
    <comment ref="H47" authorId="0" shapeId="0" xr:uid="{2DDE57BF-8B29-4123-8220-56FF2E169A2B}">
      <text>
        <r>
          <rPr>
            <sz val="9"/>
            <color indexed="81"/>
            <rFont val="Tahoma"/>
            <family val="2"/>
          </rPr>
          <t>Data may be entered manually here.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A5" authorId="0" shapeId="0" xr:uid="{45B903CB-C3C9-4A2B-AD33-D3CF1E3319BB}">
      <text>
        <r>
          <rPr>
            <sz val="9"/>
            <color indexed="81"/>
            <rFont val="Tahoma"/>
            <family val="2"/>
          </rPr>
          <t>"MANUAL" will appear here if data is manually entered to override data taken from Step 3 and Step 4 spreadsheets.</t>
        </r>
      </text>
    </comment>
    <comment ref="G5" authorId="0" shapeId="0" xr:uid="{A08B07B3-6174-4FEA-9F99-C3740F0120E8}">
      <text>
        <r>
          <rPr>
            <sz val="9"/>
            <color indexed="81"/>
            <rFont val="Tahoma"/>
            <family val="2"/>
          </rPr>
          <t xml:space="preserve">Enter the lowest surface elevation within basin here.
</t>
        </r>
      </text>
    </comment>
    <comment ref="L5" authorId="0" shapeId="0" xr:uid="{B1D8E176-2708-4AB1-8787-BE8FA146C16B}">
      <text>
        <r>
          <rPr>
            <sz val="9"/>
            <color indexed="81"/>
            <rFont val="Tahoma"/>
            <family val="2"/>
          </rPr>
          <t>Data may be entered here manually, if data from Step 3 and Step 4 spreadsheet calculations is not to be used.</t>
        </r>
      </text>
    </comment>
    <comment ref="C14" authorId="0" shapeId="0" xr:uid="{53C8C5BD-C8D1-4661-AAE4-F11E818EB28E}">
      <text>
        <r>
          <rPr>
            <sz val="9"/>
            <color indexed="81"/>
            <rFont val="Tahoma"/>
            <family val="2"/>
          </rPr>
          <t>Enter contour area information derived from grading plan here.  Cells may be left blank as needed.</t>
        </r>
      </text>
    </comment>
    <comment ref="A15" authorId="0" shapeId="0" xr:uid="{CD2A230A-7B97-40E0-B9B9-7A61F8660F44}">
      <text>
        <r>
          <rPr>
            <sz val="9"/>
            <color indexed="81"/>
            <rFont val="Tahoma"/>
            <family val="2"/>
          </rPr>
          <t>Data may be entered at any interval the user wishes to use, although generally 0.5 or 1.0 foot increments are recommended.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RDG</author>
    <author>Greg Pierce</author>
  </authors>
  <commentList>
    <comment ref="E13" authorId="0" shapeId="0" xr:uid="{289A3F52-7D89-488F-AD68-1C6F27387096}">
      <text>
        <r>
          <rPr>
            <sz val="9"/>
            <color indexed="81"/>
            <rFont val="Tahoma"/>
            <family val="2"/>
          </rPr>
          <t>This data can usually be obtained from routing output
Peak outflow rate (cfs), High water elevation (feet) and Maximum Storage Volume above Permanent Pool (feet)</t>
        </r>
      </text>
    </comment>
    <comment ref="E14" authorId="1" shapeId="0" xr:uid="{F9D9A300-6BFF-4338-816B-C619C50BFC12}">
      <text>
        <r>
          <rPr>
            <sz val="9"/>
            <color indexed="81"/>
            <rFont val="Tahoma"/>
            <family val="2"/>
          </rPr>
          <t>This data can usually be obtained from routing output
Peak outflow rate (cfs), High water elevation (feet) and Maximum Storage Volume (feet)</t>
        </r>
      </text>
    </comment>
    <comment ref="C27" authorId="0" shapeId="0" xr:uid="{69C229DE-B850-41FA-83C4-8EA75F59AB4D}">
      <text>
        <r>
          <rPr>
            <sz val="9"/>
            <color indexed="81"/>
            <rFont val="Tahoma"/>
            <family val="2"/>
          </rPr>
          <t>This is the difference (in minutes) between the peak of the inflow hydrograph to the wetland and the peak of the outflow hydrograph.  This can usually be determined from routing output.</t>
        </r>
      </text>
    </comment>
    <comment ref="C28" authorId="1" shapeId="0" xr:uid="{47C16A90-18DD-4698-A923-3B053148EE47}">
      <text>
        <r>
          <rPr>
            <sz val="9"/>
            <color indexed="81"/>
            <rFont val="Tahoma"/>
            <family val="2"/>
          </rPr>
          <t>This is the difference (in minutes) between the peak of the inflow hydrograph to the wetland and the peak of the outflow hydrograph.  This can usually be determined from routing output.</t>
        </r>
      </text>
    </comment>
  </commentList>
</comments>
</file>

<file path=xl/sharedStrings.xml><?xml version="1.0" encoding="utf-8"?>
<sst xmlns="http://schemas.openxmlformats.org/spreadsheetml/2006/main" count="491" uniqueCount="294">
  <si>
    <t>Storage Calculation Sheets</t>
  </si>
  <si>
    <t>Elevation</t>
  </si>
  <si>
    <t>Contour Area</t>
  </si>
  <si>
    <t>Inc. Volume</t>
  </si>
  <si>
    <t>Cumulative Volume</t>
  </si>
  <si>
    <t>WQv Required</t>
  </si>
  <si>
    <t>Pretreat Req.</t>
  </si>
  <si>
    <t>Pretreat by Other Practices</t>
  </si>
  <si>
    <t>Forebay Required Volume</t>
  </si>
  <si>
    <t>Forebay Capacity</t>
  </si>
  <si>
    <t>of Req.</t>
  </si>
  <si>
    <t>Temporary Storage</t>
  </si>
  <si>
    <t>Soils Information</t>
  </si>
  <si>
    <t>Source:</t>
  </si>
  <si>
    <t>County Soils Map</t>
  </si>
  <si>
    <t>Site Specific Geotechnical Report</t>
  </si>
  <si>
    <t>HSG</t>
  </si>
  <si>
    <t>A</t>
  </si>
  <si>
    <t>B</t>
  </si>
  <si>
    <t>C</t>
  </si>
  <si>
    <t>D</t>
  </si>
  <si>
    <t>Other available soils information (permeability, soil properties, etc.):</t>
  </si>
  <si>
    <t>Existing vegetation:</t>
  </si>
  <si>
    <t>prairie remnants</t>
  </si>
  <si>
    <t>native vegetation</t>
  </si>
  <si>
    <t>savanna</t>
  </si>
  <si>
    <t>other</t>
  </si>
  <si>
    <t>Tributary area:</t>
  </si>
  <si>
    <t>acres</t>
  </si>
  <si>
    <t>%</t>
  </si>
  <si>
    <t>Depth to groundwater table:</t>
  </si>
  <si>
    <t>feet (below pre-construction surface)</t>
  </si>
  <si>
    <t>Approximate slope across site (pre-construction):</t>
  </si>
  <si>
    <t>Hotspot uses expected in watershed:</t>
  </si>
  <si>
    <t>(Y or N)</t>
  </si>
  <si>
    <t>Site Evaluation Criteria</t>
  </si>
  <si>
    <t>Pretreatment</t>
  </si>
  <si>
    <t>forebay</t>
  </si>
  <si>
    <t>vegetative buffer</t>
  </si>
  <si>
    <t>grass swale</t>
  </si>
  <si>
    <t>Multi-stage outlet</t>
  </si>
  <si>
    <t>Dam</t>
  </si>
  <si>
    <t>Stable outfall</t>
  </si>
  <si>
    <t>Setbacks</t>
  </si>
  <si>
    <t>Perimeter</t>
  </si>
  <si>
    <t>Property line</t>
  </si>
  <si>
    <t>(25' min - Y or N?)</t>
  </si>
  <si>
    <t xml:space="preserve">Private well </t>
  </si>
  <si>
    <t>Building structure</t>
  </si>
  <si>
    <t>(25' min)</t>
  </si>
  <si>
    <t>(10' min)</t>
  </si>
  <si>
    <t>(100' min / 250' for hotspot)</t>
  </si>
  <si>
    <t>Septic / leach field</t>
  </si>
  <si>
    <t>(50' feet)</t>
  </si>
  <si>
    <t>Utilities</t>
  </si>
  <si>
    <t xml:space="preserve"> </t>
  </si>
  <si>
    <t>(Outside perimeter or access provision - Y or N?)</t>
  </si>
  <si>
    <t>Existing wetlands within site area:</t>
  </si>
  <si>
    <t>Watershed Properties</t>
  </si>
  <si>
    <t>Impervious*</t>
  </si>
  <si>
    <t>(area in acres)</t>
  </si>
  <si>
    <t>Open Space (w/8" SQR)</t>
  </si>
  <si>
    <t>Open Space (w/4" SQR)</t>
  </si>
  <si>
    <t>Open Space (&lt;4" SQR)</t>
  </si>
  <si>
    <t>Other Areas</t>
  </si>
  <si>
    <t>Total Watershed Area:</t>
  </si>
  <si>
    <t>Effective Impervious Area:</t>
  </si>
  <si>
    <t>Rv:</t>
  </si>
  <si>
    <t>WQv:</t>
  </si>
  <si>
    <t>WQv precip:</t>
  </si>
  <si>
    <t>inches</t>
  </si>
  <si>
    <t>CN for most events:</t>
  </si>
  <si>
    <t>Adjusted CN (for WQv modeling):</t>
  </si>
  <si>
    <t>Storm Event</t>
  </si>
  <si>
    <t>WQv</t>
  </si>
  <si>
    <t>Rainfall</t>
  </si>
  <si>
    <t>Existing</t>
  </si>
  <si>
    <t>Developed</t>
  </si>
  <si>
    <t>Peak rate</t>
  </si>
  <si>
    <t>Volume</t>
  </si>
  <si>
    <t>cfs</t>
  </si>
  <si>
    <t>CF</t>
  </si>
  <si>
    <t>Existing Watershed Area</t>
  </si>
  <si>
    <t>Proposed Watershed Area</t>
  </si>
  <si>
    <t>Water Quality Volume</t>
  </si>
  <si>
    <t>feet</t>
  </si>
  <si>
    <t>Describe "other":</t>
  </si>
  <si>
    <t>Meadow in Good Condition</t>
  </si>
  <si>
    <t>CN of Other Areas**</t>
  </si>
  <si>
    <t>Row Crops (C+CR, good condition)</t>
  </si>
  <si>
    <t>Other Areas Counted as Impervious for WQv calculation?</t>
  </si>
  <si>
    <t>(Y/N)</t>
  </si>
  <si>
    <t>N</t>
  </si>
  <si>
    <t>** Provide calculations of weighted CNs for "Other Areas" if more than one land use type</t>
  </si>
  <si>
    <t>Qa:</t>
  </si>
  <si>
    <t>watershed-inches</t>
  </si>
  <si>
    <t>Applicant:</t>
  </si>
  <si>
    <t>Submitted by:</t>
  </si>
  <si>
    <t>Date:</t>
  </si>
  <si>
    <t>Location:</t>
  </si>
  <si>
    <t>csm/in</t>
  </si>
  <si>
    <t>qo/qi:</t>
  </si>
  <si>
    <t>qo:</t>
  </si>
  <si>
    <t>qo</t>
  </si>
  <si>
    <t>qi</t>
  </si>
  <si>
    <t>qo/qi</t>
  </si>
  <si>
    <t>Vs/Vr</t>
  </si>
  <si>
    <t>Vr</t>
  </si>
  <si>
    <t>Vs</t>
  </si>
  <si>
    <t>Vs *1.15</t>
  </si>
  <si>
    <t>Forebay #1 Storage</t>
  </si>
  <si>
    <t>Forebay #2 Storage</t>
  </si>
  <si>
    <t>Forebay #3 Storage</t>
  </si>
  <si>
    <t>Total Forebay Storage</t>
  </si>
  <si>
    <t>SF</t>
  </si>
  <si>
    <t>Pretreatment Calculations</t>
  </si>
  <si>
    <t>WQv Remaining</t>
  </si>
  <si>
    <t>Temporary Storage (Above Permanent Pool)</t>
  </si>
  <si>
    <t>Total Temporary Storage</t>
  </si>
  <si>
    <t>Allowed</t>
  </si>
  <si>
    <t>Out</t>
  </si>
  <si>
    <t>High Water Elevation</t>
  </si>
  <si>
    <t>(cfs)</t>
  </si>
  <si>
    <t>(feet)</t>
  </si>
  <si>
    <t>(CF)</t>
  </si>
  <si>
    <t>(watershed-inches)</t>
  </si>
  <si>
    <t>1-year (CPv)</t>
  </si>
  <si>
    <t>2-year</t>
  </si>
  <si>
    <t>5-year</t>
  </si>
  <si>
    <t>10-year</t>
  </si>
  <si>
    <t>25-year</t>
  </si>
  <si>
    <t>50-year</t>
  </si>
  <si>
    <t>100-year</t>
  </si>
  <si>
    <t> </t>
  </si>
  <si>
    <t>Max. Rainfall Volume Stored</t>
  </si>
  <si>
    <t>Initial Storage Estimate*</t>
  </si>
  <si>
    <t>Reduction</t>
  </si>
  <si>
    <t>In vs. Out</t>
  </si>
  <si>
    <t>Event</t>
  </si>
  <si>
    <t>(min)</t>
  </si>
  <si>
    <t>(%)</t>
  </si>
  <si>
    <t>CPv (1-year)</t>
  </si>
  <si>
    <t>Peak Delay In vs. Out</t>
  </si>
  <si>
    <t>Peak Flow Reduction In vs. Out</t>
  </si>
  <si>
    <t>Final / Estimate</t>
  </si>
  <si>
    <t>*Original "Vs" Storage Estimate Without Safety Factor</t>
  </si>
  <si>
    <t>Initial Storage Estimation</t>
  </si>
  <si>
    <t>Project:</t>
  </si>
  <si>
    <t>Step 3.   Compute runoff control volumes from the stormwater Unified Sizing Criteria</t>
  </si>
  <si>
    <t>Step 4.   Determine pre-treatment measures</t>
  </si>
  <si>
    <t>Steps 5-7.  Preliminary stage-storage, refine, develop grading plan.</t>
  </si>
  <si>
    <t>Step 9.  Revise stage-storage relationships.  Perform a stage-storage-discharge routing.</t>
  </si>
  <si>
    <t>&lt; Date</t>
  </si>
  <si>
    <t>Describe other pre-treatment measures (below)</t>
  </si>
  <si>
    <t>If yes: jurisdictional determination made?</t>
  </si>
  <si>
    <t>Copy of Geotech Report Provided? (Y or N)</t>
  </si>
  <si>
    <t>(mark with X below)</t>
  </si>
  <si>
    <t>(Page 1 -- Site Screening / Initial Planning)</t>
  </si>
  <si>
    <t>(Page 2 -- Design Summary)</t>
  </si>
  <si>
    <t>Unified Sizing Criteria</t>
  </si>
  <si>
    <t>Required:</t>
  </si>
  <si>
    <t>Provided:</t>
  </si>
  <si>
    <t>2-yr</t>
  </si>
  <si>
    <t>5-yr</t>
  </si>
  <si>
    <t>10-yr</t>
  </si>
  <si>
    <t>25-yr</t>
  </si>
  <si>
    <t>50-yr</t>
  </si>
  <si>
    <t>100-yr</t>
  </si>
  <si>
    <t>Allowed Release</t>
  </si>
  <si>
    <t>Predicted Outflow</t>
  </si>
  <si>
    <t>Criteria Met?</t>
  </si>
  <si>
    <t>Normal pool elevation</t>
  </si>
  <si>
    <t>Pretreatment Volume</t>
  </si>
  <si>
    <t>* Includes pre-treatment required volume (if requirements met)</t>
  </si>
  <si>
    <t>Ratio</t>
  </si>
  <si>
    <t>H:V slope</t>
  </si>
  <si>
    <t>acre-feet</t>
  </si>
  <si>
    <t>of watershed area</t>
  </si>
  <si>
    <t>Is site located within a regulated floodplain?</t>
  </si>
  <si>
    <t>Habitat for endangered / threatened species found?</t>
  </si>
  <si>
    <t>Other Information</t>
  </si>
  <si>
    <t>Is a Joint Permit Application to IDNR / USCOE required?</t>
  </si>
  <si>
    <t>Has it been obtained?</t>
  </si>
  <si>
    <t>Inlet / outlet details</t>
  </si>
  <si>
    <t>Required for review</t>
  </si>
  <si>
    <t>Landscaping plan (temporary and permanent stabilization)</t>
  </si>
  <si>
    <t>Establishment and maintenance plan</t>
  </si>
  <si>
    <t>Completed IDNR Form 542-1014</t>
  </si>
  <si>
    <t>Provided?                   (Y or N)</t>
  </si>
  <si>
    <t>Dam review required?</t>
  </si>
  <si>
    <t>Design calculations following ISWMM procedure</t>
  </si>
  <si>
    <t>Plans and specifications</t>
  </si>
  <si>
    <t>Watershed Data Entry Sheet</t>
  </si>
  <si>
    <t>Enter values in blue</t>
  </si>
  <si>
    <t>Hydrology Data Entry Sheet</t>
  </si>
  <si>
    <t>Pretreatment Data Entry Sheet</t>
  </si>
  <si>
    <t>Stage-Storage Data Entry Sheet</t>
  </si>
  <si>
    <t>Routing Results Data Entry Sheet</t>
  </si>
  <si>
    <t>Outfall protection calcs</t>
  </si>
  <si>
    <t>Describe local stormwater management requirements</t>
  </si>
  <si>
    <t>Above W.S.</t>
  </si>
  <si>
    <t>NA</t>
  </si>
  <si>
    <t>acre-feet***</t>
  </si>
  <si>
    <t>Manual Entry</t>
  </si>
  <si>
    <t>(mark all that apply with X)</t>
  </si>
  <si>
    <t>Local review jurisdiction</t>
  </si>
  <si>
    <t>Tributary Area (acres)</t>
  </si>
  <si>
    <t>WQv Required (CF)</t>
  </si>
  <si>
    <t>Pretreatment Required (CF)</t>
  </si>
  <si>
    <t>CPv elevation</t>
  </si>
  <si>
    <t>10-year elevation</t>
  </si>
  <si>
    <t>100-year elevation</t>
  </si>
  <si>
    <t>WQv Required for Other Areas (CF)</t>
  </si>
  <si>
    <t>Allowable Release</t>
  </si>
  <si>
    <t>WQv required</t>
  </si>
  <si>
    <t>Pretreatment required</t>
  </si>
  <si>
    <t>Final Storage Routing Result</t>
  </si>
  <si>
    <t>Open Space (w/&gt;=4" SQR, &lt;8")</t>
  </si>
  <si>
    <t>Open Space (w/&gt;=8" SQR)</t>
  </si>
  <si>
    <t>Forebay Pool Elevation=</t>
  </si>
  <si>
    <t>Depth Below Pool</t>
  </si>
  <si>
    <t>Forebay Storage</t>
  </si>
  <si>
    <t>***Excludes forebays</t>
  </si>
  <si>
    <t>Natural Condition Watershed Area</t>
  </si>
  <si>
    <t>Adjusted CN (for WQv event modeling):</t>
  </si>
  <si>
    <t>* Do not include any impervious areas that are included as "Other Areas" (e.g. green roofs, etc.)</t>
  </si>
  <si>
    <t>Extended Detention Metrics:</t>
  </si>
  <si>
    <t>qu:</t>
  </si>
  <si>
    <t>CPv</t>
  </si>
  <si>
    <t>Open space / Row Crop CNs</t>
  </si>
  <si>
    <t>Natural</t>
  </si>
  <si>
    <t>EXAMPLE OF FIGURE FROM SMALL STORM HYDROLOGY SECTION TO BE USED TO DETERMINE (qo/qi)</t>
  </si>
  <si>
    <t>(From ISWMM Small Storm Hydrology Figure)</t>
  </si>
  <si>
    <t>Incremental Volume</t>
  </si>
  <si>
    <t>CL_1 - Screening / Planning</t>
  </si>
  <si>
    <t>Page 1</t>
  </si>
  <si>
    <t>CL_2 - Design Summary</t>
  </si>
  <si>
    <t>Page 2</t>
  </si>
  <si>
    <t>DE_1 - Watershed Information</t>
  </si>
  <si>
    <t>Page 3</t>
  </si>
  <si>
    <t>Step 3 - Hydrology</t>
  </si>
  <si>
    <t>Page 4</t>
  </si>
  <si>
    <t>Step 4 - Pretreatment</t>
  </si>
  <si>
    <t>Page 5</t>
  </si>
  <si>
    <t>Step 5 to 7 - Final Storage Volumes</t>
  </si>
  <si>
    <t>Page 6</t>
  </si>
  <si>
    <t>Step 9 - Results</t>
  </si>
  <si>
    <t>Page 7</t>
  </si>
  <si>
    <t>CN for modeling natural conditions:</t>
  </si>
  <si>
    <t>Natural Condition CN</t>
  </si>
  <si>
    <t>Red arrows show an example of how to use this chart: For qu = 780 csm/in, qo/qi = 0.025.</t>
  </si>
  <si>
    <t>HSG of Soils at Detention Pond Site:</t>
  </si>
  <si>
    <t>Initial Planning - Wet Detention Pond Elements</t>
  </si>
  <si>
    <t>Dam Crest Elevation</t>
  </si>
  <si>
    <t>Auxiliary Spillway Crest Elevation</t>
  </si>
  <si>
    <t>Height of dam (measured on downstream face)</t>
  </si>
  <si>
    <t>Maintenance path</t>
  </si>
  <si>
    <t>Maximum surface slope (overall)</t>
  </si>
  <si>
    <t>Maximum width of pond</t>
  </si>
  <si>
    <t>Model Output (Flow to Pond Location)</t>
  </si>
  <si>
    <t>Wet Detention Pond Performance Table</t>
  </si>
  <si>
    <t>Wet Detention Pond Metrics Table</t>
  </si>
  <si>
    <t>Design Review Checklist for Dry or Dry ED Detention Ponds</t>
  </si>
  <si>
    <t>Iowa Dry or Dry ED Detention Basin Review Checklist</t>
  </si>
  <si>
    <t>Is Extended Detention (ED) being used to meet CPv requirements?</t>
  </si>
  <si>
    <t>WQv treated by other BMPs</t>
  </si>
  <si>
    <t>Dry / Dry ED Detention Basin Metrics</t>
  </si>
  <si>
    <t>Dry / Dry ED Detention Basin Topography</t>
  </si>
  <si>
    <t>Lowest Surface Elevation within Basin</t>
  </si>
  <si>
    <t>Auxiliary spillway</t>
  </si>
  <si>
    <t>Lowest basin elevation</t>
  </si>
  <si>
    <t>Pilot channel</t>
  </si>
  <si>
    <t>Minimum slope within basin footprint</t>
  </si>
  <si>
    <t>Maximum slope below 1-year (CPv) high water elevation</t>
  </si>
  <si>
    <t>Permanent vegetation</t>
  </si>
  <si>
    <t>&lt; native</t>
  </si>
  <si>
    <t>&lt; turf</t>
  </si>
  <si>
    <t>&lt; mixture</t>
  </si>
  <si>
    <t>Predicted high water elev above bottom of basin (ft)</t>
  </si>
  <si>
    <t>Max. Temp. Storage</t>
  </si>
  <si>
    <t>Approximate Pond to Watershed Ratio***</t>
  </si>
  <si>
    <t>***based on highest area listed in Temporary Storage stage-storage data tables</t>
  </si>
  <si>
    <t>**</t>
  </si>
  <si>
    <t>**note there are exceptions to these requirements for alternatives listed in Section 9.10-1.G.</t>
  </si>
  <si>
    <t>Iowa Department of Agriculture and Land Stewardship (IDALS) - Issue date: August 3, 2020</t>
  </si>
  <si>
    <t>IDALS: Issue Date: 08/03/2020</t>
  </si>
  <si>
    <t>Maximum flow length through pond</t>
  </si>
  <si>
    <t>Provide project information above and in blank fields below</t>
  </si>
  <si>
    <r>
      <rPr>
        <b/>
        <sz val="9"/>
        <color rgb="FFFF0000"/>
        <rFont val="Calibri"/>
        <family val="2"/>
      </rPr>
      <t>Red Text = Area in acres</t>
    </r>
    <r>
      <rPr>
        <b/>
        <sz val="9"/>
        <color theme="1"/>
        <rFont val="Calibri"/>
        <family val="2"/>
      </rPr>
      <t xml:space="preserve">, </t>
    </r>
    <r>
      <rPr>
        <b/>
        <sz val="9"/>
        <color theme="9" tint="-0.249977111117893"/>
        <rFont val="Calibri"/>
        <family val="2"/>
      </rPr>
      <t>Green Text = CN</t>
    </r>
    <r>
      <rPr>
        <b/>
        <sz val="9"/>
        <color theme="1"/>
        <rFont val="Calibri"/>
        <family val="2"/>
      </rPr>
      <t xml:space="preserve">, </t>
    </r>
    <r>
      <rPr>
        <b/>
        <sz val="9"/>
        <color rgb="FF0070C0"/>
        <rFont val="Calibri"/>
        <family val="2"/>
      </rPr>
      <t>Blue Text = Y or N</t>
    </r>
  </si>
  <si>
    <t>Enter Data in Fields</t>
  </si>
  <si>
    <t>Provide information in blank fields below (other information populates from data entry sheets)</t>
  </si>
  <si>
    <t>Enter values in cells from model data input / output</t>
  </si>
  <si>
    <t>Enter values related to stage-storage information</t>
  </si>
  <si>
    <t>Enter values from TR-55 routing output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</si>
</sst>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
    <numFmt numFmtId="167" formatCode="#,##0.0"/>
    <numFmt numFmtId="168" formatCode="_(* #,##0_);_(* \(#,##0\);_(* &quot;-&quot;??_);_(@_)"/>
  </numFmts>
  <fonts count="34" x14ac:knownFonts="1">
    <font>
      <sz val="11"/>
      <color theme="1"/>
      <name val="Arial Narrow"/>
      <family val="2"/>
      <scheme val="minor"/>
    </font>
    <font>
      <sz val="11"/>
      <color theme="1"/>
      <name val="Arial Narrow"/>
      <family val="2"/>
      <scheme val="minor"/>
    </font>
    <font>
      <sz val="9"/>
      <color indexed="81"/>
      <name val="Tahoma"/>
      <family val="2"/>
    </font>
    <font>
      <b/>
      <u/>
      <sz val="10"/>
      <color theme="1"/>
      <name val="Calibri"/>
      <family val="2"/>
    </font>
    <font>
      <b/>
      <sz val="10"/>
      <color theme="1"/>
      <name val="Calibri"/>
      <family val="2"/>
    </font>
    <font>
      <sz val="9"/>
      <color theme="1"/>
      <name val="Calibri"/>
      <family val="2"/>
    </font>
    <font>
      <b/>
      <sz val="9"/>
      <color theme="1"/>
      <name val="Calibri"/>
      <family val="2"/>
    </font>
    <font>
      <sz val="11"/>
      <color theme="1"/>
      <name val="Calibri"/>
      <family val="2"/>
    </font>
    <font>
      <b/>
      <u/>
      <sz val="9"/>
      <color rgb="FFFF0000"/>
      <name val="Calibri"/>
      <family val="2"/>
    </font>
    <font>
      <sz val="9"/>
      <color theme="8" tint="-0.249977111117893"/>
      <name val="Calibri"/>
      <family val="2"/>
    </font>
    <font>
      <b/>
      <u/>
      <sz val="9"/>
      <color rgb="FFC00000"/>
      <name val="Calibri"/>
      <family val="2"/>
    </font>
    <font>
      <sz val="10"/>
      <color theme="1"/>
      <name val="Calibri"/>
      <family val="2"/>
    </font>
    <font>
      <i/>
      <sz val="8"/>
      <color theme="1"/>
      <name val="Calibri"/>
      <family val="2"/>
    </font>
    <font>
      <sz val="8"/>
      <color theme="1"/>
      <name val="Calibri"/>
      <family val="2"/>
    </font>
    <font>
      <b/>
      <sz val="10"/>
      <color rgb="FFFF0000"/>
      <name val="Calibri"/>
      <family val="2"/>
    </font>
    <font>
      <b/>
      <sz val="9"/>
      <color rgb="FFFF0000"/>
      <name val="Calibri"/>
      <family val="2"/>
    </font>
    <font>
      <i/>
      <sz val="7"/>
      <color theme="1"/>
      <name val="Calibri"/>
      <family val="2"/>
    </font>
    <font>
      <sz val="8"/>
      <color rgb="FFC00000"/>
      <name val="Calibri"/>
      <family val="2"/>
    </font>
    <font>
      <b/>
      <u/>
      <sz val="9"/>
      <color theme="1"/>
      <name val="Calibri"/>
      <family val="2"/>
    </font>
    <font>
      <b/>
      <sz val="9"/>
      <color theme="9" tint="-0.249977111117893"/>
      <name val="Calibri"/>
      <family val="2"/>
    </font>
    <font>
      <b/>
      <sz val="9"/>
      <color rgb="FF0070C0"/>
      <name val="Calibri"/>
      <family val="2"/>
    </font>
    <font>
      <sz val="9"/>
      <color rgb="FFFF0000"/>
      <name val="Calibri"/>
      <family val="2"/>
    </font>
    <font>
      <sz val="9"/>
      <color theme="9" tint="-0.249977111117893"/>
      <name val="Calibri"/>
      <family val="2"/>
    </font>
    <font>
      <sz val="9"/>
      <color rgb="FF0070C0"/>
      <name val="Calibri"/>
      <family val="2"/>
    </font>
    <font>
      <b/>
      <i/>
      <sz val="10"/>
      <color theme="1"/>
      <name val="Calibri"/>
      <family val="2"/>
    </font>
    <font>
      <sz val="10"/>
      <color theme="0"/>
      <name val="Calibri"/>
      <family val="2"/>
    </font>
    <font>
      <b/>
      <u/>
      <sz val="10"/>
      <color theme="0"/>
      <name val="Calibri"/>
      <family val="2"/>
    </font>
    <font>
      <sz val="10"/>
      <name val="Calibri"/>
      <family val="2"/>
    </font>
    <font>
      <sz val="10"/>
      <color rgb="FFC00000"/>
      <name val="Calibri"/>
      <family val="2"/>
    </font>
    <font>
      <b/>
      <sz val="11"/>
      <color theme="1"/>
      <name val="Calibri"/>
      <family val="2"/>
    </font>
    <font>
      <sz val="11"/>
      <color theme="4"/>
      <name val="Calibri"/>
      <family val="2"/>
    </font>
    <font>
      <b/>
      <i/>
      <sz val="9"/>
      <color theme="1"/>
      <name val="Calibri"/>
      <family val="2"/>
    </font>
    <font>
      <sz val="9"/>
      <color theme="0" tint="-0.34998626667073579"/>
      <name val="Calibri"/>
      <family val="2"/>
    </font>
    <font>
      <i/>
      <sz val="9"/>
      <color theme="1"/>
      <name val="Calibri"/>
      <family val="2"/>
    </font>
  </fonts>
  <fills count="23">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darkDown">
        <fgColor theme="0" tint="-0.34998626667073579"/>
        <bgColor theme="9" tint="0.79998168889431442"/>
      </patternFill>
    </fill>
    <fill>
      <patternFill patternType="darkDown">
        <fgColor theme="0" tint="-0.34998626667073579"/>
        <bgColor theme="7" tint="0.79998168889431442"/>
      </patternFill>
    </fill>
    <fill>
      <patternFill patternType="solid">
        <fgColor theme="2"/>
        <bgColor indexed="64"/>
      </patternFill>
    </fill>
    <fill>
      <patternFill patternType="darkUp">
        <fgColor theme="5" tint="0.79998168889431442"/>
        <bgColor auto="1"/>
      </patternFill>
    </fill>
    <fill>
      <patternFill patternType="darkUp">
        <fgColor theme="8" tint="0.79998168889431442"/>
        <bgColor auto="1"/>
      </patternFill>
    </fill>
  </fills>
  <borders count="1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medium">
        <color auto="1"/>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07">
    <xf numFmtId="0" fontId="0" fillId="0" borderId="0" xfId="0"/>
    <xf numFmtId="0" fontId="3" fillId="0" borderId="0" xfId="0" applyFont="1"/>
    <xf numFmtId="0" fontId="5" fillId="0" borderId="0" xfId="0" applyFont="1" applyFill="1" applyAlignment="1">
      <alignment horizontal="right"/>
    </xf>
    <xf numFmtId="0" fontId="6" fillId="0" borderId="0" xfId="0" applyFont="1" applyFill="1" applyAlignment="1">
      <alignment horizontal="right"/>
    </xf>
    <xf numFmtId="0" fontId="5" fillId="0" borderId="0" xfId="0" applyFont="1" applyFill="1" applyAlignment="1"/>
    <xf numFmtId="0" fontId="5" fillId="0" borderId="0" xfId="0" applyFont="1" applyAlignment="1">
      <alignment horizontal="right"/>
    </xf>
    <xf numFmtId="0" fontId="5" fillId="0" borderId="0" xfId="0" applyFont="1" applyFill="1" applyAlignment="1">
      <alignment horizontal="left"/>
    </xf>
    <xf numFmtId="0" fontId="6" fillId="0" borderId="0" xfId="0" applyFont="1" applyFill="1" applyAlignment="1"/>
    <xf numFmtId="14" fontId="5" fillId="0" borderId="0" xfId="0" applyNumberFormat="1" applyFont="1" applyFill="1" applyAlignment="1"/>
    <xf numFmtId="0" fontId="5" fillId="0" borderId="0" xfId="0" applyFont="1" applyFill="1"/>
    <xf numFmtId="0" fontId="5" fillId="0" borderId="0" xfId="0" applyFont="1"/>
    <xf numFmtId="0" fontId="6" fillId="0" borderId="0" xfId="0" applyFont="1" applyFill="1"/>
    <xf numFmtId="0" fontId="5" fillId="0" borderId="0" xfId="0" applyFont="1" applyFill="1" applyAlignment="1">
      <alignment horizontal="center"/>
    </xf>
    <xf numFmtId="0" fontId="5" fillId="0" borderId="0" xfId="0" applyFont="1" applyFill="1" applyAlignment="1">
      <alignment vertical="center"/>
    </xf>
    <xf numFmtId="16" fontId="5" fillId="0" borderId="0" xfId="0" applyNumberFormat="1" applyFont="1" applyFill="1" applyAlignment="1">
      <alignment horizontal="center"/>
    </xf>
    <xf numFmtId="0" fontId="5" fillId="0" borderId="0" xfId="0" applyFont="1" applyFill="1" applyAlignment="1">
      <alignment vertical="top"/>
    </xf>
    <xf numFmtId="0" fontId="5" fillId="0" borderId="0" xfId="0" applyFont="1" applyFill="1" applyAlignment="1">
      <alignment vertical="top" wrapText="1"/>
    </xf>
    <xf numFmtId="0" fontId="5" fillId="2" borderId="0" xfId="0" applyFont="1" applyFill="1" applyAlignment="1"/>
    <xf numFmtId="0" fontId="3" fillId="0" borderId="0" xfId="0" applyFont="1" applyProtection="1"/>
    <xf numFmtId="0" fontId="3" fillId="0" borderId="0" xfId="0" applyFont="1" applyAlignment="1" applyProtection="1">
      <alignment horizontal="center"/>
    </xf>
    <xf numFmtId="0" fontId="5" fillId="0" borderId="0" xfId="0" applyFont="1" applyAlignment="1" applyProtection="1">
      <alignment horizontal="right"/>
    </xf>
    <xf numFmtId="0" fontId="6" fillId="0" borderId="0" xfId="0" applyFont="1" applyAlignment="1" applyProtection="1">
      <alignment horizontal="right"/>
    </xf>
    <xf numFmtId="0" fontId="5" fillId="0" borderId="0" xfId="0" applyFont="1" applyAlignment="1" applyProtection="1">
      <alignment horizontal="center"/>
    </xf>
    <xf numFmtId="0" fontId="5" fillId="0" borderId="0" xfId="0" applyFont="1" applyFill="1" applyAlignment="1" applyProtection="1">
      <alignment horizontal="right"/>
    </xf>
    <xf numFmtId="0" fontId="6" fillId="0" borderId="0" xfId="0" applyFont="1" applyFill="1" applyAlignment="1" applyProtection="1">
      <alignment horizontal="right"/>
    </xf>
    <xf numFmtId="0" fontId="5" fillId="0" borderId="0" xfId="0" applyFont="1" applyFill="1" applyAlignment="1" applyProtection="1">
      <alignment horizontal="left"/>
    </xf>
    <xf numFmtId="0" fontId="5" fillId="0" borderId="0" xfId="0" applyFont="1" applyFill="1" applyAlignment="1" applyProtection="1">
      <alignment horizontal="center"/>
    </xf>
    <xf numFmtId="0" fontId="5" fillId="0" borderId="0" xfId="0" applyFont="1" applyProtection="1"/>
    <xf numFmtId="0" fontId="5" fillId="0" borderId="0" xfId="0" applyFont="1" applyFill="1" applyProtection="1"/>
    <xf numFmtId="0" fontId="6" fillId="4" borderId="0" xfId="0" applyFont="1" applyFill="1" applyProtection="1"/>
    <xf numFmtId="0" fontId="5" fillId="4" borderId="0" xfId="0" applyFont="1" applyFill="1" applyProtection="1"/>
    <xf numFmtId="0" fontId="5" fillId="3" borderId="0" xfId="0" applyFont="1" applyFill="1" applyAlignment="1" applyProtection="1">
      <alignment horizontal="center"/>
      <protection locked="0"/>
    </xf>
    <xf numFmtId="0" fontId="5" fillId="0" borderId="0" xfId="0" applyFont="1" applyAlignment="1" applyProtection="1">
      <alignment vertical="center"/>
    </xf>
    <xf numFmtId="0" fontId="5" fillId="0" borderId="2" xfId="0" applyFont="1" applyBorder="1" applyAlignment="1" applyProtection="1">
      <alignment horizontal="center"/>
    </xf>
    <xf numFmtId="0" fontId="9" fillId="0" borderId="0" xfId="0" applyFont="1" applyAlignment="1" applyProtection="1">
      <alignment horizontal="center"/>
    </xf>
    <xf numFmtId="0" fontId="5" fillId="0" borderId="2" xfId="0" applyFont="1" applyBorder="1" applyAlignment="1" applyProtection="1">
      <alignment horizontal="center"/>
      <protection locked="0"/>
    </xf>
    <xf numFmtId="49" fontId="5" fillId="3" borderId="0" xfId="0" applyNumberFormat="1" applyFont="1" applyFill="1" applyAlignment="1" applyProtection="1">
      <alignment horizontal="center"/>
      <protection locked="0"/>
    </xf>
    <xf numFmtId="0" fontId="6" fillId="5" borderId="0" xfId="0" applyFont="1" applyFill="1" applyProtection="1"/>
    <xf numFmtId="0" fontId="5" fillId="5" borderId="0" xfId="0" applyFont="1" applyFill="1" applyProtection="1"/>
    <xf numFmtId="0" fontId="5" fillId="2" borderId="0" xfId="0" applyFont="1" applyFill="1" applyAlignment="1" applyProtection="1">
      <alignment horizontal="center"/>
      <protection locked="0"/>
    </xf>
    <xf numFmtId="0" fontId="5" fillId="2" borderId="0" xfId="0" applyFont="1" applyFill="1" applyAlignment="1" applyProtection="1"/>
    <xf numFmtId="0" fontId="7" fillId="0" borderId="13" xfId="0" applyFont="1" applyBorder="1" applyProtection="1"/>
    <xf numFmtId="0" fontId="7" fillId="0" borderId="0" xfId="0" applyFont="1" applyProtection="1"/>
    <xf numFmtId="0" fontId="7" fillId="0" borderId="0" xfId="0" applyFont="1" applyAlignment="1" applyProtection="1">
      <alignment horizontal="right"/>
    </xf>
    <xf numFmtId="14" fontId="5" fillId="0" borderId="0" xfId="0" applyNumberFormat="1" applyFont="1" applyFill="1" applyAlignment="1" applyProtection="1">
      <alignment horizontal="left"/>
    </xf>
    <xf numFmtId="0" fontId="6" fillId="10" borderId="0" xfId="0" applyFont="1" applyFill="1" applyAlignment="1" applyProtection="1"/>
    <xf numFmtId="0" fontId="5" fillId="0" borderId="0" xfId="0" applyFont="1" applyFill="1" applyAlignment="1" applyProtection="1"/>
    <xf numFmtId="0" fontId="6" fillId="4" borderId="0" xfId="0" applyFont="1" applyFill="1" applyAlignment="1" applyProtection="1"/>
    <xf numFmtId="0" fontId="5" fillId="4" borderId="0" xfId="0" applyFont="1" applyFill="1" applyAlignment="1" applyProtection="1"/>
    <xf numFmtId="0" fontId="5" fillId="0" borderId="2" xfId="0" applyFont="1" applyBorder="1" applyProtection="1"/>
    <xf numFmtId="0" fontId="5" fillId="0" borderId="9" xfId="0" applyFont="1" applyBorder="1" applyProtection="1"/>
    <xf numFmtId="0" fontId="6" fillId="0" borderId="0" xfId="0" applyFont="1" applyFill="1" applyAlignment="1" applyProtection="1"/>
    <xf numFmtId="3" fontId="5" fillId="0" borderId="0" xfId="0" applyNumberFormat="1" applyFont="1" applyFill="1" applyAlignment="1" applyProtection="1"/>
    <xf numFmtId="0" fontId="11" fillId="0" borderId="0" xfId="0" applyFont="1" applyAlignment="1" applyProtection="1">
      <alignment horizontal="center"/>
    </xf>
    <xf numFmtId="168" fontId="5" fillId="0" borderId="10" xfId="2" applyNumberFormat="1" applyFont="1" applyBorder="1" applyProtection="1">
      <protection locked="0"/>
    </xf>
    <xf numFmtId="0" fontId="5" fillId="0" borderId="4" xfId="0" applyFont="1" applyBorder="1" applyProtection="1"/>
    <xf numFmtId="168" fontId="5" fillId="0" borderId="11" xfId="2" applyNumberFormat="1" applyFont="1" applyBorder="1" applyProtection="1">
      <protection locked="0"/>
    </xf>
    <xf numFmtId="0" fontId="5" fillId="0" borderId="6" xfId="0" applyFont="1" applyBorder="1" applyProtection="1"/>
    <xf numFmtId="0" fontId="12" fillId="0" borderId="0" xfId="0" applyFont="1" applyFill="1" applyAlignment="1" applyProtection="1"/>
    <xf numFmtId="0" fontId="13" fillId="0" borderId="0" xfId="0" applyFont="1" applyFill="1" applyAlignment="1" applyProtection="1"/>
    <xf numFmtId="3" fontId="13" fillId="0" borderId="0" xfId="0" applyNumberFormat="1" applyFont="1" applyFill="1" applyAlignment="1" applyProtection="1"/>
    <xf numFmtId="0" fontId="13" fillId="0" borderId="0" xfId="0" applyFont="1" applyProtection="1"/>
    <xf numFmtId="0" fontId="13" fillId="0" borderId="0" xfId="0" applyFont="1" applyAlignment="1" applyProtection="1">
      <alignment horizontal="center"/>
    </xf>
    <xf numFmtId="3" fontId="5" fillId="3" borderId="0" xfId="0" applyNumberFormat="1" applyFont="1" applyFill="1" applyAlignment="1" applyProtection="1">
      <alignment horizontal="center"/>
      <protection locked="0"/>
    </xf>
    <xf numFmtId="0" fontId="14" fillId="0" borderId="0" xfId="0" applyFont="1" applyAlignment="1" applyProtection="1">
      <alignment horizontal="center"/>
    </xf>
    <xf numFmtId="3" fontId="5" fillId="22" borderId="0" xfId="0" applyNumberFormat="1" applyFont="1" applyFill="1" applyAlignment="1" applyProtection="1">
      <alignment horizontal="center"/>
      <protection locked="0"/>
    </xf>
    <xf numFmtId="0" fontId="6" fillId="0" borderId="1" xfId="0" applyFont="1" applyFill="1" applyBorder="1" applyAlignment="1" applyProtection="1"/>
    <xf numFmtId="0" fontId="6" fillId="0" borderId="1" xfId="0" applyFont="1" applyFill="1" applyBorder="1" applyAlignment="1" applyProtection="1">
      <alignment horizontal="center"/>
    </xf>
    <xf numFmtId="166" fontId="5" fillId="0" borderId="0" xfId="0" applyNumberFormat="1" applyFont="1" applyFill="1" applyAlignment="1" applyProtection="1">
      <alignment horizontal="center"/>
    </xf>
    <xf numFmtId="0" fontId="5" fillId="0" borderId="1" xfId="0" applyFont="1" applyFill="1" applyBorder="1" applyAlignment="1" applyProtection="1"/>
    <xf numFmtId="0" fontId="5" fillId="0" borderId="1" xfId="0" applyFont="1" applyBorder="1" applyProtection="1"/>
    <xf numFmtId="0" fontId="15" fillId="0" borderId="1" xfId="0" quotePrefix="1" applyFont="1" applyBorder="1" applyAlignment="1" applyProtection="1">
      <alignment horizontal="right"/>
    </xf>
    <xf numFmtId="2" fontId="6" fillId="0" borderId="1" xfId="0" applyNumberFormat="1" applyFont="1" applyFill="1" applyBorder="1" applyAlignment="1" applyProtection="1">
      <alignment horizontal="center"/>
    </xf>
    <xf numFmtId="39" fontId="5" fillId="0" borderId="0" xfId="0" applyNumberFormat="1" applyFont="1" applyFill="1" applyAlignment="1" applyProtection="1">
      <alignment horizontal="center"/>
    </xf>
    <xf numFmtId="2" fontId="5" fillId="0" borderId="0" xfId="0" applyNumberFormat="1" applyFont="1" applyFill="1" applyAlignment="1" applyProtection="1">
      <alignment horizontal="center"/>
    </xf>
    <xf numFmtId="43" fontId="5" fillId="0" borderId="2" xfId="2" applyNumberFormat="1" applyFont="1" applyBorder="1" applyProtection="1">
      <protection locked="0"/>
    </xf>
    <xf numFmtId="0" fontId="6" fillId="5" borderId="0" xfId="0" applyFont="1" applyFill="1" applyAlignment="1" applyProtection="1"/>
    <xf numFmtId="0" fontId="5" fillId="5" borderId="0" xfId="0" applyFont="1" applyFill="1" applyAlignment="1" applyProtection="1"/>
    <xf numFmtId="164" fontId="5" fillId="0" borderId="0" xfId="1" applyNumberFormat="1" applyFont="1" applyFill="1" applyAlignment="1" applyProtection="1">
      <alignment horizontal="center"/>
    </xf>
    <xf numFmtId="166" fontId="5" fillId="0" borderId="0" xfId="0" applyNumberFormat="1" applyFont="1" applyAlignment="1" applyProtection="1">
      <alignment horizontal="center"/>
    </xf>
    <xf numFmtId="164" fontId="5" fillId="0" borderId="0" xfId="1" applyNumberFormat="1" applyFont="1" applyAlignment="1" applyProtection="1">
      <alignment horizontal="center"/>
    </xf>
    <xf numFmtId="0" fontId="6" fillId="15" borderId="0" xfId="0" applyFont="1" applyFill="1" applyAlignment="1" applyProtection="1"/>
    <xf numFmtId="0" fontId="5" fillId="9" borderId="0" xfId="0" applyFont="1" applyFill="1" applyAlignment="1" applyProtection="1">
      <alignment horizontal="center"/>
      <protection locked="0"/>
    </xf>
    <xf numFmtId="0" fontId="17" fillId="0" borderId="0" xfId="0" applyFont="1" applyFill="1" applyAlignment="1" applyProtection="1">
      <alignment horizontal="center"/>
    </xf>
    <xf numFmtId="0" fontId="6" fillId="8" borderId="0" xfId="0" applyFont="1" applyFill="1" applyAlignment="1" applyProtection="1"/>
    <xf numFmtId="0" fontId="6" fillId="0" borderId="0" xfId="0" applyFont="1" applyAlignment="1" applyProtection="1">
      <alignment horizontal="center" wrapText="1"/>
    </xf>
    <xf numFmtId="0" fontId="5" fillId="10" borderId="0" xfId="0" applyFont="1" applyFill="1" applyAlignment="1" applyProtection="1">
      <alignment horizontal="center"/>
      <protection locked="0"/>
    </xf>
    <xf numFmtId="14" fontId="5" fillId="0" borderId="0" xfId="0" applyNumberFormat="1" applyFont="1" applyAlignment="1" applyProtection="1">
      <alignment horizontal="left"/>
    </xf>
    <xf numFmtId="0" fontId="18" fillId="0" borderId="0" xfId="0" applyFont="1" applyProtection="1"/>
    <xf numFmtId="0" fontId="6" fillId="0" borderId="0" xfId="0" applyFont="1" applyFill="1" applyProtection="1"/>
    <xf numFmtId="0" fontId="6" fillId="12" borderId="0" xfId="0" applyFont="1" applyFill="1" applyProtection="1"/>
    <xf numFmtId="0" fontId="5" fillId="12" borderId="0" xfId="0" applyFont="1" applyFill="1" applyProtection="1"/>
    <xf numFmtId="0" fontId="6" fillId="0" borderId="1" xfId="0" applyFont="1" applyBorder="1" applyProtection="1"/>
    <xf numFmtId="0" fontId="6" fillId="0" borderId="1" xfId="0" applyFont="1" applyBorder="1" applyAlignment="1" applyProtection="1">
      <alignment horizontal="center"/>
    </xf>
    <xf numFmtId="0" fontId="21" fillId="7" borderId="0" xfId="0" applyFont="1" applyFill="1" applyAlignment="1" applyProtection="1">
      <alignment horizontal="center"/>
      <protection locked="0"/>
    </xf>
    <xf numFmtId="0" fontId="5" fillId="11" borderId="0" xfId="0" applyFont="1" applyFill="1" applyAlignment="1" applyProtection="1">
      <alignment horizontal="center"/>
    </xf>
    <xf numFmtId="165" fontId="5" fillId="0" borderId="0" xfId="0" applyNumberFormat="1" applyFont="1" applyBorder="1" applyAlignment="1" applyProtection="1">
      <alignment horizontal="right"/>
    </xf>
    <xf numFmtId="3" fontId="5" fillId="0" borderId="0" xfId="0" applyNumberFormat="1" applyFont="1" applyBorder="1" applyAlignment="1" applyProtection="1">
      <alignment horizontal="right"/>
    </xf>
    <xf numFmtId="0" fontId="5" fillId="0" borderId="7" xfId="0" applyFont="1" applyBorder="1" applyProtection="1"/>
    <xf numFmtId="0" fontId="5" fillId="0" borderId="8" xfId="0" applyFont="1" applyBorder="1" applyProtection="1"/>
    <xf numFmtId="168" fontId="5" fillId="0" borderId="7" xfId="2" applyNumberFormat="1" applyFont="1" applyBorder="1" applyProtection="1">
      <protection locked="0"/>
    </xf>
    <xf numFmtId="0" fontId="6" fillId="14" borderId="0" xfId="0" applyFont="1" applyFill="1" applyProtection="1"/>
    <xf numFmtId="0" fontId="5" fillId="14" borderId="0" xfId="0" applyFont="1" applyFill="1" applyProtection="1"/>
    <xf numFmtId="0" fontId="22" fillId="7" borderId="0" xfId="0" applyFont="1" applyFill="1" applyAlignment="1" applyProtection="1">
      <alignment horizontal="center"/>
      <protection locked="0"/>
    </xf>
    <xf numFmtId="0" fontId="23" fillId="7" borderId="0" xfId="0" applyFont="1" applyFill="1" applyAlignment="1" applyProtection="1">
      <alignment horizontal="center"/>
      <protection locked="0"/>
    </xf>
    <xf numFmtId="0" fontId="5" fillId="2" borderId="0" xfId="0" applyFont="1" applyFill="1" applyAlignment="1" applyProtection="1">
      <alignment horizontal="center"/>
    </xf>
    <xf numFmtId="165" fontId="5" fillId="2" borderId="0" xfId="0" applyNumberFormat="1" applyFont="1" applyFill="1" applyBorder="1" applyAlignment="1" applyProtection="1">
      <alignment horizontal="center"/>
    </xf>
    <xf numFmtId="164" fontId="5" fillId="2" borderId="0" xfId="1" applyNumberFormat="1" applyFont="1" applyFill="1" applyAlignment="1" applyProtection="1">
      <alignment horizontal="center"/>
    </xf>
    <xf numFmtId="3" fontId="5" fillId="2" borderId="0" xfId="0" applyNumberFormat="1" applyFont="1" applyFill="1" applyBorder="1" applyAlignment="1" applyProtection="1">
      <alignment horizontal="center"/>
    </xf>
    <xf numFmtId="165" fontId="5" fillId="2" borderId="0" xfId="0" applyNumberFormat="1" applyFont="1" applyFill="1" applyAlignment="1" applyProtection="1">
      <alignment horizontal="center"/>
    </xf>
    <xf numFmtId="0" fontId="6" fillId="6" borderId="0" xfId="0" applyFont="1" applyFill="1" applyProtection="1"/>
    <xf numFmtId="0" fontId="5" fillId="6" borderId="0" xfId="0" applyFont="1" applyFill="1" applyProtection="1"/>
    <xf numFmtId="0" fontId="5" fillId="9" borderId="0" xfId="0" applyFont="1" applyFill="1" applyAlignment="1" applyProtection="1">
      <alignment horizontal="center"/>
    </xf>
    <xf numFmtId="165" fontId="5" fillId="9" borderId="0" xfId="0" applyNumberFormat="1" applyFont="1" applyFill="1" applyBorder="1" applyAlignment="1" applyProtection="1">
      <alignment horizontal="center"/>
    </xf>
    <xf numFmtId="164" fontId="5" fillId="9" borderId="0" xfId="1" applyNumberFormat="1" applyFont="1" applyFill="1" applyAlignment="1" applyProtection="1">
      <alignment horizontal="center"/>
    </xf>
    <xf numFmtId="3" fontId="5" fillId="9" borderId="0" xfId="0" applyNumberFormat="1" applyFont="1" applyFill="1" applyBorder="1" applyAlignment="1" applyProtection="1">
      <alignment horizontal="center"/>
    </xf>
    <xf numFmtId="165" fontId="5" fillId="9" borderId="0" xfId="0" applyNumberFormat="1" applyFont="1" applyFill="1" applyAlignment="1" applyProtection="1">
      <alignment horizontal="center"/>
    </xf>
    <xf numFmtId="0" fontId="12" fillId="0" borderId="0" xfId="0" applyFont="1" applyProtection="1"/>
    <xf numFmtId="0" fontId="3" fillId="0" borderId="0" xfId="0" applyFont="1" applyAlignment="1" applyProtection="1"/>
    <xf numFmtId="0" fontId="11" fillId="0" borderId="0" xfId="0" applyFont="1" applyProtection="1"/>
    <xf numFmtId="0" fontId="24" fillId="0" borderId="1" xfId="0" applyFont="1" applyBorder="1" applyProtection="1"/>
    <xf numFmtId="0" fontId="24" fillId="0" borderId="0" xfId="0" applyFont="1" applyProtection="1"/>
    <xf numFmtId="0" fontId="4" fillId="8" borderId="0" xfId="0" applyFont="1" applyFill="1" applyProtection="1"/>
    <xf numFmtId="0" fontId="11" fillId="0" borderId="0" xfId="0" applyFont="1" applyAlignment="1" applyProtection="1">
      <alignment horizontal="right"/>
    </xf>
    <xf numFmtId="165" fontId="11" fillId="0" borderId="0" xfId="0" applyNumberFormat="1" applyFont="1" applyBorder="1" applyAlignment="1" applyProtection="1">
      <alignment horizontal="right"/>
    </xf>
    <xf numFmtId="164" fontId="11" fillId="0" borderId="0" xfId="1" applyNumberFormat="1" applyFont="1" applyAlignment="1" applyProtection="1">
      <alignment horizontal="center"/>
    </xf>
    <xf numFmtId="3" fontId="11" fillId="0" borderId="0" xfId="0" applyNumberFormat="1" applyFont="1" applyBorder="1" applyAlignment="1" applyProtection="1">
      <alignment horizontal="right"/>
    </xf>
    <xf numFmtId="165" fontId="11" fillId="0" borderId="0" xfId="0" applyNumberFormat="1" applyFont="1" applyProtection="1"/>
    <xf numFmtId="0" fontId="4" fillId="0" borderId="0" xfId="0" applyFont="1" applyFill="1" applyProtection="1"/>
    <xf numFmtId="0" fontId="4" fillId="0" borderId="0" xfId="0" applyFont="1" applyFill="1" applyAlignment="1" applyProtection="1">
      <alignment horizontal="center"/>
    </xf>
    <xf numFmtId="0" fontId="4" fillId="0" borderId="1" xfId="0" applyFont="1" applyBorder="1" applyProtection="1"/>
    <xf numFmtId="0" fontId="11" fillId="0" borderId="1" xfId="0" applyFont="1" applyFill="1" applyBorder="1" applyAlignment="1" applyProtection="1">
      <alignment horizontal="center"/>
    </xf>
    <xf numFmtId="2" fontId="11" fillId="17" borderId="0" xfId="0" applyNumberFormat="1" applyFont="1" applyFill="1" applyAlignment="1" applyProtection="1">
      <alignment horizontal="center"/>
      <protection locked="0"/>
    </xf>
    <xf numFmtId="166" fontId="11" fillId="18" borderId="0" xfId="0" applyNumberFormat="1" applyFont="1" applyFill="1" applyAlignment="1" applyProtection="1">
      <alignment horizontal="center"/>
    </xf>
    <xf numFmtId="37" fontId="11" fillId="18" borderId="0" xfId="0" applyNumberFormat="1" applyFont="1" applyFill="1" applyAlignment="1" applyProtection="1">
      <alignment horizontal="center"/>
    </xf>
    <xf numFmtId="166" fontId="11" fillId="19" borderId="0" xfId="0" applyNumberFormat="1" applyFont="1" applyFill="1" applyAlignment="1" applyProtection="1">
      <alignment horizontal="center"/>
    </xf>
    <xf numFmtId="37" fontId="11" fillId="19" borderId="0" xfId="0" applyNumberFormat="1" applyFont="1" applyFill="1" applyAlignment="1" applyProtection="1">
      <alignment horizontal="center"/>
    </xf>
    <xf numFmtId="0" fontId="11" fillId="9" borderId="0" xfId="0" applyFont="1" applyFill="1" applyAlignment="1" applyProtection="1">
      <alignment horizontal="center"/>
      <protection locked="0"/>
    </xf>
    <xf numFmtId="37" fontId="11" fillId="9" borderId="0" xfId="2" applyNumberFormat="1" applyFont="1" applyFill="1" applyAlignment="1" applyProtection="1">
      <alignment horizontal="center"/>
      <protection locked="0"/>
    </xf>
    <xf numFmtId="0" fontId="11" fillId="11" borderId="0" xfId="0" applyFont="1" applyFill="1" applyAlignment="1" applyProtection="1">
      <alignment horizontal="center"/>
      <protection locked="0"/>
    </xf>
    <xf numFmtId="37" fontId="11" fillId="11" borderId="0" xfId="0" applyNumberFormat="1" applyFont="1" applyFill="1" applyAlignment="1" applyProtection="1">
      <alignment horizontal="center"/>
      <protection locked="0"/>
    </xf>
    <xf numFmtId="0" fontId="11" fillId="2" borderId="0" xfId="0" applyFont="1" applyFill="1" applyAlignment="1" applyProtection="1">
      <alignment horizontal="center"/>
      <protection locked="0"/>
    </xf>
    <xf numFmtId="37" fontId="11" fillId="2" borderId="0" xfId="0" applyNumberFormat="1" applyFont="1" applyFill="1" applyAlignment="1" applyProtection="1">
      <alignment horizontal="center"/>
      <protection locked="0"/>
    </xf>
    <xf numFmtId="2" fontId="11" fillId="0" borderId="0" xfId="0" applyNumberFormat="1" applyFont="1" applyFill="1" applyAlignment="1" applyProtection="1">
      <alignment horizontal="center"/>
    </xf>
    <xf numFmtId="166" fontId="11" fillId="0" borderId="0" xfId="0" applyNumberFormat="1" applyFont="1" applyFill="1" applyAlignment="1" applyProtection="1">
      <alignment horizontal="center"/>
    </xf>
    <xf numFmtId="37" fontId="11" fillId="0" borderId="0" xfId="0" applyNumberFormat="1" applyFont="1" applyFill="1" applyAlignment="1" applyProtection="1">
      <alignment horizontal="center"/>
    </xf>
    <xf numFmtId="1" fontId="11" fillId="0" borderId="0" xfId="0" applyNumberFormat="1" applyFont="1" applyFill="1" applyAlignment="1" applyProtection="1">
      <alignment horizontal="center"/>
    </xf>
    <xf numFmtId="37" fontId="11" fillId="0" borderId="0" xfId="2" applyNumberFormat="1" applyFont="1" applyFill="1" applyAlignment="1" applyProtection="1">
      <alignment horizontal="center"/>
    </xf>
    <xf numFmtId="0" fontId="25" fillId="0" borderId="0" xfId="0" applyFont="1" applyProtection="1"/>
    <xf numFmtId="0" fontId="26" fillId="0" borderId="0" xfId="0" applyFont="1" applyAlignment="1" applyProtection="1">
      <alignment horizontal="center"/>
    </xf>
    <xf numFmtId="0" fontId="27" fillId="0" borderId="0" xfId="0" applyFont="1" applyFill="1" applyAlignment="1" applyProtection="1">
      <alignment horizontal="right"/>
    </xf>
    <xf numFmtId="2" fontId="11" fillId="0" borderId="0" xfId="0" applyNumberFormat="1" applyFont="1" applyAlignment="1" applyProtection="1">
      <alignment horizontal="center"/>
    </xf>
    <xf numFmtId="0" fontId="27" fillId="0" borderId="0" xfId="0" applyFont="1" applyAlignment="1" applyProtection="1">
      <alignment horizontal="right"/>
    </xf>
    <xf numFmtId="1" fontId="11" fillId="0" borderId="0" xfId="0" applyNumberFormat="1" applyFont="1" applyAlignment="1" applyProtection="1">
      <alignment horizontal="center"/>
    </xf>
    <xf numFmtId="0" fontId="11" fillId="16" borderId="0" xfId="0" applyFont="1" applyFill="1" applyAlignment="1" applyProtection="1">
      <alignment horizontal="center"/>
      <protection locked="0"/>
    </xf>
    <xf numFmtId="0" fontId="11" fillId="0" borderId="12" xfId="0" applyFont="1" applyBorder="1" applyAlignment="1" applyProtection="1">
      <alignment horizontal="center"/>
    </xf>
    <xf numFmtId="0" fontId="4" fillId="0" borderId="0" xfId="0" applyFont="1" applyProtection="1"/>
    <xf numFmtId="0" fontId="4" fillId="0" borderId="0" xfId="0" applyFont="1" applyAlignment="1" applyProtection="1">
      <alignment horizontal="center"/>
    </xf>
    <xf numFmtId="0" fontId="5" fillId="0" borderId="10" xfId="0" applyFont="1" applyBorder="1" applyAlignment="1" applyProtection="1">
      <alignment horizontal="center"/>
    </xf>
    <xf numFmtId="0" fontId="11" fillId="0" borderId="1" xfId="0" applyFont="1" applyBorder="1" applyAlignment="1" applyProtection="1">
      <alignment horizontal="center"/>
    </xf>
    <xf numFmtId="168" fontId="5" fillId="0" borderId="11" xfId="2" applyNumberFormat="1" applyFont="1" applyBorder="1" applyAlignment="1" applyProtection="1">
      <alignment horizontal="center"/>
    </xf>
    <xf numFmtId="0" fontId="11" fillId="21" borderId="0" xfId="0" applyFont="1" applyFill="1" applyBorder="1" applyAlignment="1" applyProtection="1">
      <alignment horizontal="center"/>
    </xf>
    <xf numFmtId="0" fontId="11" fillId="21" borderId="0" xfId="0" applyFont="1" applyFill="1" applyAlignment="1" applyProtection="1">
      <alignment horizontal="center"/>
    </xf>
    <xf numFmtId="0" fontId="11" fillId="21" borderId="0" xfId="0" applyNumberFormat="1" applyFont="1" applyFill="1" applyBorder="1" applyAlignment="1" applyProtection="1">
      <alignment horizontal="center"/>
    </xf>
    <xf numFmtId="2" fontId="11" fillId="21" borderId="0" xfId="0" applyNumberFormat="1" applyFont="1" applyFill="1" applyAlignment="1" applyProtection="1">
      <alignment horizontal="center"/>
    </xf>
    <xf numFmtId="165" fontId="11" fillId="21" borderId="0" xfId="0" applyNumberFormat="1" applyFont="1" applyFill="1" applyAlignment="1" applyProtection="1">
      <alignment horizontal="center"/>
    </xf>
    <xf numFmtId="37" fontId="11" fillId="21" borderId="0" xfId="0" applyNumberFormat="1" applyFont="1" applyFill="1" applyAlignment="1" applyProtection="1">
      <alignment horizontal="center"/>
    </xf>
    <xf numFmtId="3" fontId="11" fillId="21" borderId="0" xfId="0" applyNumberFormat="1" applyFont="1" applyFill="1" applyAlignment="1" applyProtection="1">
      <alignment horizontal="center"/>
    </xf>
    <xf numFmtId="43" fontId="11" fillId="0" borderId="10" xfId="2" applyNumberFormat="1" applyFont="1" applyBorder="1" applyAlignment="1" applyProtection="1">
      <alignment horizontal="center"/>
      <protection locked="0"/>
    </xf>
    <xf numFmtId="2" fontId="11" fillId="0" borderId="0" xfId="0" applyNumberFormat="1" applyFont="1" applyBorder="1" applyAlignment="1" applyProtection="1">
      <alignment horizontal="center"/>
    </xf>
    <xf numFmtId="0" fontId="11" fillId="0" borderId="0" xfId="0" applyNumberFormat="1" applyFont="1" applyBorder="1" applyAlignment="1" applyProtection="1">
      <alignment horizontal="center"/>
    </xf>
    <xf numFmtId="165" fontId="11" fillId="0" borderId="0" xfId="0" applyNumberFormat="1" applyFont="1" applyAlignment="1" applyProtection="1">
      <alignment horizontal="center"/>
    </xf>
    <xf numFmtId="37" fontId="11" fillId="0" borderId="0" xfId="0" applyNumberFormat="1" applyFont="1" applyAlignment="1" applyProtection="1">
      <alignment horizontal="center"/>
    </xf>
    <xf numFmtId="3" fontId="11" fillId="0" borderId="0" xfId="0" applyNumberFormat="1" applyFont="1" applyAlignment="1" applyProtection="1">
      <alignment horizontal="center"/>
    </xf>
    <xf numFmtId="43" fontId="11" fillId="0" borderId="11" xfId="2" applyNumberFormat="1" applyFont="1" applyBorder="1" applyAlignment="1" applyProtection="1">
      <alignment horizontal="center"/>
      <protection locked="0"/>
    </xf>
    <xf numFmtId="168" fontId="11" fillId="0" borderId="0" xfId="2" applyNumberFormat="1" applyFont="1" applyBorder="1" applyAlignment="1" applyProtection="1">
      <alignment horizontal="center"/>
    </xf>
    <xf numFmtId="3" fontId="7" fillId="0" borderId="13" xfId="0" applyNumberFormat="1" applyFont="1" applyBorder="1" applyAlignment="1" applyProtection="1">
      <alignment horizontal="center"/>
    </xf>
    <xf numFmtId="166" fontId="11" fillId="0" borderId="0" xfId="0" applyNumberFormat="1" applyFont="1" applyProtection="1"/>
    <xf numFmtId="0" fontId="28" fillId="0" borderId="0" xfId="0" applyFont="1" applyAlignment="1" applyProtection="1"/>
    <xf numFmtId="14" fontId="11" fillId="0" borderId="0" xfId="0" applyNumberFormat="1" applyFont="1" applyAlignment="1" applyProtection="1">
      <alignment horizontal="right"/>
    </xf>
    <xf numFmtId="14" fontId="11" fillId="0" borderId="0" xfId="0" applyNumberFormat="1" applyFont="1" applyAlignment="1" applyProtection="1">
      <alignment horizontal="left"/>
    </xf>
    <xf numFmtId="0" fontId="24" fillId="0" borderId="0" xfId="0" applyFont="1" applyAlignment="1" applyProtection="1">
      <alignment horizontal="center"/>
    </xf>
    <xf numFmtId="0" fontId="29" fillId="8" borderId="0" xfId="0" applyFont="1" applyFill="1" applyProtection="1"/>
    <xf numFmtId="0" fontId="7" fillId="8" borderId="0" xfId="0" applyFont="1" applyFill="1" applyProtection="1"/>
    <xf numFmtId="0" fontId="7" fillId="0" borderId="0" xfId="0" applyFont="1" applyAlignment="1" applyProtection="1">
      <alignment horizontal="center"/>
    </xf>
    <xf numFmtId="3" fontId="7" fillId="0" borderId="0" xfId="0" applyNumberFormat="1" applyFont="1" applyProtection="1"/>
    <xf numFmtId="0" fontId="30" fillId="0" borderId="0" xfId="0" applyFont="1" applyProtection="1"/>
    <xf numFmtId="168" fontId="7" fillId="0" borderId="2" xfId="2" applyNumberFormat="1" applyFont="1" applyBorder="1" applyAlignment="1" applyProtection="1">
      <alignment horizontal="center"/>
      <protection locked="0"/>
    </xf>
    <xf numFmtId="0" fontId="7" fillId="0" borderId="8" xfId="0" applyFont="1" applyBorder="1" applyProtection="1"/>
    <xf numFmtId="0" fontId="7" fillId="0" borderId="9" xfId="0" applyFont="1" applyBorder="1" applyProtection="1"/>
    <xf numFmtId="3" fontId="7" fillId="17" borderId="0" xfId="0" applyNumberFormat="1" applyFont="1" applyFill="1" applyProtection="1">
      <protection locked="0"/>
    </xf>
    <xf numFmtId="0" fontId="7" fillId="0" borderId="0" xfId="0" applyFont="1" applyFill="1" applyAlignment="1" applyProtection="1">
      <alignment horizontal="right"/>
    </xf>
    <xf numFmtId="3" fontId="7" fillId="0" borderId="0" xfId="0" applyNumberFormat="1" applyFont="1" applyFill="1" applyProtection="1"/>
    <xf numFmtId="0" fontId="7" fillId="0" borderId="0" xfId="0" applyFont="1" applyFill="1" applyProtection="1"/>
    <xf numFmtId="0" fontId="7" fillId="0" borderId="0" xfId="0" applyFont="1" applyFill="1" applyAlignment="1" applyProtection="1">
      <alignment horizontal="left"/>
    </xf>
    <xf numFmtId="0" fontId="7" fillId="0" borderId="0" xfId="0" applyFont="1" applyFill="1" applyAlignment="1" applyProtection="1">
      <alignment horizontal="center"/>
    </xf>
    <xf numFmtId="0" fontId="29" fillId="8" borderId="0" xfId="0" applyFont="1" applyFill="1" applyAlignment="1" applyProtection="1">
      <alignment horizontal="right"/>
    </xf>
    <xf numFmtId="2" fontId="7" fillId="17" borderId="0" xfId="0" applyNumberFormat="1" applyFont="1" applyFill="1" applyProtection="1">
      <protection locked="0"/>
    </xf>
    <xf numFmtId="0" fontId="29" fillId="0" borderId="1" xfId="0" applyFont="1" applyBorder="1" applyAlignment="1" applyProtection="1">
      <alignment horizontal="center"/>
    </xf>
    <xf numFmtId="166" fontId="7" fillId="0" borderId="0" xfId="0" applyNumberFormat="1" applyFont="1" applyFill="1" applyAlignment="1" applyProtection="1">
      <alignment horizontal="center"/>
    </xf>
    <xf numFmtId="2" fontId="7" fillId="0" borderId="0" xfId="0" applyNumberFormat="1" applyFont="1" applyFill="1" applyAlignment="1" applyProtection="1">
      <alignment horizontal="center"/>
    </xf>
    <xf numFmtId="3" fontId="7" fillId="17" borderId="0" xfId="0" applyNumberFormat="1" applyFont="1" applyFill="1" applyAlignment="1" applyProtection="1">
      <alignment horizontal="center"/>
      <protection locked="0"/>
    </xf>
    <xf numFmtId="3" fontId="7" fillId="0" borderId="0" xfId="0" applyNumberFormat="1" applyFont="1" applyAlignment="1" applyProtection="1">
      <alignment horizontal="center"/>
    </xf>
    <xf numFmtId="166" fontId="7" fillId="17" borderId="0" xfId="0" applyNumberFormat="1" applyFont="1" applyFill="1" applyAlignment="1" applyProtection="1">
      <alignment horizontal="center"/>
      <protection locked="0"/>
    </xf>
    <xf numFmtId="0" fontId="7" fillId="0" borderId="0" xfId="0" applyFont="1"/>
    <xf numFmtId="164" fontId="7" fillId="0" borderId="0" xfId="1" applyNumberFormat="1" applyFont="1" applyProtection="1"/>
    <xf numFmtId="164" fontId="7" fillId="8" borderId="0" xfId="1" applyNumberFormat="1" applyFont="1" applyFill="1" applyProtection="1"/>
    <xf numFmtId="164" fontId="7" fillId="0" borderId="0" xfId="0" applyNumberFormat="1" applyFont="1" applyProtection="1"/>
    <xf numFmtId="0" fontId="7" fillId="8" borderId="0" xfId="0" applyFont="1" applyFill="1" applyAlignment="1" applyProtection="1">
      <alignment horizontal="center"/>
    </xf>
    <xf numFmtId="0" fontId="30" fillId="0" borderId="0" xfId="0" applyFont="1" applyAlignment="1" applyProtection="1">
      <alignment horizontal="center"/>
    </xf>
    <xf numFmtId="0" fontId="7" fillId="0" borderId="0" xfId="0" applyFont="1" applyAlignment="1" applyProtection="1">
      <alignment horizontal="left"/>
    </xf>
    <xf numFmtId="164" fontId="7" fillId="0" borderId="0" xfId="1" applyNumberFormat="1" applyFont="1" applyAlignment="1" applyProtection="1">
      <alignment horizontal="center"/>
    </xf>
    <xf numFmtId="2" fontId="7" fillId="0" borderId="0" xfId="0" applyNumberFormat="1" applyFont="1" applyAlignment="1" applyProtection="1">
      <alignment horizontal="center"/>
    </xf>
    <xf numFmtId="0" fontId="31" fillId="0" borderId="1" xfId="0" applyFont="1" applyBorder="1" applyProtection="1"/>
    <xf numFmtId="0" fontId="31" fillId="0" borderId="0" xfId="0" applyFont="1" applyProtection="1"/>
    <xf numFmtId="0" fontId="31" fillId="0" borderId="0" xfId="0" applyFont="1" applyAlignment="1" applyProtection="1">
      <alignment horizontal="center"/>
    </xf>
    <xf numFmtId="0" fontId="9" fillId="0" borderId="0" xfId="0" applyFont="1" applyAlignment="1" applyProtection="1">
      <alignment horizontal="right"/>
    </xf>
    <xf numFmtId="3" fontId="5" fillId="0" borderId="0" xfId="0" applyNumberFormat="1" applyFont="1" applyProtection="1"/>
    <xf numFmtId="2" fontId="6" fillId="20" borderId="0" xfId="0" applyNumberFormat="1" applyFont="1" applyFill="1" applyProtection="1">
      <protection locked="0"/>
    </xf>
    <xf numFmtId="0" fontId="6" fillId="3" borderId="0" xfId="0" applyFont="1" applyFill="1" applyProtection="1"/>
    <xf numFmtId="0" fontId="5" fillId="0" borderId="3" xfId="0" applyFont="1" applyBorder="1" applyProtection="1"/>
    <xf numFmtId="168" fontId="5" fillId="0" borderId="0" xfId="2" applyNumberFormat="1" applyFont="1" applyBorder="1" applyAlignment="1" applyProtection="1">
      <alignment horizontal="right"/>
      <protection locked="0"/>
    </xf>
    <xf numFmtId="2" fontId="6" fillId="0" borderId="0" xfId="0" applyNumberFormat="1" applyFont="1" applyFill="1" applyProtection="1"/>
    <xf numFmtId="0" fontId="5" fillId="0" borderId="5" xfId="0" applyFont="1" applyBorder="1" applyProtection="1"/>
    <xf numFmtId="168" fontId="5" fillId="0" borderId="1" xfId="2" applyNumberFormat="1" applyFont="1" applyBorder="1" applyAlignment="1" applyProtection="1">
      <alignment horizontal="right"/>
      <protection locked="0"/>
    </xf>
    <xf numFmtId="0" fontId="6" fillId="0" borderId="0" xfId="0" applyFont="1" applyProtection="1"/>
    <xf numFmtId="0" fontId="6" fillId="0" borderId="0" xfId="0" applyFont="1" applyAlignment="1" applyProtection="1">
      <alignment horizontal="center"/>
    </xf>
    <xf numFmtId="0" fontId="6" fillId="9" borderId="0" xfId="0" applyFont="1" applyFill="1" applyProtection="1"/>
    <xf numFmtId="0" fontId="5" fillId="9" borderId="0" xfId="0" applyFont="1" applyFill="1" applyProtection="1"/>
    <xf numFmtId="0" fontId="5" fillId="0" borderId="1" xfId="0" applyFont="1" applyBorder="1" applyAlignment="1" applyProtection="1">
      <alignment horizontal="center"/>
    </xf>
    <xf numFmtId="2" fontId="5" fillId="0" borderId="0" xfId="0" applyNumberFormat="1" applyFont="1" applyAlignment="1" applyProtection="1">
      <alignment horizontal="center"/>
    </xf>
    <xf numFmtId="3" fontId="5" fillId="20" borderId="0" xfId="0" applyNumberFormat="1" applyFont="1" applyFill="1" applyAlignment="1" applyProtection="1">
      <alignment horizontal="center"/>
      <protection locked="0"/>
    </xf>
    <xf numFmtId="3" fontId="5" fillId="0" borderId="0" xfId="0" applyNumberFormat="1" applyFont="1" applyAlignment="1" applyProtection="1">
      <alignment horizontal="center"/>
    </xf>
    <xf numFmtId="2" fontId="5" fillId="20" borderId="0" xfId="0" applyNumberFormat="1" applyFont="1" applyFill="1" applyAlignment="1" applyProtection="1">
      <alignment horizontal="center"/>
      <protection locked="0"/>
    </xf>
    <xf numFmtId="0" fontId="32" fillId="0" borderId="0" xfId="0" applyFont="1" applyProtection="1"/>
    <xf numFmtId="0" fontId="5" fillId="9" borderId="0" xfId="0" applyFont="1" applyFill="1" applyAlignment="1" applyProtection="1">
      <alignment horizontal="right"/>
    </xf>
    <xf numFmtId="167" fontId="5" fillId="9" borderId="0" xfId="0" applyNumberFormat="1" applyFont="1" applyFill="1" applyAlignment="1" applyProtection="1">
      <alignment horizontal="center"/>
    </xf>
    <xf numFmtId="3" fontId="5" fillId="9" borderId="0" xfId="0" applyNumberFormat="1" applyFont="1" applyFill="1" applyAlignment="1" applyProtection="1">
      <alignment horizontal="center"/>
    </xf>
    <xf numFmtId="0" fontId="5" fillId="0" borderId="0" xfId="0" applyFont="1" applyAlignment="1" applyProtection="1">
      <alignment horizontal="left"/>
    </xf>
    <xf numFmtId="164" fontId="5" fillId="0" borderId="0" xfId="0" applyNumberFormat="1" applyFont="1" applyAlignment="1" applyProtection="1">
      <alignment horizontal="center"/>
    </xf>
    <xf numFmtId="0" fontId="11" fillId="0" borderId="1" xfId="0" applyFont="1" applyBorder="1" applyProtection="1"/>
    <xf numFmtId="0" fontId="4" fillId="13" borderId="0" xfId="0" applyFont="1" applyFill="1" applyProtection="1"/>
    <xf numFmtId="0" fontId="11" fillId="0" borderId="0" xfId="0" applyFont="1" applyFill="1" applyProtection="1"/>
    <xf numFmtId="1" fontId="11" fillId="0" borderId="0" xfId="0" applyNumberFormat="1" applyFont="1" applyFill="1" applyAlignment="1" applyProtection="1">
      <alignment horizontal="center" wrapText="1"/>
    </xf>
    <xf numFmtId="37" fontId="11" fillId="0" borderId="0" xfId="0" applyNumberFormat="1" applyFont="1" applyFill="1" applyAlignment="1" applyProtection="1">
      <alignment horizontal="center" wrapText="1"/>
    </xf>
    <xf numFmtId="2" fontId="11" fillId="0" borderId="1" xfId="0" applyNumberFormat="1" applyFont="1" applyFill="1" applyBorder="1" applyAlignment="1" applyProtection="1">
      <alignment horizontal="center"/>
    </xf>
    <xf numFmtId="166" fontId="11" fillId="0" borderId="1" xfId="0" applyNumberFormat="1" applyFont="1" applyFill="1" applyBorder="1" applyAlignment="1" applyProtection="1">
      <alignment horizontal="center"/>
    </xf>
    <xf numFmtId="37" fontId="11" fillId="0" borderId="1" xfId="0" applyNumberFormat="1" applyFont="1" applyFill="1" applyBorder="1" applyAlignment="1" applyProtection="1">
      <alignment horizontal="center"/>
    </xf>
    <xf numFmtId="1" fontId="11" fillId="0" borderId="1" xfId="0" applyNumberFormat="1" applyFont="1" applyFill="1" applyBorder="1" applyAlignment="1" applyProtection="1">
      <alignment horizontal="center"/>
    </xf>
    <xf numFmtId="0" fontId="11" fillId="0" borderId="0" xfId="0" applyFont="1" applyBorder="1" applyAlignment="1" applyProtection="1">
      <alignment horizontal="center"/>
    </xf>
    <xf numFmtId="0" fontId="11" fillId="20" borderId="0" xfId="0" applyNumberFormat="1" applyFont="1" applyFill="1" applyAlignment="1" applyProtection="1">
      <alignment horizontal="center"/>
      <protection locked="0"/>
    </xf>
    <xf numFmtId="39" fontId="11" fillId="20" borderId="0" xfId="0" applyNumberFormat="1" applyFont="1" applyFill="1" applyAlignment="1" applyProtection="1">
      <alignment horizontal="center"/>
      <protection locked="0"/>
    </xf>
    <xf numFmtId="3" fontId="11" fillId="20" borderId="0" xfId="0" applyNumberFormat="1" applyFont="1" applyFill="1" applyAlignment="1" applyProtection="1">
      <alignment horizontal="center"/>
      <protection locked="0"/>
    </xf>
    <xf numFmtId="39" fontId="11" fillId="0" borderId="0" xfId="0" applyNumberFormat="1" applyFont="1" applyFill="1" applyAlignment="1" applyProtection="1">
      <alignment horizontal="center"/>
    </xf>
    <xf numFmtId="0" fontId="11" fillId="0" borderId="0" xfId="0" applyFont="1" applyAlignment="1" applyProtection="1">
      <alignment horizontal="center" wrapText="1"/>
    </xf>
    <xf numFmtId="166" fontId="11" fillId="0" borderId="0" xfId="0" applyNumberFormat="1" applyFont="1" applyAlignment="1" applyProtection="1">
      <alignment horizontal="center" wrapText="1"/>
    </xf>
    <xf numFmtId="164" fontId="11" fillId="0" borderId="0" xfId="0" applyNumberFormat="1" applyFont="1" applyAlignment="1" applyProtection="1">
      <alignment horizontal="center"/>
    </xf>
    <xf numFmtId="1" fontId="11" fillId="20" borderId="0" xfId="0" applyNumberFormat="1" applyFont="1" applyFill="1" applyAlignment="1" applyProtection="1">
      <alignment horizontal="center"/>
      <protection locked="0"/>
    </xf>
    <xf numFmtId="0" fontId="33" fillId="0" borderId="0" xfId="0" applyFont="1" applyAlignment="1" applyProtection="1">
      <alignment horizontal="left"/>
    </xf>
    <xf numFmtId="166" fontId="11" fillId="0" borderId="0" xfId="0" applyNumberFormat="1" applyFont="1" applyAlignment="1" applyProtection="1">
      <alignment horizontal="center"/>
    </xf>
    <xf numFmtId="166" fontId="7" fillId="0" borderId="0" xfId="0" applyNumberFormat="1" applyFont="1" applyAlignment="1" applyProtection="1">
      <alignment horizontal="center"/>
    </xf>
    <xf numFmtId="1" fontId="7" fillId="0" borderId="0" xfId="0" applyNumberFormat="1" applyFont="1" applyAlignment="1" applyProtection="1">
      <alignment horizontal="center"/>
    </xf>
    <xf numFmtId="165" fontId="7" fillId="0" borderId="0" xfId="0" applyNumberFormat="1" applyFont="1" applyAlignment="1" applyProtection="1">
      <alignment horizontal="center"/>
    </xf>
    <xf numFmtId="37" fontId="7" fillId="0" borderId="0" xfId="0" applyNumberFormat="1" applyFont="1" applyAlignment="1" applyProtection="1">
      <alignment horizontal="center"/>
    </xf>
    <xf numFmtId="0" fontId="3" fillId="0" borderId="0" xfId="0" applyFont="1" applyAlignment="1">
      <alignment horizontal="center"/>
    </xf>
    <xf numFmtId="0" fontId="4" fillId="0" borderId="0" xfId="0" applyFont="1" applyAlignment="1">
      <alignment horizontal="center"/>
    </xf>
    <xf numFmtId="0" fontId="7" fillId="0" borderId="13" xfId="0" applyFont="1" applyFill="1" applyBorder="1" applyAlignment="1">
      <alignment horizontal="center"/>
    </xf>
    <xf numFmtId="0" fontId="7" fillId="0" borderId="0" xfId="0" applyFont="1" applyFill="1" applyAlignment="1">
      <alignment horizontal="center"/>
    </xf>
    <xf numFmtId="0" fontId="5" fillId="2" borderId="0" xfId="0" applyFont="1" applyFill="1" applyAlignment="1" applyProtection="1">
      <alignment horizontal="left" vertical="top" wrapText="1"/>
      <protection locked="0"/>
    </xf>
    <xf numFmtId="0" fontId="5" fillId="10" borderId="0" xfId="0" applyFont="1" applyFill="1" applyAlignment="1" applyProtection="1">
      <alignment horizontal="left"/>
      <protection locked="0"/>
    </xf>
    <xf numFmtId="0" fontId="5" fillId="3" borderId="0" xfId="0" applyFont="1" applyFill="1" applyAlignment="1" applyProtection="1">
      <alignment horizontal="left"/>
      <protection locked="0"/>
    </xf>
    <xf numFmtId="0" fontId="6" fillId="0" borderId="0" xfId="0" applyFont="1" applyAlignment="1" applyProtection="1">
      <alignment horizontal="right"/>
    </xf>
    <xf numFmtId="0" fontId="5" fillId="2" borderId="0" xfId="0" applyFont="1" applyFill="1" applyAlignment="1" applyProtection="1">
      <alignment horizontal="left"/>
      <protection locked="0"/>
    </xf>
    <xf numFmtId="0" fontId="8" fillId="10" borderId="0" xfId="0" applyFont="1" applyFill="1" applyAlignment="1" applyProtection="1">
      <alignment horizontal="center"/>
    </xf>
    <xf numFmtId="0" fontId="5" fillId="0" borderId="0" xfId="0" applyFont="1" applyAlignment="1" applyProtection="1">
      <alignment horizontal="left" vertical="top" wrapText="1"/>
    </xf>
    <xf numFmtId="0" fontId="3" fillId="0" borderId="0" xfId="0" applyFont="1" applyAlignment="1" applyProtection="1">
      <alignment horizontal="center"/>
    </xf>
    <xf numFmtId="14" fontId="5" fillId="10" borderId="0" xfId="0" applyNumberFormat="1" applyFont="1" applyFill="1" applyAlignment="1" applyProtection="1">
      <alignment horizontal="left"/>
      <protection locked="0"/>
    </xf>
    <xf numFmtId="0" fontId="4" fillId="0" borderId="0" xfId="0" applyFont="1" applyAlignment="1" applyProtection="1">
      <alignment horizontal="center"/>
    </xf>
    <xf numFmtId="0" fontId="16" fillId="0" borderId="0" xfId="0" applyFont="1" applyFill="1" applyAlignment="1" applyProtection="1">
      <alignment horizontal="left" vertical="top" wrapText="1"/>
    </xf>
    <xf numFmtId="0" fontId="10" fillId="10" borderId="0" xfId="0" applyFont="1" applyFill="1" applyAlignment="1" applyProtection="1">
      <alignment horizontal="center"/>
    </xf>
    <xf numFmtId="0" fontId="5" fillId="0" borderId="0" xfId="0" applyFont="1" applyFill="1" applyAlignment="1" applyProtection="1">
      <alignment horizontal="left"/>
    </xf>
    <xf numFmtId="14" fontId="5" fillId="0" borderId="0" xfId="0" applyNumberFormat="1" applyFont="1" applyFill="1" applyAlignment="1" applyProtection="1">
      <alignment horizontal="left"/>
    </xf>
    <xf numFmtId="0" fontId="6" fillId="6" borderId="0" xfId="0" applyFont="1" applyFill="1" applyAlignment="1" applyProtection="1">
      <alignment horizontal="center"/>
    </xf>
    <xf numFmtId="0" fontId="5" fillId="0" borderId="0" xfId="0" applyFont="1" applyAlignment="1" applyProtection="1">
      <alignment horizontal="center"/>
    </xf>
    <xf numFmtId="0" fontId="6" fillId="12" borderId="0" xfId="0" applyFont="1" applyFill="1" applyAlignment="1" applyProtection="1">
      <alignment horizontal="center"/>
    </xf>
    <xf numFmtId="0" fontId="6" fillId="14" borderId="0" xfId="0" applyFont="1" applyFill="1" applyAlignment="1" applyProtection="1">
      <alignment horizontal="center"/>
    </xf>
    <xf numFmtId="0" fontId="5" fillId="0" borderId="0" xfId="0" applyFont="1" applyAlignment="1" applyProtection="1">
      <alignment horizontal="left"/>
    </xf>
    <xf numFmtId="0" fontId="10" fillId="7" borderId="0" xfId="0" applyFont="1" applyFill="1" applyAlignment="1" applyProtection="1">
      <alignment horizontal="center"/>
    </xf>
    <xf numFmtId="0" fontId="6" fillId="7" borderId="0" xfId="0" applyFont="1" applyFill="1" applyAlignment="1" applyProtection="1">
      <alignment horizontal="center"/>
    </xf>
    <xf numFmtId="0" fontId="28" fillId="0" borderId="0" xfId="0" applyFont="1" applyAlignment="1" applyProtection="1">
      <alignment horizontal="center"/>
    </xf>
    <xf numFmtId="0" fontId="3" fillId="0" borderId="0" xfId="0" applyFont="1" applyFill="1" applyAlignment="1" applyProtection="1">
      <alignment horizontal="center"/>
    </xf>
    <xf numFmtId="0" fontId="4" fillId="0" borderId="0" xfId="0" applyFont="1" applyFill="1" applyAlignment="1" applyProtection="1">
      <alignment horizontal="center"/>
    </xf>
    <xf numFmtId="14" fontId="11" fillId="0" borderId="0" xfId="0" applyNumberFormat="1" applyFont="1" applyAlignment="1" applyProtection="1">
      <alignment horizontal="left"/>
    </xf>
    <xf numFmtId="0" fontId="11" fillId="0" borderId="0" xfId="0" applyFont="1" applyAlignment="1" applyProtection="1">
      <alignment horizontal="left"/>
    </xf>
    <xf numFmtId="0" fontId="11" fillId="10" borderId="0" xfId="0" applyFont="1" applyFill="1" applyAlignment="1" applyProtection="1">
      <alignment horizontal="center"/>
    </xf>
    <xf numFmtId="0" fontId="7" fillId="0" borderId="7" xfId="0" applyFont="1" applyBorder="1" applyAlignment="1" applyProtection="1">
      <alignment horizontal="center"/>
    </xf>
    <xf numFmtId="0" fontId="7" fillId="0" borderId="8" xfId="0" applyFont="1" applyBorder="1" applyAlignment="1" applyProtection="1">
      <alignment horizontal="center"/>
    </xf>
    <xf numFmtId="0" fontId="7" fillId="0" borderId="9" xfId="0" applyFont="1" applyBorder="1" applyAlignment="1" applyProtection="1">
      <alignment horizontal="center"/>
    </xf>
    <xf numFmtId="0" fontId="7" fillId="17" borderId="0" xfId="0" applyFont="1" applyFill="1" applyAlignment="1" applyProtection="1">
      <alignment horizontal="left"/>
      <protection locked="0"/>
    </xf>
    <xf numFmtId="0" fontId="11" fillId="17" borderId="0" xfId="0" applyFont="1" applyFill="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5" fillId="20" borderId="0" xfId="0" applyFont="1" applyFill="1" applyAlignment="1" applyProtection="1">
      <alignment horizontal="center"/>
    </xf>
    <xf numFmtId="0" fontId="6" fillId="3" borderId="0" xfId="0" applyFont="1" applyFill="1" applyAlignment="1" applyProtection="1">
      <alignment horizontal="right"/>
    </xf>
    <xf numFmtId="0" fontId="6" fillId="0" borderId="0" xfId="0" applyFont="1" applyFill="1" applyAlignment="1" applyProtection="1">
      <alignment horizontal="right"/>
    </xf>
    <xf numFmtId="0" fontId="11" fillId="20" borderId="0" xfId="0" applyFont="1" applyFill="1" applyAlignment="1" applyProtection="1">
      <alignment horizontal="center"/>
    </xf>
  </cellXfs>
  <cellStyles count="3">
    <cellStyle name="Comma" xfId="2" builtinId="3"/>
    <cellStyle name="Normal" xfId="0" builtinId="0"/>
    <cellStyle name="Percent" xfId="1" builtinId="5"/>
  </cellStyles>
  <dxfs count="19">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color theme="0"/>
      </font>
      <fill>
        <patternFill>
          <bgColor rgb="FFFFC000"/>
        </patternFill>
      </fill>
    </dxf>
    <dxf>
      <font>
        <b/>
        <i val="0"/>
        <color theme="0"/>
      </font>
      <fill>
        <patternFill>
          <bgColor theme="9"/>
        </patternFill>
      </fill>
    </dxf>
    <dxf>
      <font>
        <b/>
        <i val="0"/>
        <color theme="0"/>
      </font>
      <fill>
        <patternFill>
          <bgColor rgb="FFC00000"/>
        </patternFill>
      </fill>
    </dxf>
    <dxf>
      <font>
        <color rgb="FF9C0006"/>
      </font>
      <fill>
        <patternFill>
          <bgColor rgb="FFFFC7CE"/>
        </patternFill>
      </fill>
    </dxf>
    <dxf>
      <font>
        <color rgb="FF9C0006"/>
      </font>
      <fill>
        <patternFill>
          <bgColor rgb="FFFFC7CE"/>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s>
  <tableStyles count="0" defaultTableStyle="TableStyleMedium2" defaultPivotStyle="PivotStyleLight16"/>
  <colors>
    <mruColors>
      <color rgb="FFCC66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139065</xdr:colOff>
      <xdr:row>1</xdr:row>
      <xdr:rowOff>116205</xdr:rowOff>
    </xdr:from>
    <xdr:ext cx="5684520" cy="7227570"/>
    <xdr:sp macro="" textlink="">
      <xdr:nvSpPr>
        <xdr:cNvPr id="2" name="TextBox 1">
          <a:extLst>
            <a:ext uri="{FF2B5EF4-FFF2-40B4-BE49-F238E27FC236}">
              <a16:creationId xmlns:a16="http://schemas.microsoft.com/office/drawing/2014/main" id="{66D4FF22-7A7E-49D4-9DBF-F5A81485DD2F}"/>
            </a:ext>
          </a:extLst>
        </xdr:cNvPr>
        <xdr:cNvSpPr txBox="1"/>
      </xdr:nvSpPr>
      <xdr:spPr>
        <a:xfrm>
          <a:off x="139065" y="278130"/>
          <a:ext cx="5684520" cy="72275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latin typeface="Calibri" panose="020F0502020204030204" pitchFamily="34" charset="0"/>
              <a:cs typeface="Calibri" panose="020F0502020204030204" pitchFamily="34" charset="0"/>
            </a:rPr>
            <a:t>Purpose:</a:t>
          </a:r>
        </a:p>
        <a:p>
          <a:pPr algn="l"/>
          <a:r>
            <a:rPr lang="en-US" sz="1100">
              <a:latin typeface="Calibri" panose="020F0502020204030204" pitchFamily="34" charset="0"/>
              <a:cs typeface="Calibri" panose="020F0502020204030204" pitchFamily="34" charset="0"/>
            </a:rPr>
            <a:t>This</a:t>
          </a:r>
          <a:r>
            <a:rPr lang="en-US" sz="1100" baseline="0">
              <a:latin typeface="Calibri" panose="020F0502020204030204" pitchFamily="34" charset="0"/>
              <a:cs typeface="Calibri" panose="020F0502020204030204" pitchFamily="34" charset="0"/>
            </a:rPr>
            <a:t> spreadsheet file has been created to assist in the design and review of Dry and Dry ED Detention Pond Projects which are seeking or have obtained funding through the State of Iowa's water quality programs.</a:t>
          </a:r>
        </a:p>
        <a:p>
          <a:pPr algn="l"/>
          <a:endParaRPr lang="en-US" sz="1100" baseline="0">
            <a:latin typeface="Calibri" panose="020F0502020204030204" pitchFamily="34" charset="0"/>
            <a:cs typeface="Calibri" panose="020F0502020204030204" pitchFamily="34" charset="0"/>
          </a:endParaRPr>
        </a:p>
        <a:p>
          <a:pPr algn="l"/>
          <a:r>
            <a:rPr lang="en-US" sz="1100" baseline="0">
              <a:latin typeface="Calibri" panose="020F0502020204030204" pitchFamily="34" charset="0"/>
              <a:cs typeface="Calibri" panose="020F0502020204030204" pitchFamily="34" charset="0"/>
            </a:rPr>
            <a:t>This document is intended to be completed by the designer to provide review agencies with project data assembled and presented for review in a consistent manner from project to project.</a:t>
          </a:r>
        </a:p>
        <a:p>
          <a:pPr algn="l"/>
          <a:endParaRPr lang="en-US" sz="1100" baseline="0">
            <a:latin typeface="Calibri" panose="020F0502020204030204" pitchFamily="34" charset="0"/>
            <a:cs typeface="Calibri" panose="020F0502020204030204" pitchFamily="34" charset="0"/>
          </a:endParaRPr>
        </a:p>
        <a:p>
          <a:pPr algn="l"/>
          <a:r>
            <a:rPr lang="en-US" sz="1100" baseline="0">
              <a:latin typeface="Calibri" panose="020F0502020204030204" pitchFamily="34" charset="0"/>
              <a:cs typeface="Calibri" panose="020F0502020204030204" pitchFamily="34" charset="0"/>
            </a:rPr>
            <a:t>Using data entered by the designer (data to be entered within the provided blank shaded boxes on each tabulation sheet), this document will complete many of the basic sizing calculation steps following the methods described within the Iowa Stormwater Management Manual (ISWMM).</a:t>
          </a:r>
        </a:p>
        <a:p>
          <a:endParaRPr lang="en-US" sz="1100" baseline="0">
            <a:latin typeface="Calibri" panose="020F0502020204030204" pitchFamily="34" charset="0"/>
            <a:cs typeface="Calibri" panose="020F0502020204030204" pitchFamily="34" charset="0"/>
          </a:endParaRPr>
        </a:p>
        <a:p>
          <a:r>
            <a:rPr lang="en-US" sz="1100" b="1" u="sng" baseline="0">
              <a:latin typeface="Calibri" panose="020F0502020204030204" pitchFamily="34" charset="0"/>
              <a:cs typeface="Calibri" panose="020F0502020204030204" pitchFamily="34" charset="0"/>
            </a:rPr>
            <a:t>Contents:</a:t>
          </a:r>
        </a:p>
        <a:p>
          <a:endParaRPr lang="en-US" sz="1100" baseline="0">
            <a:latin typeface="Calibri" panose="020F0502020204030204" pitchFamily="34" charset="0"/>
            <a:cs typeface="Calibri" panose="020F0502020204030204" pitchFamily="34" charset="0"/>
          </a:endParaRPr>
        </a:p>
        <a:p>
          <a:r>
            <a:rPr lang="en-US" sz="1100" b="0" baseline="0">
              <a:solidFill>
                <a:schemeClr val="accent6">
                  <a:lumMod val="75000"/>
                </a:schemeClr>
              </a:solidFill>
              <a:latin typeface="Calibri" panose="020F0502020204030204" pitchFamily="34" charset="0"/>
              <a:cs typeface="Calibri" panose="020F0502020204030204" pitchFamily="34" charset="0"/>
            </a:rPr>
            <a:t>Checklists (to be completed and provided as part of State of Iowa water quality project review):</a:t>
          </a:r>
        </a:p>
        <a:p>
          <a:r>
            <a:rPr lang="en-US" sz="1100" baseline="0">
              <a:latin typeface="Calibri" panose="020F0502020204030204" pitchFamily="34" charset="0"/>
              <a:cs typeface="Calibri" panose="020F0502020204030204" pitchFamily="34" charset="0"/>
            </a:rPr>
            <a:t>CL_1: Site Screening</a:t>
          </a:r>
        </a:p>
        <a:p>
          <a:r>
            <a:rPr lang="en-US" sz="1100" baseline="0">
              <a:latin typeface="Calibri" panose="020F0502020204030204" pitchFamily="34" charset="0"/>
              <a:cs typeface="Calibri" panose="020F0502020204030204" pitchFamily="34" charset="0"/>
            </a:rPr>
            <a:t>CL_2: Design Summary</a:t>
          </a:r>
        </a:p>
        <a:p>
          <a:endParaRPr lang="en-US" sz="1100" baseline="0">
            <a:latin typeface="Calibri" panose="020F0502020204030204" pitchFamily="34" charset="0"/>
            <a:cs typeface="Calibri" panose="020F0502020204030204" pitchFamily="34" charset="0"/>
          </a:endParaRPr>
        </a:p>
        <a:p>
          <a:r>
            <a:rPr lang="en-US" sz="1100" b="0" baseline="0">
              <a:solidFill>
                <a:srgbClr val="0070C0"/>
              </a:solidFill>
              <a:latin typeface="Calibri" panose="020F0502020204030204" pitchFamily="34" charset="0"/>
              <a:cs typeface="Calibri" panose="020F0502020204030204" pitchFamily="34" charset="0"/>
            </a:rPr>
            <a:t>Calculation worksheets (integrated into project design reports at required stage of review):</a:t>
          </a:r>
        </a:p>
        <a:p>
          <a:r>
            <a:rPr lang="en-US" sz="1100" baseline="0">
              <a:latin typeface="Calibri" panose="020F0502020204030204" pitchFamily="34" charset="0"/>
              <a:cs typeface="Calibri" panose="020F0502020204030204" pitchFamily="34" charset="0"/>
            </a:rPr>
            <a:t>DE_1: Watershed Info</a:t>
          </a:r>
        </a:p>
        <a:p>
          <a:r>
            <a:rPr lang="en-US" sz="1100" baseline="0">
              <a:latin typeface="Calibri" panose="020F0502020204030204" pitchFamily="34" charset="0"/>
              <a:cs typeface="Calibri" panose="020F0502020204030204" pitchFamily="34" charset="0"/>
            </a:rPr>
            <a:t>Step 3: Hydrology*</a:t>
          </a:r>
        </a:p>
        <a:p>
          <a:r>
            <a:rPr lang="en-US" sz="1100" baseline="0">
              <a:latin typeface="Calibri" panose="020F0502020204030204" pitchFamily="34" charset="0"/>
              <a:cs typeface="Calibri" panose="020F0502020204030204" pitchFamily="34" charset="0"/>
            </a:rPr>
            <a:t>Step 4: Pre-treatment</a:t>
          </a:r>
        </a:p>
        <a:p>
          <a:r>
            <a:rPr lang="en-US" sz="1100" baseline="0">
              <a:latin typeface="Calibri" panose="020F0502020204030204" pitchFamily="34" charset="0"/>
              <a:cs typeface="Calibri" panose="020F0502020204030204" pitchFamily="34" charset="0"/>
            </a:rPr>
            <a:t>Step 5-7: Final Storage Volumes</a:t>
          </a:r>
        </a:p>
        <a:p>
          <a:r>
            <a:rPr lang="en-US" sz="1100" baseline="0">
              <a:latin typeface="Calibri" panose="020F0502020204030204" pitchFamily="34" charset="0"/>
              <a:cs typeface="Calibri" panose="020F0502020204030204" pitchFamily="34" charset="0"/>
            </a:rPr>
            <a:t>Step 9: Results</a:t>
          </a:r>
        </a:p>
        <a:p>
          <a:r>
            <a:rPr lang="en-US" sz="1100" baseline="0">
              <a:latin typeface="Calibri" panose="020F0502020204030204" pitchFamily="34" charset="0"/>
              <a:cs typeface="Calibri" panose="020F0502020204030204" pitchFamily="34" charset="0"/>
            </a:rPr>
            <a:t>Note that Steps 3-9 refer to the calculation step listed within the ISWMM Design Manual.</a:t>
          </a:r>
        </a:p>
        <a:p>
          <a:endParaRPr lang="en-US" sz="1100" baseline="0">
            <a:latin typeface="Calibri" panose="020F0502020204030204" pitchFamily="34" charset="0"/>
            <a:cs typeface="Calibri" panose="020F0502020204030204" pitchFamily="34" charset="0"/>
          </a:endParaRPr>
        </a:p>
        <a:p>
          <a:r>
            <a:rPr lang="en-US" sz="900" i="1" baseline="0">
              <a:latin typeface="Calibri" panose="020F0502020204030204" pitchFamily="34" charset="0"/>
              <a:cs typeface="Calibri" panose="020F0502020204030204" pitchFamily="34" charset="0"/>
            </a:rPr>
            <a:t>*Step 3 tabulation sheet is available for use by the designer for preliminary estimation of required storage volumes.  It may be omitted if software programs are used to complete similar calculations and if the same data is included by the designer with the design report for review.</a:t>
          </a:r>
        </a:p>
        <a:p>
          <a:endParaRPr lang="en-US" sz="1100" baseline="0">
            <a:latin typeface="Calibri" panose="020F0502020204030204" pitchFamily="34" charset="0"/>
            <a:cs typeface="Calibri" panose="020F0502020204030204" pitchFamily="34" charset="0"/>
          </a:endParaRPr>
        </a:p>
        <a:p>
          <a:r>
            <a:rPr lang="en-US" sz="1100" b="1" u="sng" baseline="0">
              <a:latin typeface="Calibri" panose="020F0502020204030204" pitchFamily="34" charset="0"/>
              <a:cs typeface="Calibri" panose="020F0502020204030204" pitchFamily="34" charset="0"/>
            </a:rPr>
            <a:t>DISCLAIMER:</a:t>
          </a:r>
        </a:p>
        <a:p>
          <a:r>
            <a:rPr lang="en-US" sz="1100" baseline="0">
              <a:latin typeface="Calibri" panose="020F0502020204030204" pitchFamily="34" charset="0"/>
              <a:cs typeface="Calibri" panose="020F0502020204030204" pitchFamily="34" charset="0"/>
            </a:rPr>
            <a:t>This document is intended only to be used for the purposes as described above.  It is expected that designers which use this document are familiar with the Dry or Dry ED Detention Basin chapters of ISWMM and understand the methods described within.  The user of this document is ultimately responsible for the accurate entry of data into this document and to verify that all included and associated calculations performed are correct and consistent with the methods of design described within ISWMM as applicable to a given project.</a:t>
          </a:r>
        </a:p>
        <a:p>
          <a:endParaRPr lang="en-US" sz="1100" baseline="0">
            <a:latin typeface="Calibri" panose="020F0502020204030204" pitchFamily="34" charset="0"/>
            <a:cs typeface="Calibri" panose="020F0502020204030204" pitchFamily="34" charset="0"/>
          </a:endParaRPr>
        </a:p>
        <a:p>
          <a:r>
            <a:rPr lang="en-US" sz="1100" baseline="0">
              <a:latin typeface="Calibri" panose="020F0502020204030204" pitchFamily="34" charset="0"/>
              <a:cs typeface="Calibri" panose="020F0502020204030204" pitchFamily="34" charset="0"/>
            </a:rPr>
            <a:t>By providing this document for use, the State of Iowa, the Iowa Department of Agriculture and Land Stewardship, and any other entity involved in its creation assumes no responsibility for its use, associated calculations or for other project related tasks which are the responsibility of the design professional.</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0</xdr:colOff>
      <xdr:row>0</xdr:row>
      <xdr:rowOff>19049</xdr:rowOff>
    </xdr:from>
    <xdr:to>
      <xdr:col>16</xdr:col>
      <xdr:colOff>514350</xdr:colOff>
      <xdr:row>26</xdr:row>
      <xdr:rowOff>76200</xdr:rowOff>
    </xdr:to>
    <xdr:sp macro="" textlink="">
      <xdr:nvSpPr>
        <xdr:cNvPr id="2" name="TextBox 1">
          <a:extLst>
            <a:ext uri="{FF2B5EF4-FFF2-40B4-BE49-F238E27FC236}">
              <a16:creationId xmlns:a16="http://schemas.microsoft.com/office/drawing/2014/main" id="{D0FF7FC8-53BF-4962-85BE-DB7423632ACC}"/>
            </a:ext>
          </a:extLst>
        </xdr:cNvPr>
        <xdr:cNvSpPr txBox="1"/>
      </xdr:nvSpPr>
      <xdr:spPr>
        <a:xfrm>
          <a:off x="6572250" y="19049"/>
          <a:ext cx="3676650" cy="335280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latin typeface="Calibri" panose="020F0502020204030204" pitchFamily="34" charset="0"/>
              <a:cs typeface="Calibri" panose="020F0502020204030204" pitchFamily="34" charset="0"/>
            </a:rPr>
            <a:t>User Guidance for CL_1</a:t>
          </a:r>
          <a:r>
            <a:rPr lang="en-US" sz="1000" b="1" u="sng" baseline="0">
              <a:latin typeface="Calibri" panose="020F0502020204030204" pitchFamily="34" charset="0"/>
              <a:cs typeface="Calibri" panose="020F0502020204030204" pitchFamily="34" charset="0"/>
            </a:rPr>
            <a:t> (Screening) Tab</a:t>
          </a:r>
          <a:r>
            <a:rPr lang="en-US" sz="1000" b="1" u="sng">
              <a:latin typeface="Calibri" panose="020F0502020204030204" pitchFamily="34" charset="0"/>
              <a:cs typeface="Calibri" panose="020F0502020204030204" pitchFamily="34" charset="0"/>
            </a:rPr>
            <a:t>:</a:t>
          </a:r>
        </a:p>
        <a:p>
          <a:endParaRPr lang="en-US" sz="100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Completing project information in gray boxes at top of this tab will fill in similar information on subsequent tabs.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a:latin typeface="Calibri" panose="020F0502020204030204" pitchFamily="34" charset="0"/>
              <a:cs typeface="Calibri" panose="020F0502020204030204" pitchFamily="34" charset="0"/>
            </a:rPr>
            <a:t>Complete Site Evaluation</a:t>
          </a:r>
          <a:r>
            <a:rPr lang="en-US" sz="1000" baseline="0">
              <a:latin typeface="Calibri" panose="020F0502020204030204" pitchFamily="34" charset="0"/>
              <a:cs typeface="Calibri" panose="020F0502020204030204" pitchFamily="34" charset="0"/>
            </a:rPr>
            <a:t> Criteria and Planning information on this sheet.  Fill in light blue and yellow shaded boxes.</a:t>
          </a:r>
        </a:p>
        <a:p>
          <a:pPr marL="171450" indent="-171450">
            <a:buFont typeface="Arial" panose="020B0604020202020204" pitchFamily="34" charset="0"/>
            <a:buChar char="•"/>
          </a:pPr>
          <a:endParaRPr lang="en-US" sz="100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baseline="0">
              <a:latin typeface="Calibri" panose="020F0502020204030204" pitchFamily="34" charset="0"/>
              <a:cs typeface="Calibri" panose="020F0502020204030204" pitchFamily="34" charset="0"/>
            </a:rPr>
            <a:t>Tributary area will automatically fill in from data entered on tab DE_1 unless a value is entered in the manual entry space above (if manually entered, the word MANUAL will appear on the checklist).</a:t>
          </a:r>
        </a:p>
        <a:p>
          <a:pPr marL="171450" indent="-171450">
            <a:buFont typeface="Arial" panose="020B0604020202020204" pitchFamily="34" charset="0"/>
            <a:buChar char="•"/>
          </a:pPr>
          <a:endParaRPr lang="en-US" sz="100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baseline="0">
              <a:latin typeface="Calibri" panose="020F0502020204030204" pitchFamily="34" charset="0"/>
              <a:cs typeface="Calibri" panose="020F0502020204030204" pitchFamily="34" charset="0"/>
            </a:rPr>
            <a:t>Consult with local jurisdiction and enter brief description of the requirements that this practice is intending to address [e.g. WQv, extended detention of CPv, release rate for larger storms to match natural (CN=??)].</a:t>
          </a:r>
        </a:p>
        <a:p>
          <a:pPr marL="171450" indent="-171450">
            <a:buFont typeface="Arial" panose="020B0604020202020204" pitchFamily="34" charset="0"/>
            <a:buChar char="•"/>
          </a:pPr>
          <a:endParaRPr lang="en-US" sz="100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baseline="0">
              <a:latin typeface="Calibri" panose="020F0502020204030204" pitchFamily="34" charset="0"/>
              <a:cs typeface="Calibri" panose="020F0502020204030204" pitchFamily="34" charset="0"/>
            </a:rPr>
            <a:t>For initial planning items and setback requirements, refer to </a:t>
          </a:r>
          <a:r>
            <a:rPr lang="en-US" sz="1000" baseline="0">
              <a:solidFill>
                <a:sysClr val="windowText" lastClr="000000"/>
              </a:solidFill>
              <a:latin typeface="Calibri" panose="020F0502020204030204" pitchFamily="34" charset="0"/>
              <a:cs typeface="Calibri" panose="020F0502020204030204" pitchFamily="34" charset="0"/>
            </a:rPr>
            <a:t>ISWMM Section 9.09-1 or 9.10-1, as applicable, </a:t>
          </a:r>
          <a:r>
            <a:rPr lang="en-US" sz="1000" baseline="0">
              <a:latin typeface="Calibri" panose="020F0502020204030204" pitchFamily="34" charset="0"/>
              <a:cs typeface="Calibri" panose="020F0502020204030204" pitchFamily="34" charset="0"/>
            </a:rPr>
            <a:t>for additional context.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28</xdr:row>
      <xdr:rowOff>9523</xdr:rowOff>
    </xdr:from>
    <xdr:to>
      <xdr:col>14</xdr:col>
      <xdr:colOff>28575</xdr:colOff>
      <xdr:row>60</xdr:row>
      <xdr:rowOff>135107</xdr:rowOff>
    </xdr:to>
    <xdr:sp macro="" textlink="">
      <xdr:nvSpPr>
        <xdr:cNvPr id="3" name="TextBox 2">
          <a:extLst>
            <a:ext uri="{FF2B5EF4-FFF2-40B4-BE49-F238E27FC236}">
              <a16:creationId xmlns:a16="http://schemas.microsoft.com/office/drawing/2014/main" id="{89F258C8-483E-46AA-9EFA-66FEECCDD232}"/>
            </a:ext>
          </a:extLst>
        </xdr:cNvPr>
        <xdr:cNvSpPr txBox="1"/>
      </xdr:nvSpPr>
      <xdr:spPr>
        <a:xfrm>
          <a:off x="6701277" y="3914097"/>
          <a:ext cx="3730489" cy="528664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sng">
              <a:latin typeface="Calibri" panose="020F0502020204030204" pitchFamily="34" charset="0"/>
              <a:cs typeface="Calibri" panose="020F0502020204030204" pitchFamily="34" charset="0"/>
            </a:rPr>
            <a:t>User Guidance for CL_2 (Design Summary) Tab:</a:t>
          </a:r>
        </a:p>
        <a:p>
          <a:endParaRPr lang="en-US" sz="105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latin typeface="Calibri" panose="020F0502020204030204" pitchFamily="34" charset="0"/>
              <a:cs typeface="Calibri" panose="020F0502020204030204" pitchFamily="34" charset="0"/>
            </a:rPr>
            <a:t>Answer (Y or N) if extended detention is being used to meet CPv requirements (cell F14).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latin typeface="Calibri" panose="020F0502020204030204" pitchFamily="34" charset="0"/>
              <a:cs typeface="Calibri" panose="020F0502020204030204" pitchFamily="34" charset="0"/>
            </a:rPr>
            <a:t>Note the WQv volume treated by other BMPs in the blue hatched box (cell F15). This will affect the required volume of pretreatment calculated in Step 4.</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Dry / Dry ED Detention Basin Metrics information will fill in or calculate automatically as long as subsequent spreadsheet tabs are completed.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pretreatment volume and high water elevation will automatically fill in with data from other tabs, unless a value is entered in the manual entry space above (if manually entered, the word MANUAL will appear on the checklist).</a:t>
          </a:r>
          <a:endParaRPr lang="en-US" sz="105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a:solidFill>
                <a:schemeClr val="dk1"/>
              </a:solidFill>
              <a:effectLst/>
              <a:latin typeface="Calibri" panose="020F0502020204030204" pitchFamily="34" charset="0"/>
              <a:ea typeface="+mn-ea"/>
              <a:cs typeface="Calibri" panose="020F0502020204030204" pitchFamily="34" charset="0"/>
            </a:rPr>
            <a:t>Complete Dry / Dry ED Detention Basin</a:t>
          </a:r>
          <a:r>
            <a:rPr lang="en-US" sz="1050" baseline="0">
              <a:solidFill>
                <a:schemeClr val="dk1"/>
              </a:solidFill>
              <a:effectLst/>
              <a:latin typeface="Calibri" panose="020F0502020204030204" pitchFamily="34" charset="0"/>
              <a:ea typeface="+mn-ea"/>
              <a:cs typeface="Calibri" panose="020F0502020204030204" pitchFamily="34" charset="0"/>
            </a:rPr>
            <a:t> Topography and Other Information on this sheet. Fill in light orange and gray shaded boxes.</a:t>
          </a: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baseline="0">
              <a:latin typeface="Calibri" panose="020F0502020204030204" pitchFamily="34" charset="0"/>
              <a:cs typeface="Calibri" panose="020F0502020204030204" pitchFamily="34" charset="0"/>
            </a:rPr>
            <a:t>If a "essential" or "target" criteria from ISWMM Section 9.09 or 9.10 (as applicable) is not met a red </a:t>
          </a:r>
          <a:r>
            <a:rPr lang="en-US" sz="1050" baseline="0">
              <a:solidFill>
                <a:srgbClr val="C00000"/>
              </a:solidFill>
              <a:latin typeface="Calibri" panose="020F0502020204030204" pitchFamily="34" charset="0"/>
              <a:cs typeface="Calibri" panose="020F0502020204030204" pitchFamily="34" charset="0"/>
            </a:rPr>
            <a:t>"!"</a:t>
          </a:r>
          <a:r>
            <a:rPr lang="en-US" sz="1050" baseline="0">
              <a:latin typeface="Calibri" panose="020F0502020204030204" pitchFamily="34" charset="0"/>
              <a:cs typeface="Calibri" panose="020F0502020204030204" pitchFamily="34" charset="0"/>
            </a:rPr>
            <a:t> will appear next to the criteria. If some of these parameters are not met, the stormwater management report should address why it is not feasible to meet these criteria, so that reviewers can decide if the design needs to be revised to meet such criteria. </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baseline="0">
              <a:latin typeface="Calibri" panose="020F0502020204030204" pitchFamily="34" charset="0"/>
              <a:cs typeface="Calibri" panose="020F0502020204030204" pitchFamily="34" charset="0"/>
            </a:rPr>
            <a:t>Local jurisdictions or grant funding sources may dictate at what stage in the design process items listed under "other information" need to be provided. </a:t>
          </a:r>
          <a:endParaRPr lang="en-US" sz="1050">
            <a:latin typeface="Calibri" panose="020F0502020204030204" pitchFamily="34" charset="0"/>
            <a:cs typeface="Calibri" panose="020F05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0</xdr:row>
      <xdr:rowOff>9525</xdr:rowOff>
    </xdr:from>
    <xdr:to>
      <xdr:col>19</xdr:col>
      <xdr:colOff>133350</xdr:colOff>
      <xdr:row>48</xdr:row>
      <xdr:rowOff>19050</xdr:rowOff>
    </xdr:to>
    <xdr:sp macro="" textlink="">
      <xdr:nvSpPr>
        <xdr:cNvPr id="2" name="TextBox 1">
          <a:extLst>
            <a:ext uri="{FF2B5EF4-FFF2-40B4-BE49-F238E27FC236}">
              <a16:creationId xmlns:a16="http://schemas.microsoft.com/office/drawing/2014/main" id="{446889F8-EFE6-426C-BA9B-04F305E2F778}"/>
            </a:ext>
          </a:extLst>
        </xdr:cNvPr>
        <xdr:cNvSpPr txBox="1"/>
      </xdr:nvSpPr>
      <xdr:spPr>
        <a:xfrm>
          <a:off x="8524875" y="9525"/>
          <a:ext cx="3676650" cy="81057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sng">
              <a:latin typeface="Calibri" panose="020F0502020204030204" pitchFamily="34" charset="0"/>
              <a:cs typeface="Calibri" panose="020F0502020204030204" pitchFamily="34" charset="0"/>
            </a:rPr>
            <a:t>User Guidance for DE_1 (Watershed Info) Tab:</a:t>
          </a:r>
        </a:p>
        <a:p>
          <a:endParaRPr lang="en-US" sz="1050" b="1" u="sng">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a:latin typeface="Calibri" panose="020F0502020204030204" pitchFamily="34" charset="0"/>
              <a:cs typeface="Calibri" panose="020F0502020204030204" pitchFamily="34" charset="0"/>
            </a:rPr>
            <a:t>Complete Watershed Properties (acres of each land use) for the area to be served by the practice in </a:t>
          </a:r>
          <a:r>
            <a:rPr lang="en-US" sz="1050" baseline="0">
              <a:latin typeface="Calibri" panose="020F0502020204030204" pitchFamily="34" charset="0"/>
              <a:cs typeface="Calibri" panose="020F0502020204030204" pitchFamily="34" charset="0"/>
            </a:rPr>
            <a:t>gray shaded boxes.</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latin typeface="Calibri" panose="020F0502020204030204" pitchFamily="34" charset="0"/>
              <a:cs typeface="Calibri" panose="020F0502020204030204" pitchFamily="34" charset="0"/>
            </a:rPr>
            <a:t>Note that for Natural Conditions, some jurisdictions may dictate what CNs may be assumed. In such a case, the natural CN may be entered manually in the space provided.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baseline="0">
              <a:latin typeface="Calibri" panose="020F0502020204030204" pitchFamily="34" charset="0"/>
              <a:cs typeface="Calibri" panose="020F0502020204030204" pitchFamily="34" charset="0"/>
            </a:rPr>
            <a:t>For Existing and Proposed Conditions, enter area of impervious cover, open space and row crop categories, based on local Hydrologic Soil Group (HSG) category. If data is entered for those parameters, the spreadsheet will calculate weighted CNs and WQv volume based on those properties. The values used by this program to calculate the weighted CNs for open space and row crop areas are listed to the right of the printable area. Refer to ISWMM for guidance on assumptions for open space soil quality (Sections 7.03, 9.09, 9.10 and 3.01). </a:t>
          </a:r>
          <a:r>
            <a:rPr lang="en-US" sz="1050" u="sng" baseline="0">
              <a:latin typeface="Calibri" panose="020F0502020204030204" pitchFamily="34" charset="0"/>
              <a:cs typeface="Calibri" panose="020F0502020204030204" pitchFamily="34" charset="0"/>
            </a:rPr>
            <a:t>Open spaces with less than 4" of SQR will be calculated as 50% impervious for the purposes of calculating WQv.</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Urban land uses should be divided into impervious and open space areas.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"Other areas" should only be used for surfaces that can't be described as impervious surfaces, open spaces or row crops. (For example, green roofs have unique curve numbers and may satisfy the WQv volume of the areas that drain to them.) When used, enter the CN to be used for these areas.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spreadsheet will not calculate the WQv volume for "Other areas", unless the box next to the </a:t>
          </a:r>
          <a:r>
            <a:rPr lang="en-US" sz="1050" baseline="0">
              <a:solidFill>
                <a:schemeClr val="dk1"/>
              </a:solidFill>
              <a:latin typeface="Calibri" panose="020F0502020204030204" pitchFamily="34" charset="0"/>
              <a:ea typeface="+mn-ea"/>
              <a:cs typeface="Calibri" panose="020F0502020204030204" pitchFamily="34" charset="0"/>
            </a:rPr>
            <a:t>"Other Areas Counted as Impervious for WQv calculation?" is entered as </a:t>
          </a:r>
          <a:r>
            <a:rPr lang="en-US" sz="1050" b="1" u="sng" baseline="0">
              <a:solidFill>
                <a:schemeClr val="dk1"/>
              </a:solidFill>
              <a:latin typeface="Calibri" panose="020F0502020204030204" pitchFamily="34" charset="0"/>
              <a:ea typeface="+mn-ea"/>
              <a:cs typeface="Calibri" panose="020F0502020204030204" pitchFamily="34" charset="0"/>
            </a:rPr>
            <a:t>"Y"</a:t>
          </a:r>
          <a:r>
            <a:rPr lang="en-US" sz="1050" b="0" u="none" baseline="0">
              <a:solidFill>
                <a:schemeClr val="dk1"/>
              </a:solidFill>
              <a:latin typeface="Calibri" panose="020F0502020204030204" pitchFamily="34" charset="0"/>
              <a:ea typeface="+mn-ea"/>
              <a:cs typeface="Calibri" panose="020F0502020204030204" pitchFamily="34" charset="0"/>
            </a:rPr>
            <a:t> (Cell E26 and E42).</a:t>
          </a:r>
          <a:r>
            <a:rPr lang="en-US" sz="1050" b="0" u="none" baseline="0">
              <a:solidFill>
                <a:schemeClr val="dk1"/>
              </a:solidFill>
              <a:effectLst/>
              <a:latin typeface="Calibri" panose="020F0502020204030204" pitchFamily="34" charset="0"/>
              <a:ea typeface="+mn-ea"/>
              <a:cs typeface="Calibri" panose="020F0502020204030204" pitchFamily="34" charset="0"/>
            </a:rPr>
            <a:t> </a:t>
          </a:r>
          <a:r>
            <a:rPr lang="en-US" sz="1050" baseline="0">
              <a:solidFill>
                <a:schemeClr val="dk1"/>
              </a:solidFill>
              <a:effectLst/>
              <a:latin typeface="Calibri" panose="020F0502020204030204" pitchFamily="34" charset="0"/>
              <a:ea typeface="+mn-ea"/>
              <a:cs typeface="Calibri" panose="020F0502020204030204" pitchFamily="34" charset="0"/>
            </a:rPr>
            <a:t>If </a:t>
          </a:r>
          <a:r>
            <a:rPr lang="en-US" sz="1050" b="1" u="sng" baseline="0">
              <a:solidFill>
                <a:schemeClr val="dk1"/>
              </a:solidFill>
              <a:effectLst/>
              <a:latin typeface="Calibri" panose="020F0502020204030204" pitchFamily="34" charset="0"/>
              <a:ea typeface="+mn-ea"/>
              <a:cs typeface="Calibri" panose="020F0502020204030204" pitchFamily="34" charset="0"/>
            </a:rPr>
            <a:t>"Y"</a:t>
          </a:r>
          <a:r>
            <a:rPr lang="en-US" sz="1050" baseline="0">
              <a:solidFill>
                <a:schemeClr val="dk1"/>
              </a:solidFill>
              <a:effectLst/>
              <a:latin typeface="Calibri" panose="020F0502020204030204" pitchFamily="34" charset="0"/>
              <a:ea typeface="+mn-ea"/>
              <a:cs typeface="Calibri" panose="020F0502020204030204" pitchFamily="34" charset="0"/>
            </a:rPr>
            <a:t> is entered, the spreadsheet will treat such areas as 100% impervious.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WQv volume for "Other areas" may also be manually entered to the right of either the "Existing" or "Proposed" watershed data entry area, as applicable (provide separate documentation). When used, enter </a:t>
          </a:r>
          <a:r>
            <a:rPr lang="en-US" sz="1050" b="1" u="sng" baseline="0">
              <a:solidFill>
                <a:schemeClr val="dk1"/>
              </a:solidFill>
              <a:effectLst/>
              <a:latin typeface="Calibri" panose="020F0502020204030204" pitchFamily="34" charset="0"/>
              <a:ea typeface="+mn-ea"/>
              <a:cs typeface="Calibri" panose="020F0502020204030204" pitchFamily="34" charset="0"/>
            </a:rPr>
            <a:t>"N"</a:t>
          </a:r>
          <a:r>
            <a:rPr lang="en-US" sz="1050" baseline="0">
              <a:solidFill>
                <a:schemeClr val="dk1"/>
              </a:solidFill>
              <a:effectLst/>
              <a:latin typeface="Calibri" panose="020F0502020204030204" pitchFamily="34" charset="0"/>
              <a:ea typeface="+mn-ea"/>
              <a:cs typeface="Calibri" panose="020F0502020204030204" pitchFamily="34" charset="0"/>
            </a:rPr>
            <a:t> in the  box next to the "Other Areas Counted as Impervious for WQv calculation?" If data is manually entered, the word MANUAL will appear on the checklist.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If data is entered correctly, the green, yellow and orange shaded boxes will calculate automatically, noting the total watershed area, impervious cover, WQv volume and CNs (both standard and adjusted WQv event value).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0</xdr:row>
      <xdr:rowOff>0</xdr:rowOff>
    </xdr:from>
    <xdr:to>
      <xdr:col>17</xdr:col>
      <xdr:colOff>133350</xdr:colOff>
      <xdr:row>53</xdr:row>
      <xdr:rowOff>104775</xdr:rowOff>
    </xdr:to>
    <xdr:sp macro="" textlink="">
      <xdr:nvSpPr>
        <xdr:cNvPr id="2" name="TextBox 1">
          <a:extLst>
            <a:ext uri="{FF2B5EF4-FFF2-40B4-BE49-F238E27FC236}">
              <a16:creationId xmlns:a16="http://schemas.microsoft.com/office/drawing/2014/main" id="{04D16C3D-1156-45FE-821D-2163423C08DD}"/>
            </a:ext>
          </a:extLst>
        </xdr:cNvPr>
        <xdr:cNvSpPr txBox="1"/>
      </xdr:nvSpPr>
      <xdr:spPr>
        <a:xfrm>
          <a:off x="7934325" y="0"/>
          <a:ext cx="3676650" cy="84296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sng">
              <a:latin typeface="Calibri" panose="020F0502020204030204" pitchFamily="34" charset="0"/>
              <a:cs typeface="Calibri" panose="020F0502020204030204" pitchFamily="34" charset="0"/>
            </a:rPr>
            <a:t>User Guidance for</a:t>
          </a:r>
          <a:r>
            <a:rPr lang="en-US" sz="1050" b="1" u="sng" baseline="0">
              <a:latin typeface="Calibri" panose="020F0502020204030204" pitchFamily="34" charset="0"/>
              <a:cs typeface="Calibri" panose="020F0502020204030204" pitchFamily="34" charset="0"/>
            </a:rPr>
            <a:t> Step 3 (Hydrology) Tab</a:t>
          </a:r>
          <a:r>
            <a:rPr lang="en-US" sz="1050" b="1" u="sng">
              <a:latin typeface="Calibri" panose="020F0502020204030204" pitchFamily="34" charset="0"/>
              <a:cs typeface="Calibri" panose="020F0502020204030204" pitchFamily="34" charset="0"/>
            </a:rPr>
            <a:t>:</a:t>
          </a:r>
        </a:p>
        <a:p>
          <a:endParaRPr lang="en-US" sz="105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Enter the rainfall data used for the model, in the blue fields.</a:t>
          </a:r>
          <a:endParaRPr lang="en-US" sz="105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endParaRPr lang="en-US" sz="105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a:latin typeface="Calibri" panose="020F0502020204030204" pitchFamily="34" charset="0"/>
              <a:cs typeface="Calibri" panose="020F0502020204030204" pitchFamily="34" charset="0"/>
            </a:rPr>
            <a:t>After a hydrologic</a:t>
          </a:r>
          <a:r>
            <a:rPr lang="en-US" sz="1050" baseline="0">
              <a:latin typeface="Calibri" panose="020F0502020204030204" pitchFamily="34" charset="0"/>
              <a:cs typeface="Calibri" panose="020F0502020204030204" pitchFamily="34" charset="0"/>
            </a:rPr>
            <a:t> models of the natural, existing and developed conditions have been created, enter the runoff peak rate and volume for the various storm events in the appropriate cells within the colored spaces within the table. Typically this will be output from a software program running a TR-55 model simulation.</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latin typeface="Calibri" panose="020F0502020204030204" pitchFamily="34" charset="0"/>
              <a:cs typeface="Calibri" panose="020F0502020204030204" pitchFamily="34" charset="0"/>
            </a:rPr>
            <a:t>The flow data input into these cells should be the total flows entering the stormwater management practice.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After the flow data has been entered, the unit peak discharge value (qu) for the CPv event should calculate automatically. When the practice is intended to provide extended detention of the CPv event, u</a:t>
          </a:r>
          <a:r>
            <a:rPr lang="en-US" sz="1050" baseline="0">
              <a:solidFill>
                <a:sysClr val="windowText" lastClr="000000"/>
              </a:solidFill>
              <a:effectLst/>
              <a:latin typeface="Calibri" panose="020F0502020204030204" pitchFamily="34" charset="0"/>
              <a:ea typeface="+mn-ea"/>
              <a:cs typeface="Calibri" panose="020F0502020204030204" pitchFamily="34" charset="0"/>
            </a:rPr>
            <a:t>se the calculated value of (qu) when referring to the graph of (qu) vs (qo/qi) in the Small Storm Hydrology section of ISWMM to determi</a:t>
          </a:r>
          <a:r>
            <a:rPr lang="en-US" sz="1050" baseline="0">
              <a:solidFill>
                <a:schemeClr val="dk1"/>
              </a:solidFill>
              <a:effectLst/>
              <a:latin typeface="Calibri" panose="020F0502020204030204" pitchFamily="34" charset="0"/>
              <a:ea typeface="+mn-ea"/>
              <a:cs typeface="Calibri" panose="020F0502020204030204" pitchFamily="34" charset="0"/>
            </a:rPr>
            <a:t>ne the allowable outflow to inflow ratio (qo/qi) to provide for extended detention, using a desired 24-hour drawdown period (example shown below the data entry sheet).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Entering the appropriate (qo/qi) ratio in Cell E30 will allow the spreadsheet to solve for the maximum allowable release rate for extended detention (qo).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final routing model will need to demonstrate that the allowable release rate for CPv (Cell E31) is not exceeded when extended detention of that event is proposed.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Once all data has been entered in the shaded fields, estimates of storage volume will be calculated automatically. Note that these are not the final storage volumes required, but are intended to give designers preliminary estimates of how much storage will be needed, so that information can be used in planning and design of the practice.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default outflow rates used for storage estimation for CPv are based on the (qo) for extended detention. For larger storms, the default release rates are based on the smaller value of: (1) the peak "natural" release rate for the same storm event and (2) the peak "existing" release rate for the 5-year storm event.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If local requirements or site characteristics require a different release rate to be used, it may be entered manually for each event to the right of the calculation table. (If allowable release rates are manually entered, the word MANUAL will appear on the checklist).</a:t>
          </a:r>
          <a:endParaRPr lang="en-US" sz="105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twoCellAnchor editAs="oneCell">
    <xdr:from>
      <xdr:col>0</xdr:col>
      <xdr:colOff>85724</xdr:colOff>
      <xdr:row>50</xdr:row>
      <xdr:rowOff>66674</xdr:rowOff>
    </xdr:from>
    <xdr:to>
      <xdr:col>8</xdr:col>
      <xdr:colOff>9524</xdr:colOff>
      <xdr:row>75</xdr:row>
      <xdr:rowOff>125376</xdr:rowOff>
    </xdr:to>
    <xdr:pic>
      <xdr:nvPicPr>
        <xdr:cNvPr id="3" name="Picture 2">
          <a:extLst>
            <a:ext uri="{FF2B5EF4-FFF2-40B4-BE49-F238E27FC236}">
              <a16:creationId xmlns:a16="http://schemas.microsoft.com/office/drawing/2014/main" id="{2394C270-8813-4588-954B-D496BF80CFB0}"/>
            </a:ext>
          </a:extLst>
        </xdr:cNvPr>
        <xdr:cNvPicPr>
          <a:picLocks noChangeAspect="1"/>
        </xdr:cNvPicPr>
      </xdr:nvPicPr>
      <xdr:blipFill>
        <a:blip xmlns:r="http://schemas.openxmlformats.org/officeDocument/2006/relationships" r:embed="rId1"/>
        <a:stretch>
          <a:fillRect/>
        </a:stretch>
      </xdr:blipFill>
      <xdr:spPr>
        <a:xfrm>
          <a:off x="85724" y="7705724"/>
          <a:ext cx="5648325" cy="41068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581025</xdr:colOff>
      <xdr:row>8</xdr:row>
      <xdr:rowOff>180975</xdr:rowOff>
    </xdr:from>
    <xdr:to>
      <xdr:col>11</xdr:col>
      <xdr:colOff>76200</xdr:colOff>
      <xdr:row>39</xdr:row>
      <xdr:rowOff>66675</xdr:rowOff>
    </xdr:to>
    <xdr:sp macro="" textlink="">
      <xdr:nvSpPr>
        <xdr:cNvPr id="2" name="TextBox 1">
          <a:extLst>
            <a:ext uri="{FF2B5EF4-FFF2-40B4-BE49-F238E27FC236}">
              <a16:creationId xmlns:a16="http://schemas.microsoft.com/office/drawing/2014/main" id="{E0018C69-8D11-4BF6-B271-47E56B6A310A}"/>
            </a:ext>
          </a:extLst>
        </xdr:cNvPr>
        <xdr:cNvSpPr txBox="1"/>
      </xdr:nvSpPr>
      <xdr:spPr>
        <a:xfrm>
          <a:off x="6724650" y="1619250"/>
          <a:ext cx="3676650" cy="5638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sng">
              <a:latin typeface="Calibri" panose="020F0502020204030204" pitchFamily="34" charset="0"/>
              <a:cs typeface="Calibri" panose="020F0502020204030204" pitchFamily="34" charset="0"/>
            </a:rPr>
            <a:t>User Guidance for</a:t>
          </a:r>
          <a:r>
            <a:rPr lang="en-US" sz="1050" b="1" u="sng" baseline="0">
              <a:latin typeface="Calibri" panose="020F0502020204030204" pitchFamily="34" charset="0"/>
              <a:cs typeface="Calibri" panose="020F0502020204030204" pitchFamily="34" charset="0"/>
            </a:rPr>
            <a:t> Step 4 (Pretreatment) Tab</a:t>
          </a:r>
          <a:r>
            <a:rPr lang="en-US" sz="1050" b="1" u="sng">
              <a:latin typeface="Calibri" panose="020F0502020204030204" pitchFamily="34" charset="0"/>
              <a:cs typeface="Calibri" panose="020F0502020204030204" pitchFamily="34" charset="0"/>
            </a:rPr>
            <a:t>:</a:t>
          </a:r>
        </a:p>
        <a:p>
          <a:endParaRPr lang="en-US" sz="105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required WQv and pretreatment volumes will be calculated by the spreadsheet, based on data entered on previous tabs. The value will adjust if data is entered on Tab CL_2 regarding upstream practices treating WQv volumes. Data may also be entered for WQv or pretreatment in the cells above. (If values are manually entered, the word MANUAL will appear on the checklist). If data is entered manually, provide separate documentation of how these values were calculated.</a:t>
          </a:r>
          <a:endParaRPr lang="en-US" sz="105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Enter the volume of any other pretreatment practices employed beyond the three forebays that would fit on this sheet (Cell B9).  Enter a short description of those practices in the spaces provided, if applicable. Provide separate documentation of how the pretreatment volumes for such practices were calculated.</a:t>
          </a:r>
          <a:endParaRPr lang="en-US" sz="105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endParaRPr lang="en-US" sz="105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a:latin typeface="Calibri" panose="020F0502020204030204" pitchFamily="34" charset="0"/>
              <a:cs typeface="Calibri" panose="020F0502020204030204" pitchFamily="34" charset="0"/>
            </a:rPr>
            <a:t>For each forebay, enter the normal pool elevation and the stage-storage information.  Data should</a:t>
          </a:r>
          <a:r>
            <a:rPr lang="en-US" sz="1050" baseline="0">
              <a:latin typeface="Calibri" panose="020F0502020204030204" pitchFamily="34" charset="0"/>
              <a:cs typeface="Calibri" panose="020F0502020204030204" pitchFamily="34" charset="0"/>
            </a:rPr>
            <a:t> be entered at increments not exceeding 1.0 feet to the deepest elevation of the forebay (total depth not exceeding 4.0 feet).</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latin typeface="Calibri" panose="020F0502020204030204" pitchFamily="34" charset="0"/>
              <a:cs typeface="Calibri" panose="020F0502020204030204" pitchFamily="34" charset="0"/>
            </a:rPr>
            <a:t>If data is entered in a cell within the "Depth Below Pool" column, make sure data is entered in the "Contour Area" column within the same row.</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spreadsheet will calculate the total pretreatment volume provided at the bottom of this sheet.  Forebay storage may also be entered manually in the cell below.  (If a value is manually entered, the word MANUAL will appear on the checklist). If data is entered manually, provide separate documentation of how these values were calculated.</a:t>
          </a:r>
          <a:endParaRPr lang="en-US" sz="105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581024</xdr:colOff>
      <xdr:row>7</xdr:row>
      <xdr:rowOff>142873</xdr:rowOff>
    </xdr:from>
    <xdr:to>
      <xdr:col>16</xdr:col>
      <xdr:colOff>200026</xdr:colOff>
      <xdr:row>26</xdr:row>
      <xdr:rowOff>123825</xdr:rowOff>
    </xdr:to>
    <xdr:sp macro="" textlink="">
      <xdr:nvSpPr>
        <xdr:cNvPr id="2" name="TextBox 1">
          <a:extLst>
            <a:ext uri="{FF2B5EF4-FFF2-40B4-BE49-F238E27FC236}">
              <a16:creationId xmlns:a16="http://schemas.microsoft.com/office/drawing/2014/main" id="{EB877471-C944-4986-8800-E526304141CB}"/>
            </a:ext>
          </a:extLst>
        </xdr:cNvPr>
        <xdr:cNvSpPr txBox="1"/>
      </xdr:nvSpPr>
      <xdr:spPr>
        <a:xfrm>
          <a:off x="7886699" y="1219198"/>
          <a:ext cx="4533902" cy="287655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Calibri" panose="020F0502020204030204" pitchFamily="34" charset="0"/>
              <a:cs typeface="Calibri" panose="020F0502020204030204" pitchFamily="34" charset="0"/>
            </a:rPr>
            <a:t>User Guidance for</a:t>
          </a:r>
          <a:r>
            <a:rPr lang="en-US" sz="1100" b="1" u="sng" baseline="0">
              <a:latin typeface="Calibri" panose="020F0502020204030204" pitchFamily="34" charset="0"/>
              <a:cs typeface="Calibri" panose="020F0502020204030204" pitchFamily="34" charset="0"/>
            </a:rPr>
            <a:t> Step 5-7 (Final Storage Volumes) Tab</a:t>
          </a:r>
          <a:r>
            <a:rPr lang="en-US" sz="1100" b="1" u="sng">
              <a:latin typeface="Calibri" panose="020F0502020204030204" pitchFamily="34" charset="0"/>
              <a:cs typeface="Calibri" panose="020F0502020204030204" pitchFamily="34" charset="0"/>
            </a:rPr>
            <a:t>:</a:t>
          </a:r>
        </a:p>
        <a:p>
          <a:endParaRPr lang="en-US" sz="110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The required WQv and pretreatment volumes will fill in if related cells on Tabs DE_1 and Step 3 are completed.  Data may also be entered manually above.             (If values are manually entered, the word MANUAL will appear on the checklist).          If data is entered manually, provide separate documentation of how these values were calculated.</a:t>
          </a:r>
          <a:endParaRPr lang="en-US" sz="11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Enter the lowest surface elevation within the basin in cell G5.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latin typeface="Calibri" panose="020F0502020204030204" pitchFamily="34" charset="0"/>
              <a:cs typeface="Calibri" panose="020F0502020204030204" pitchFamily="34" charset="0"/>
            </a:rPr>
            <a:t>Contour area information for "live" storage should be entered in the Temporary Storage table. Enter data at intervals as needed, up to at least the crest of the dam.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The spreadsheet will calculate storage volumes and metrics once data is entered. Storage is computed using the average end area method.</a:t>
          </a: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209550</xdr:colOff>
      <xdr:row>0</xdr:row>
      <xdr:rowOff>9525</xdr:rowOff>
    </xdr:from>
    <xdr:to>
      <xdr:col>14</xdr:col>
      <xdr:colOff>0</xdr:colOff>
      <xdr:row>28</xdr:row>
      <xdr:rowOff>57150</xdr:rowOff>
    </xdr:to>
    <xdr:sp macro="" textlink="">
      <xdr:nvSpPr>
        <xdr:cNvPr id="2" name="TextBox 1">
          <a:extLst>
            <a:ext uri="{FF2B5EF4-FFF2-40B4-BE49-F238E27FC236}">
              <a16:creationId xmlns:a16="http://schemas.microsoft.com/office/drawing/2014/main" id="{446EF831-B206-4123-B825-CAA5F838C3D0}"/>
            </a:ext>
          </a:extLst>
        </xdr:cNvPr>
        <xdr:cNvSpPr txBox="1"/>
      </xdr:nvSpPr>
      <xdr:spPr>
        <a:xfrm>
          <a:off x="6800850" y="9525"/>
          <a:ext cx="4019550" cy="48006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sng">
              <a:latin typeface="Calibri" panose="020F0502020204030204" pitchFamily="34" charset="0"/>
              <a:cs typeface="Calibri" panose="020F0502020204030204" pitchFamily="34" charset="0"/>
            </a:rPr>
            <a:t>User Guidance for</a:t>
          </a:r>
          <a:r>
            <a:rPr lang="en-US" sz="1050" b="1" u="sng" baseline="0">
              <a:latin typeface="Calibri" panose="020F0502020204030204" pitchFamily="34" charset="0"/>
              <a:cs typeface="Calibri" panose="020F0502020204030204" pitchFamily="34" charset="0"/>
            </a:rPr>
            <a:t> Step 9 (Results) Tab</a:t>
          </a:r>
          <a:r>
            <a:rPr lang="en-US" sz="1050" b="1" u="sng">
              <a:latin typeface="Calibri" panose="020F0502020204030204" pitchFamily="34" charset="0"/>
              <a:cs typeface="Calibri" panose="020F0502020204030204" pitchFamily="34" charset="0"/>
            </a:rPr>
            <a:t>:</a:t>
          </a:r>
        </a:p>
        <a:p>
          <a:endParaRPr lang="en-US" sz="105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After a stage-storage-discharge routing model for the detention basin has been created, enter the relevant data from the model output in the tables on this sheet. Entering data here will complete report cells on Tab CL_2.</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Data for the CPv event does not need to be entered if extended detention of this event is not a requirement for this practice.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Enter expected peak outflow rates from the practice calculated by the routing model for the various storm events in Cells C14 to C20.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Enter the expected high water elevations within the practice calculated by the routing model for the various storm events in Cells D14 to D20. High water elevation should be based on the same datum used to fill out the lowest surface elevation of the basin in Cell G5 on the Step 5-7 Tab.</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Enter the maximum "live" storage within the basin calculated by the routing model for the various storm events in Cells E14 to E20.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Enter the delay in time between the peak inflow rate to the practice and the peak outflow rate from the practice, based on output data from the routing model in Cells C28 to C34.</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spreadsheet will calculate various metrics based on the data entered. These will quantify the peak volume of water stored, note the delay in peak flows and demonstrate the reduction in flow rates due to the practice.</a:t>
          </a:r>
          <a:endParaRPr lang="en-US" sz="105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2">
      <a:majorFont>
        <a:latin typeface="Arial Narrow"/>
        <a:ea typeface=""/>
        <a:cs typeface=""/>
      </a:majorFont>
      <a:minorFont>
        <a:latin typeface="Arial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D45E0-2D2A-4804-9248-8129CC56FAE1}">
  <sheetPr>
    <tabColor rgb="FFFF0000"/>
    <pageSetUpPr fitToPage="1"/>
  </sheetPr>
  <dimension ref="A1:K68"/>
  <sheetViews>
    <sheetView tabSelected="1" view="pageBreakPreview" zoomScaleNormal="100" zoomScaleSheetLayoutView="100" workbookViewId="0">
      <selection activeCell="K38" sqref="K38"/>
    </sheetView>
  </sheetViews>
  <sheetFormatPr defaultColWidth="8.85546875" defaultRowHeight="12" x14ac:dyDescent="0.2"/>
  <cols>
    <col min="1" max="3" width="8.85546875" style="10"/>
    <col min="4" max="4" width="10" style="10" customWidth="1"/>
    <col min="5" max="16384" width="8.85546875" style="10"/>
  </cols>
  <sheetData>
    <row r="1" spans="1:10" s="1" customFormat="1" ht="12.75" x14ac:dyDescent="0.2">
      <c r="A1" s="264" t="s">
        <v>262</v>
      </c>
      <c r="B1" s="264"/>
      <c r="C1" s="264"/>
      <c r="D1" s="264"/>
      <c r="E1" s="264"/>
      <c r="F1" s="264"/>
      <c r="G1" s="264"/>
      <c r="H1" s="264"/>
      <c r="I1" s="264"/>
    </row>
    <row r="2" spans="1:10" s="1" customFormat="1" ht="12.75" x14ac:dyDescent="0.2">
      <c r="A2" s="265"/>
      <c r="B2" s="265"/>
      <c r="C2" s="265"/>
      <c r="D2" s="265"/>
      <c r="E2" s="265"/>
      <c r="F2" s="265"/>
      <c r="G2" s="265"/>
      <c r="H2" s="265"/>
      <c r="I2" s="265"/>
    </row>
    <row r="3" spans="1:10" s="5" customFormat="1" x14ac:dyDescent="0.2">
      <c r="A3" s="2"/>
      <c r="B3" s="3"/>
      <c r="C3" s="4"/>
      <c r="D3" s="4"/>
      <c r="E3" s="4"/>
      <c r="F3" s="4"/>
      <c r="G3" s="4"/>
      <c r="H3" s="4"/>
      <c r="I3" s="4"/>
      <c r="J3" s="2"/>
    </row>
    <row r="4" spans="1:10" s="2" customFormat="1" ht="3.6" customHeight="1" x14ac:dyDescent="0.2">
      <c r="B4" s="3"/>
      <c r="C4" s="6"/>
      <c r="D4" s="6"/>
      <c r="E4" s="6"/>
      <c r="F4" s="6"/>
      <c r="G4" s="6"/>
      <c r="H4" s="6"/>
      <c r="I4" s="6"/>
    </row>
    <row r="5" spans="1:10" x14ac:dyDescent="0.2">
      <c r="A5" s="7"/>
      <c r="B5" s="7"/>
      <c r="C5" s="4"/>
      <c r="D5" s="4"/>
      <c r="E5" s="4"/>
      <c r="F5" s="3"/>
      <c r="G5" s="8"/>
      <c r="H5" s="4"/>
      <c r="I5" s="4"/>
      <c r="J5" s="9"/>
    </row>
    <row r="6" spans="1:10" s="9" customFormat="1" ht="3" customHeight="1" x14ac:dyDescent="0.2">
      <c r="A6" s="3"/>
      <c r="B6" s="3"/>
      <c r="C6" s="6"/>
      <c r="D6" s="6"/>
      <c r="E6" s="6"/>
      <c r="F6" s="3"/>
      <c r="G6" s="6"/>
      <c r="H6" s="6"/>
      <c r="I6" s="6"/>
    </row>
    <row r="7" spans="1:10" x14ac:dyDescent="0.2">
      <c r="A7" s="7"/>
      <c r="B7" s="7"/>
      <c r="C7" s="4"/>
      <c r="D7" s="4"/>
      <c r="E7" s="4"/>
      <c r="F7" s="3"/>
      <c r="G7" s="4"/>
      <c r="H7" s="4"/>
      <c r="I7" s="4"/>
      <c r="J7" s="9"/>
    </row>
    <row r="8" spans="1:10" s="9" customFormat="1" ht="3.6" customHeight="1" x14ac:dyDescent="0.2">
      <c r="A8" s="3"/>
      <c r="B8" s="3"/>
      <c r="C8" s="6"/>
      <c r="D8" s="6"/>
      <c r="E8" s="6"/>
      <c r="F8" s="3"/>
      <c r="G8" s="6"/>
      <c r="H8" s="6"/>
      <c r="I8" s="6"/>
    </row>
    <row r="9" spans="1:10" x14ac:dyDescent="0.2">
      <c r="A9" s="7"/>
      <c r="B9" s="7"/>
      <c r="C9" s="7"/>
      <c r="D9" s="7"/>
      <c r="E9" s="7"/>
      <c r="F9" s="7"/>
      <c r="G9" s="7"/>
      <c r="H9" s="7"/>
      <c r="I9" s="7"/>
      <c r="J9" s="7"/>
    </row>
    <row r="10" spans="1:10" ht="3.6" customHeight="1" x14ac:dyDescent="0.2">
      <c r="A10" s="9"/>
      <c r="B10" s="9"/>
      <c r="C10" s="9"/>
      <c r="D10" s="9"/>
      <c r="E10" s="9"/>
      <c r="F10" s="9"/>
      <c r="G10" s="9"/>
      <c r="H10" s="9"/>
      <c r="I10" s="9"/>
      <c r="J10" s="9"/>
    </row>
    <row r="11" spans="1:10" x14ac:dyDescent="0.2">
      <c r="A11" s="11"/>
      <c r="B11" s="9"/>
      <c r="C11" s="9"/>
      <c r="D11" s="9"/>
      <c r="E11" s="9"/>
      <c r="F11" s="9"/>
      <c r="G11" s="9"/>
      <c r="H11" s="9"/>
      <c r="I11" s="9"/>
      <c r="J11" s="9"/>
    </row>
    <row r="12" spans="1:10" x14ac:dyDescent="0.2">
      <c r="A12" s="9"/>
      <c r="B12" s="9"/>
      <c r="C12" s="9"/>
      <c r="D12" s="9"/>
      <c r="E12" s="9"/>
      <c r="F12" s="9"/>
      <c r="G12" s="9"/>
      <c r="H12" s="9"/>
      <c r="I12" s="9"/>
      <c r="J12" s="9"/>
    </row>
    <row r="13" spans="1:10" x14ac:dyDescent="0.2">
      <c r="A13" s="9"/>
      <c r="B13" s="9"/>
      <c r="C13" s="9"/>
      <c r="D13" s="2"/>
      <c r="E13" s="12"/>
      <c r="F13" s="9"/>
      <c r="G13" s="9"/>
      <c r="H13" s="9"/>
      <c r="I13" s="9"/>
      <c r="J13" s="9"/>
    </row>
    <row r="14" spans="1:10" x14ac:dyDescent="0.2">
      <c r="A14" s="9"/>
      <c r="B14" s="9"/>
      <c r="C14" s="9"/>
      <c r="D14" s="9"/>
      <c r="E14" s="12"/>
      <c r="F14" s="9"/>
      <c r="G14" s="9"/>
      <c r="H14" s="9"/>
      <c r="I14" s="9"/>
      <c r="J14" s="9"/>
    </row>
    <row r="15" spans="1:10" s="9" customFormat="1" ht="3.6" customHeight="1" x14ac:dyDescent="0.2">
      <c r="E15" s="12"/>
    </row>
    <row r="16" spans="1:10" x14ac:dyDescent="0.2">
      <c r="A16" s="9"/>
      <c r="B16" s="9"/>
      <c r="C16" s="9"/>
      <c r="D16" s="9"/>
      <c r="E16" s="9"/>
      <c r="F16" s="12"/>
      <c r="G16" s="9"/>
      <c r="H16" s="9"/>
      <c r="I16" s="9"/>
      <c r="J16" s="9"/>
    </row>
    <row r="17" spans="1:10" x14ac:dyDescent="0.2">
      <c r="A17" s="9"/>
      <c r="B17" s="9"/>
      <c r="C17" s="9"/>
      <c r="D17" s="9"/>
      <c r="E17" s="9"/>
      <c r="F17" s="9"/>
      <c r="G17" s="9"/>
      <c r="H17" s="9"/>
      <c r="I17" s="9"/>
      <c r="J17" s="9"/>
    </row>
    <row r="18" spans="1:10" x14ac:dyDescent="0.2">
      <c r="A18" s="9"/>
      <c r="B18" s="9"/>
      <c r="C18" s="9"/>
      <c r="D18" s="2"/>
      <c r="E18" s="12"/>
      <c r="F18" s="2"/>
      <c r="G18" s="12"/>
      <c r="H18" s="13"/>
      <c r="I18" s="13"/>
      <c r="J18" s="9"/>
    </row>
    <row r="19" spans="1:10" x14ac:dyDescent="0.2">
      <c r="A19" s="9"/>
      <c r="B19" s="9"/>
      <c r="C19" s="9"/>
      <c r="D19" s="2"/>
      <c r="E19" s="12"/>
      <c r="F19" s="2"/>
      <c r="G19" s="12"/>
      <c r="H19" s="13"/>
      <c r="I19" s="13"/>
      <c r="J19" s="9"/>
    </row>
    <row r="20" spans="1:10" x14ac:dyDescent="0.2">
      <c r="A20" s="9"/>
      <c r="B20" s="9"/>
      <c r="C20" s="9"/>
      <c r="D20" s="9"/>
      <c r="E20" s="9"/>
      <c r="F20" s="9"/>
      <c r="G20" s="9"/>
      <c r="H20" s="9"/>
      <c r="I20" s="9"/>
      <c r="J20" s="9"/>
    </row>
    <row r="21" spans="1:10" x14ac:dyDescent="0.2">
      <c r="A21" s="9"/>
      <c r="B21" s="9"/>
      <c r="C21" s="9"/>
      <c r="D21" s="9"/>
      <c r="E21" s="9"/>
      <c r="F21" s="9"/>
      <c r="G21" s="9"/>
      <c r="H21" s="9"/>
      <c r="I21" s="9"/>
      <c r="J21" s="9"/>
    </row>
    <row r="22" spans="1:10" x14ac:dyDescent="0.2">
      <c r="A22" s="4"/>
      <c r="B22" s="4"/>
      <c r="C22" s="4"/>
      <c r="D22" s="4"/>
      <c r="E22" s="4"/>
      <c r="F22" s="4"/>
      <c r="G22" s="4"/>
      <c r="H22" s="4"/>
      <c r="I22" s="4"/>
      <c r="J22" s="4"/>
    </row>
    <row r="23" spans="1:10" x14ac:dyDescent="0.2">
      <c r="A23" s="9"/>
      <c r="B23" s="9"/>
      <c r="C23" s="9"/>
      <c r="D23" s="9"/>
      <c r="E23" s="9"/>
      <c r="F23" s="9"/>
      <c r="G23" s="9"/>
      <c r="H23" s="9"/>
      <c r="I23" s="9"/>
      <c r="J23" s="9"/>
    </row>
    <row r="24" spans="1:10" x14ac:dyDescent="0.2">
      <c r="A24" s="9"/>
      <c r="B24" s="9"/>
      <c r="C24" s="9"/>
      <c r="D24" s="2"/>
      <c r="E24" s="12"/>
      <c r="F24" s="9"/>
      <c r="G24" s="2"/>
      <c r="H24" s="12"/>
      <c r="I24" s="9"/>
      <c r="J24" s="9"/>
    </row>
    <row r="25" spans="1:10" x14ac:dyDescent="0.2">
      <c r="A25" s="9"/>
      <c r="B25" s="9"/>
      <c r="C25" s="9"/>
      <c r="D25" s="2"/>
      <c r="E25" s="12"/>
      <c r="F25" s="9"/>
      <c r="G25" s="2"/>
      <c r="H25" s="12"/>
      <c r="I25" s="9"/>
      <c r="J25" s="9"/>
    </row>
    <row r="26" spans="1:10" s="9" customFormat="1" ht="3" customHeight="1" x14ac:dyDescent="0.2">
      <c r="D26" s="2"/>
      <c r="E26" s="12"/>
      <c r="G26" s="2"/>
      <c r="H26" s="12"/>
    </row>
    <row r="27" spans="1:10" x14ac:dyDescent="0.2">
      <c r="A27" s="9"/>
      <c r="B27" s="9"/>
      <c r="C27" s="4"/>
      <c r="D27" s="4"/>
      <c r="E27" s="4"/>
      <c r="F27" s="4"/>
      <c r="G27" s="4"/>
      <c r="H27" s="4"/>
      <c r="I27" s="4"/>
      <c r="J27" s="4"/>
    </row>
    <row r="28" spans="1:10" x14ac:dyDescent="0.2">
      <c r="A28" s="9"/>
      <c r="B28" s="9"/>
      <c r="C28" s="9"/>
      <c r="D28" s="9"/>
      <c r="E28" s="9"/>
      <c r="F28" s="9"/>
      <c r="G28" s="9"/>
      <c r="H28" s="9"/>
      <c r="I28" s="9"/>
      <c r="J28" s="9"/>
    </row>
    <row r="29" spans="1:10" x14ac:dyDescent="0.2">
      <c r="A29" s="9"/>
      <c r="B29" s="9"/>
      <c r="C29" s="12"/>
      <c r="D29" s="9"/>
      <c r="E29" s="9"/>
      <c r="F29" s="9"/>
      <c r="G29" s="9"/>
      <c r="H29" s="9"/>
      <c r="I29" s="9"/>
      <c r="J29" s="9"/>
    </row>
    <row r="30" spans="1:10" x14ac:dyDescent="0.2">
      <c r="A30" s="9"/>
      <c r="B30" s="9"/>
      <c r="C30" s="9"/>
      <c r="D30" s="9"/>
      <c r="E30" s="9"/>
      <c r="F30" s="9"/>
      <c r="G30" s="9"/>
      <c r="H30" s="9"/>
      <c r="I30" s="9"/>
      <c r="J30" s="9"/>
    </row>
    <row r="31" spans="1:10" x14ac:dyDescent="0.2">
      <c r="A31" s="9"/>
      <c r="B31" s="9"/>
      <c r="C31" s="9"/>
      <c r="D31" s="9"/>
      <c r="E31" s="14"/>
      <c r="F31" s="9"/>
      <c r="G31" s="9"/>
      <c r="H31" s="9"/>
      <c r="I31" s="9"/>
      <c r="J31" s="9"/>
    </row>
    <row r="32" spans="1:10" x14ac:dyDescent="0.2">
      <c r="A32" s="9"/>
      <c r="B32" s="9"/>
      <c r="C32" s="9"/>
      <c r="D32" s="9"/>
      <c r="E32" s="9"/>
      <c r="F32" s="9"/>
      <c r="G32" s="9"/>
      <c r="H32" s="9"/>
      <c r="I32" s="9"/>
      <c r="J32" s="9"/>
    </row>
    <row r="33" spans="1:10" x14ac:dyDescent="0.2">
      <c r="A33" s="9"/>
      <c r="B33" s="9"/>
      <c r="C33" s="9"/>
      <c r="D33" s="12"/>
      <c r="E33" s="9"/>
      <c r="F33" s="9"/>
      <c r="G33" s="9"/>
      <c r="H33" s="9"/>
      <c r="I33" s="9"/>
      <c r="J33" s="9"/>
    </row>
    <row r="34" spans="1:10" x14ac:dyDescent="0.2">
      <c r="A34" s="9"/>
      <c r="B34" s="9"/>
      <c r="C34" s="9"/>
      <c r="D34" s="9"/>
      <c r="E34" s="9"/>
      <c r="F34" s="9"/>
      <c r="G34" s="9"/>
      <c r="H34" s="9"/>
      <c r="I34" s="9"/>
      <c r="J34" s="9"/>
    </row>
    <row r="35" spans="1:10" x14ac:dyDescent="0.2">
      <c r="A35" s="9"/>
      <c r="B35" s="9"/>
      <c r="C35" s="9"/>
      <c r="D35" s="9"/>
      <c r="E35" s="12"/>
      <c r="F35" s="9"/>
      <c r="G35" s="9"/>
      <c r="H35" s="9"/>
      <c r="I35" s="9"/>
      <c r="J35" s="9"/>
    </row>
    <row r="36" spans="1:10" x14ac:dyDescent="0.2">
      <c r="A36" s="9"/>
      <c r="B36" s="9"/>
      <c r="C36" s="9"/>
      <c r="D36" s="9"/>
      <c r="E36" s="9"/>
      <c r="F36" s="9"/>
      <c r="G36" s="9"/>
      <c r="H36" s="9"/>
      <c r="I36" s="9"/>
      <c r="J36" s="9"/>
    </row>
    <row r="37" spans="1:10" x14ac:dyDescent="0.2">
      <c r="A37" s="9"/>
      <c r="B37" s="9"/>
      <c r="C37" s="9"/>
      <c r="D37" s="9"/>
      <c r="E37" s="12"/>
      <c r="F37" s="9"/>
      <c r="G37" s="9"/>
      <c r="H37" s="9"/>
      <c r="I37" s="9"/>
      <c r="J37" s="9"/>
    </row>
    <row r="38" spans="1:10" x14ac:dyDescent="0.2">
      <c r="A38" s="9"/>
      <c r="B38" s="9"/>
      <c r="C38" s="9"/>
      <c r="D38" s="9"/>
      <c r="E38" s="12"/>
      <c r="F38" s="9"/>
      <c r="G38" s="9"/>
      <c r="H38" s="9"/>
      <c r="I38" s="9"/>
      <c r="J38" s="9"/>
    </row>
    <row r="39" spans="1:10" s="9" customFormat="1" ht="3.6" customHeight="1" x14ac:dyDescent="0.2">
      <c r="E39" s="12"/>
    </row>
    <row r="40" spans="1:10" x14ac:dyDescent="0.2">
      <c r="A40" s="9"/>
      <c r="B40" s="9"/>
      <c r="C40" s="9"/>
      <c r="D40" s="9"/>
      <c r="E40" s="12"/>
      <c r="F40" s="9"/>
      <c r="G40" s="9"/>
      <c r="H40" s="9"/>
      <c r="I40" s="9"/>
      <c r="J40" s="9"/>
    </row>
    <row r="41" spans="1:10" x14ac:dyDescent="0.2">
      <c r="A41" s="9"/>
      <c r="B41" s="9"/>
      <c r="C41" s="9"/>
      <c r="D41" s="9"/>
      <c r="E41" s="12"/>
      <c r="F41" s="9"/>
      <c r="G41" s="9"/>
      <c r="H41" s="9"/>
      <c r="I41" s="9"/>
      <c r="J41" s="9"/>
    </row>
    <row r="42" spans="1:10" x14ac:dyDescent="0.2">
      <c r="A42" s="9"/>
      <c r="B42" s="9"/>
      <c r="C42" s="9"/>
      <c r="D42" s="9"/>
      <c r="E42" s="9"/>
      <c r="F42" s="9"/>
      <c r="G42" s="9"/>
      <c r="H42" s="9"/>
      <c r="I42" s="9"/>
      <c r="J42" s="9"/>
    </row>
    <row r="43" spans="1:10" x14ac:dyDescent="0.2">
      <c r="A43" s="11"/>
      <c r="B43" s="9"/>
      <c r="C43" s="9"/>
      <c r="D43" s="9"/>
      <c r="E43" s="9"/>
      <c r="F43" s="9"/>
      <c r="G43" s="9"/>
      <c r="H43" s="9"/>
      <c r="I43" s="9"/>
      <c r="J43" s="9"/>
    </row>
    <row r="44" spans="1:10" x14ac:dyDescent="0.2">
      <c r="A44" s="9"/>
      <c r="B44" s="9"/>
      <c r="C44" s="9"/>
      <c r="D44" s="9"/>
      <c r="E44" s="9"/>
      <c r="F44" s="9"/>
      <c r="G44" s="9"/>
      <c r="H44" s="9"/>
      <c r="I44" s="9"/>
      <c r="J44" s="9"/>
    </row>
    <row r="45" spans="1:10" x14ac:dyDescent="0.2">
      <c r="A45" s="9"/>
      <c r="B45" s="9"/>
      <c r="C45" s="12"/>
      <c r="D45" s="9"/>
      <c r="E45" s="12"/>
      <c r="F45" s="9"/>
      <c r="G45" s="9"/>
      <c r="H45" s="12"/>
      <c r="I45" s="9"/>
      <c r="J45" s="9"/>
    </row>
    <row r="46" spans="1:10" s="9" customFormat="1" ht="3.6" customHeight="1" x14ac:dyDescent="0.2">
      <c r="A46" s="15"/>
      <c r="B46" s="15"/>
      <c r="C46" s="12"/>
      <c r="E46" s="12"/>
      <c r="H46" s="12"/>
    </row>
    <row r="47" spans="1:10" x14ac:dyDescent="0.2">
      <c r="A47" s="15"/>
      <c r="B47" s="15"/>
      <c r="C47" s="12"/>
      <c r="D47" s="9"/>
      <c r="E47" s="4"/>
      <c r="F47" s="4"/>
      <c r="G47" s="4"/>
      <c r="H47" s="4"/>
      <c r="I47" s="4"/>
      <c r="J47" s="4"/>
    </row>
    <row r="48" spans="1:10" x14ac:dyDescent="0.2">
      <c r="A48" s="9"/>
      <c r="B48" s="9"/>
      <c r="C48" s="9"/>
      <c r="D48" s="9"/>
      <c r="E48" s="9"/>
      <c r="F48" s="9"/>
      <c r="G48" s="9"/>
      <c r="H48" s="9"/>
      <c r="I48" s="9"/>
      <c r="J48" s="9"/>
    </row>
    <row r="49" spans="1:11" x14ac:dyDescent="0.2">
      <c r="A49" s="9"/>
      <c r="B49" s="9"/>
      <c r="C49" s="9"/>
      <c r="D49" s="9"/>
      <c r="E49" s="9"/>
      <c r="F49" s="9"/>
      <c r="G49" s="9"/>
      <c r="H49" s="9"/>
      <c r="I49" s="9"/>
      <c r="J49" s="9"/>
    </row>
    <row r="50" spans="1:11" x14ac:dyDescent="0.2">
      <c r="A50" s="9"/>
      <c r="B50" s="9"/>
      <c r="C50" s="9"/>
      <c r="D50" s="9"/>
      <c r="E50" s="9"/>
      <c r="F50" s="9"/>
      <c r="G50" s="9"/>
      <c r="H50" s="9"/>
      <c r="I50" s="9"/>
      <c r="J50" s="9"/>
    </row>
    <row r="51" spans="1:11" x14ac:dyDescent="0.2">
      <c r="A51" s="9"/>
      <c r="B51" s="9"/>
      <c r="C51" s="12"/>
      <c r="D51" s="9"/>
      <c r="E51" s="9"/>
      <c r="F51" s="9"/>
      <c r="G51" s="9"/>
      <c r="H51" s="9"/>
      <c r="I51" s="9"/>
      <c r="J51" s="9"/>
    </row>
    <row r="52" spans="1:11" x14ac:dyDescent="0.2">
      <c r="A52" s="9"/>
      <c r="B52" s="9"/>
      <c r="C52" s="12"/>
      <c r="D52" s="2"/>
      <c r="E52" s="4"/>
      <c r="F52" s="4"/>
      <c r="G52" s="4"/>
      <c r="H52" s="4"/>
      <c r="I52" s="4"/>
      <c r="J52" s="4"/>
    </row>
    <row r="53" spans="1:11" x14ac:dyDescent="0.2">
      <c r="A53" s="9"/>
      <c r="B53" s="9"/>
      <c r="C53" s="12"/>
      <c r="D53" s="9"/>
      <c r="E53" s="9"/>
      <c r="F53" s="9"/>
      <c r="G53" s="9"/>
      <c r="H53" s="9"/>
      <c r="I53" s="9"/>
      <c r="J53" s="9"/>
    </row>
    <row r="54" spans="1:11" x14ac:dyDescent="0.2">
      <c r="A54" s="9"/>
      <c r="B54" s="9"/>
      <c r="C54" s="12"/>
      <c r="D54" s="2"/>
      <c r="E54" s="12"/>
      <c r="F54" s="9"/>
      <c r="G54" s="9"/>
      <c r="H54" s="9"/>
      <c r="I54" s="9"/>
      <c r="J54" s="9"/>
    </row>
    <row r="55" spans="1:11" x14ac:dyDescent="0.2">
      <c r="A55" s="9"/>
      <c r="B55" s="9"/>
      <c r="C55" s="12"/>
      <c r="D55" s="9"/>
      <c r="E55" s="9"/>
      <c r="F55" s="9"/>
      <c r="G55" s="9"/>
      <c r="H55" s="9"/>
      <c r="I55" s="9"/>
      <c r="J55" s="9"/>
    </row>
    <row r="56" spans="1:11" ht="12.75" thickBot="1" x14ac:dyDescent="0.25">
      <c r="A56" s="9"/>
      <c r="B56" s="9"/>
      <c r="C56" s="12"/>
      <c r="D56" s="9"/>
      <c r="E56" s="9"/>
      <c r="F56" s="9"/>
      <c r="G56" s="9"/>
      <c r="H56" s="9"/>
      <c r="I56" s="9"/>
      <c r="J56" s="9"/>
    </row>
    <row r="57" spans="1:11" ht="15" x14ac:dyDescent="0.25">
      <c r="A57" s="266" t="s">
        <v>263</v>
      </c>
      <c r="B57" s="266"/>
      <c r="C57" s="266"/>
      <c r="D57" s="266"/>
      <c r="E57" s="266"/>
      <c r="F57" s="266"/>
      <c r="G57" s="266"/>
      <c r="H57" s="266"/>
      <c r="I57" s="266"/>
      <c r="J57" s="266"/>
    </row>
    <row r="58" spans="1:11" ht="15" x14ac:dyDescent="0.25">
      <c r="A58" s="267" t="s">
        <v>284</v>
      </c>
      <c r="B58" s="267"/>
      <c r="C58" s="267"/>
      <c r="D58" s="267"/>
      <c r="E58" s="267"/>
      <c r="F58" s="267"/>
      <c r="G58" s="267"/>
      <c r="H58" s="267"/>
      <c r="I58" s="267"/>
      <c r="J58" s="267"/>
    </row>
    <row r="59" spans="1:11" x14ac:dyDescent="0.2">
      <c r="A59" s="9"/>
      <c r="B59" s="9"/>
      <c r="C59" s="9"/>
      <c r="D59" s="9"/>
      <c r="E59" s="9"/>
      <c r="F59" s="9"/>
      <c r="G59" s="9"/>
      <c r="H59" s="9"/>
      <c r="I59" s="9"/>
      <c r="J59" s="9"/>
    </row>
    <row r="60" spans="1:11" x14ac:dyDescent="0.2">
      <c r="A60" s="9"/>
      <c r="B60" s="9"/>
      <c r="C60" s="9"/>
      <c r="D60" s="9"/>
      <c r="E60" s="9"/>
      <c r="F60" s="16"/>
      <c r="G60" s="16"/>
      <c r="H60" s="16"/>
      <c r="I60" s="16"/>
      <c r="J60" s="16"/>
      <c r="K60" s="17"/>
    </row>
    <row r="61" spans="1:11" x14ac:dyDescent="0.2">
      <c r="A61" s="9"/>
      <c r="B61" s="9"/>
      <c r="C61" s="9"/>
      <c r="D61" s="9"/>
      <c r="E61" s="9"/>
      <c r="F61" s="16"/>
      <c r="G61" s="16"/>
      <c r="H61" s="16"/>
      <c r="I61" s="16"/>
      <c r="J61" s="16"/>
      <c r="K61" s="17"/>
    </row>
    <row r="62" spans="1:11" x14ac:dyDescent="0.2">
      <c r="A62" s="9"/>
      <c r="B62" s="9"/>
      <c r="C62" s="9"/>
      <c r="D62" s="9"/>
      <c r="E62" s="9"/>
      <c r="F62" s="9"/>
      <c r="G62" s="9"/>
      <c r="H62" s="9"/>
      <c r="I62" s="9"/>
      <c r="J62" s="9"/>
    </row>
    <row r="63" spans="1:11" x14ac:dyDescent="0.2">
      <c r="A63" s="9"/>
      <c r="B63" s="9"/>
      <c r="C63" s="9"/>
      <c r="D63" s="9"/>
      <c r="E63" s="12"/>
      <c r="F63" s="9"/>
      <c r="G63" s="9"/>
      <c r="H63" s="9"/>
      <c r="I63" s="9"/>
      <c r="J63" s="9"/>
    </row>
    <row r="64" spans="1:11" x14ac:dyDescent="0.2">
      <c r="A64" s="9"/>
      <c r="B64" s="9"/>
      <c r="C64" s="9"/>
      <c r="D64" s="9"/>
      <c r="E64" s="12"/>
      <c r="F64" s="9"/>
      <c r="G64" s="9"/>
      <c r="H64" s="9"/>
      <c r="I64" s="9"/>
      <c r="J64" s="9"/>
    </row>
    <row r="65" spans="1:10" x14ac:dyDescent="0.2">
      <c r="A65" s="9"/>
      <c r="B65" s="9"/>
      <c r="C65" s="9"/>
      <c r="D65" s="9"/>
      <c r="E65" s="12"/>
      <c r="F65" s="9"/>
      <c r="G65" s="9"/>
      <c r="H65" s="9"/>
      <c r="I65" s="9"/>
      <c r="J65" s="9"/>
    </row>
    <row r="66" spans="1:10" x14ac:dyDescent="0.2">
      <c r="A66" s="9"/>
      <c r="B66" s="9"/>
      <c r="C66" s="9"/>
      <c r="D66" s="9"/>
      <c r="E66" s="12"/>
      <c r="F66" s="9"/>
      <c r="G66" s="9"/>
      <c r="H66" s="9"/>
      <c r="I66" s="9"/>
      <c r="J66" s="9"/>
    </row>
    <row r="67" spans="1:10" x14ac:dyDescent="0.2">
      <c r="A67" s="9"/>
      <c r="B67" s="9"/>
      <c r="C67" s="9"/>
      <c r="D67" s="9"/>
      <c r="E67" s="12"/>
      <c r="F67" s="9"/>
      <c r="G67" s="9"/>
      <c r="H67" s="9"/>
      <c r="I67" s="9"/>
      <c r="J67" s="9"/>
    </row>
    <row r="68" spans="1:10" x14ac:dyDescent="0.2">
      <c r="A68" s="9"/>
      <c r="B68" s="9"/>
      <c r="C68" s="9"/>
      <c r="D68" s="9"/>
      <c r="E68" s="12"/>
      <c r="F68" s="9"/>
      <c r="G68" s="9"/>
      <c r="H68" s="9"/>
      <c r="I68" s="9"/>
      <c r="J68" s="9"/>
    </row>
  </sheetData>
  <sheetProtection algorithmName="SHA-512" hashValue="2+Z5YeXUPeKKbKM/SNcATwRKuvDsggUBDNNlT7Zj9CzsdW8NwYDLVb1BwKmnxjag8cu0VOH5u2W3iz0YHjPwJw==" saltValue="E6bBFSJMh6JMp1RHNVuHfw==" spinCount="100000" sheet="1" selectLockedCells="1" selectUnlockedCells="1"/>
  <mergeCells count="4">
    <mergeCell ref="A1:I1"/>
    <mergeCell ref="A2:I2"/>
    <mergeCell ref="A57:J57"/>
    <mergeCell ref="A58:J58"/>
  </mergeCells>
  <printOptions horizontalCentered="1" verticalCentered="1"/>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M70"/>
  <sheetViews>
    <sheetView view="pageBreakPreview" zoomScaleNormal="100" zoomScaleSheetLayoutView="100" workbookViewId="0">
      <selection activeCell="E31" sqref="E31"/>
    </sheetView>
  </sheetViews>
  <sheetFormatPr defaultColWidth="8.85546875" defaultRowHeight="12" x14ac:dyDescent="0.2"/>
  <cols>
    <col min="1" max="3" width="8.85546875" style="27"/>
    <col min="4" max="4" width="10" style="27" customWidth="1"/>
    <col min="5" max="11" width="8.85546875" style="27"/>
    <col min="12" max="12" width="12" style="22" customWidth="1"/>
    <col min="13" max="16384" width="8.85546875" style="27"/>
  </cols>
  <sheetData>
    <row r="1" spans="1:12" s="18" customFormat="1" ht="12.75" x14ac:dyDescent="0.2">
      <c r="A1" s="275" t="str">
        <f>DISCLAIMER!A1</f>
        <v>Design Review Checklist for Dry or Dry ED Detention Ponds</v>
      </c>
      <c r="B1" s="275"/>
      <c r="C1" s="275"/>
      <c r="D1" s="275"/>
      <c r="E1" s="275"/>
      <c r="F1" s="275"/>
      <c r="G1" s="275"/>
      <c r="H1" s="275"/>
      <c r="I1" s="275"/>
      <c r="L1" s="19"/>
    </row>
    <row r="2" spans="1:12" s="18" customFormat="1" ht="12.75" x14ac:dyDescent="0.2">
      <c r="A2" s="277" t="s">
        <v>157</v>
      </c>
      <c r="B2" s="277"/>
      <c r="C2" s="277"/>
      <c r="D2" s="277"/>
      <c r="E2" s="277"/>
      <c r="F2" s="277"/>
      <c r="G2" s="277"/>
      <c r="H2" s="277"/>
      <c r="I2" s="277"/>
      <c r="L2" s="19"/>
    </row>
    <row r="3" spans="1:12" s="20" customFormat="1" x14ac:dyDescent="0.2">
      <c r="B3" s="21" t="s">
        <v>147</v>
      </c>
      <c r="C3" s="269"/>
      <c r="D3" s="269"/>
      <c r="E3" s="269"/>
      <c r="F3" s="269"/>
      <c r="G3" s="269"/>
      <c r="H3" s="269"/>
      <c r="I3" s="269"/>
      <c r="L3" s="22"/>
    </row>
    <row r="4" spans="1:12" s="23" customFormat="1" ht="3.6" customHeight="1" x14ac:dyDescent="0.2">
      <c r="B4" s="24"/>
      <c r="C4" s="25"/>
      <c r="D4" s="25"/>
      <c r="E4" s="25"/>
      <c r="F4" s="25"/>
      <c r="G4" s="25"/>
      <c r="H4" s="25"/>
      <c r="I4" s="25"/>
      <c r="L4" s="26"/>
    </row>
    <row r="5" spans="1:12" x14ac:dyDescent="0.2">
      <c r="A5" s="271" t="s">
        <v>96</v>
      </c>
      <c r="B5" s="271"/>
      <c r="C5" s="269"/>
      <c r="D5" s="269"/>
      <c r="E5" s="269"/>
      <c r="F5" s="21" t="s">
        <v>98</v>
      </c>
      <c r="G5" s="276">
        <f ca="1">TODAY()</f>
        <v>44608</v>
      </c>
      <c r="H5" s="269"/>
      <c r="I5" s="269"/>
    </row>
    <row r="6" spans="1:12" s="28" customFormat="1" ht="3" customHeight="1" x14ac:dyDescent="0.2">
      <c r="A6" s="24"/>
      <c r="B6" s="24"/>
      <c r="C6" s="25"/>
      <c r="D6" s="25"/>
      <c r="E6" s="25"/>
      <c r="F6" s="24"/>
      <c r="G6" s="25"/>
      <c r="H6" s="25"/>
      <c r="I6" s="25"/>
      <c r="L6" s="26"/>
    </row>
    <row r="7" spans="1:12" x14ac:dyDescent="0.2">
      <c r="A7" s="271" t="s">
        <v>97</v>
      </c>
      <c r="B7" s="271"/>
      <c r="C7" s="269"/>
      <c r="D7" s="269"/>
      <c r="E7" s="269"/>
      <c r="F7" s="21" t="s">
        <v>99</v>
      </c>
      <c r="G7" s="269"/>
      <c r="H7" s="269"/>
      <c r="I7" s="269"/>
    </row>
    <row r="8" spans="1:12" s="28" customFormat="1" ht="3.6" customHeight="1" x14ac:dyDescent="0.2">
      <c r="A8" s="24"/>
      <c r="B8" s="24"/>
      <c r="C8" s="25"/>
      <c r="D8" s="25"/>
      <c r="E8" s="25"/>
      <c r="F8" s="24"/>
      <c r="G8" s="25"/>
      <c r="H8" s="25"/>
      <c r="I8" s="25"/>
      <c r="L8" s="26"/>
    </row>
    <row r="9" spans="1:12" x14ac:dyDescent="0.2">
      <c r="A9" s="273" t="s">
        <v>287</v>
      </c>
      <c r="B9" s="273"/>
      <c r="C9" s="273"/>
      <c r="D9" s="273"/>
      <c r="E9" s="273"/>
      <c r="F9" s="273"/>
      <c r="G9" s="273"/>
      <c r="H9" s="273"/>
      <c r="I9" s="273"/>
      <c r="J9" s="273"/>
    </row>
    <row r="10" spans="1:12" ht="3.6" customHeight="1" x14ac:dyDescent="0.2"/>
    <row r="11" spans="1:12" x14ac:dyDescent="0.2">
      <c r="A11" s="29" t="s">
        <v>35</v>
      </c>
      <c r="B11" s="30"/>
      <c r="C11" s="30"/>
      <c r="D11" s="30"/>
      <c r="E11" s="30"/>
      <c r="F11" s="30"/>
      <c r="G11" s="30"/>
      <c r="H11" s="30"/>
      <c r="I11" s="30"/>
      <c r="J11" s="30"/>
    </row>
    <row r="13" spans="1:12" x14ac:dyDescent="0.2">
      <c r="A13" s="27" t="s">
        <v>12</v>
      </c>
      <c r="D13" s="20" t="s">
        <v>13</v>
      </c>
      <c r="E13" s="31"/>
      <c r="F13" s="27" t="s">
        <v>14</v>
      </c>
    </row>
    <row r="14" spans="1:12" x14ac:dyDescent="0.2">
      <c r="E14" s="31"/>
      <c r="F14" s="27" t="s">
        <v>15</v>
      </c>
    </row>
    <row r="15" spans="1:12" s="28" customFormat="1" ht="3.6" customHeight="1" x14ac:dyDescent="0.2">
      <c r="E15" s="26"/>
      <c r="L15" s="26"/>
    </row>
    <row r="16" spans="1:12" x14ac:dyDescent="0.2">
      <c r="F16" s="31"/>
      <c r="G16" s="27" t="s">
        <v>155</v>
      </c>
    </row>
    <row r="18" spans="1:13" x14ac:dyDescent="0.2">
      <c r="A18" s="27" t="s">
        <v>251</v>
      </c>
      <c r="D18" s="20" t="s">
        <v>17</v>
      </c>
      <c r="E18" s="31"/>
      <c r="F18" s="20" t="s">
        <v>19</v>
      </c>
      <c r="G18" s="31"/>
      <c r="H18" s="32"/>
      <c r="I18" s="32"/>
    </row>
    <row r="19" spans="1:13" x14ac:dyDescent="0.2">
      <c r="A19" s="27" t="s">
        <v>204</v>
      </c>
      <c r="D19" s="20" t="s">
        <v>18</v>
      </c>
      <c r="E19" s="31"/>
      <c r="F19" s="20" t="s">
        <v>20</v>
      </c>
      <c r="G19" s="31"/>
      <c r="H19" s="32"/>
      <c r="I19" s="32"/>
    </row>
    <row r="21" spans="1:13" x14ac:dyDescent="0.2">
      <c r="A21" s="27" t="s">
        <v>21</v>
      </c>
    </row>
    <row r="22" spans="1:13" x14ac:dyDescent="0.2">
      <c r="A22" s="270"/>
      <c r="B22" s="270"/>
      <c r="C22" s="270"/>
      <c r="D22" s="270"/>
      <c r="E22" s="270"/>
      <c r="F22" s="270"/>
      <c r="G22" s="270"/>
      <c r="H22" s="270"/>
      <c r="I22" s="270"/>
      <c r="J22" s="270"/>
    </row>
    <row r="24" spans="1:13" x14ac:dyDescent="0.2">
      <c r="A24" s="27" t="s">
        <v>22</v>
      </c>
      <c r="D24" s="20" t="s">
        <v>23</v>
      </c>
      <c r="E24" s="31"/>
      <c r="G24" s="20" t="s">
        <v>24</v>
      </c>
      <c r="H24" s="31"/>
    </row>
    <row r="25" spans="1:13" x14ac:dyDescent="0.2">
      <c r="A25" s="27" t="s">
        <v>204</v>
      </c>
      <c r="D25" s="20" t="s">
        <v>25</v>
      </c>
      <c r="E25" s="31"/>
      <c r="G25" s="20" t="s">
        <v>26</v>
      </c>
      <c r="H25" s="31"/>
    </row>
    <row r="26" spans="1:13" s="28" customFormat="1" ht="3" customHeight="1" x14ac:dyDescent="0.2">
      <c r="D26" s="23"/>
      <c r="E26" s="26"/>
      <c r="G26" s="23"/>
      <c r="H26" s="26"/>
      <c r="L26" s="26"/>
    </row>
    <row r="27" spans="1:13" x14ac:dyDescent="0.2">
      <c r="A27" s="27" t="s">
        <v>86</v>
      </c>
      <c r="C27" s="270"/>
      <c r="D27" s="270"/>
      <c r="E27" s="270"/>
      <c r="F27" s="270"/>
      <c r="G27" s="270"/>
      <c r="H27" s="270"/>
      <c r="I27" s="270"/>
      <c r="J27" s="270"/>
    </row>
    <row r="28" spans="1:13" x14ac:dyDescent="0.2">
      <c r="L28" s="33" t="s">
        <v>203</v>
      </c>
    </row>
    <row r="29" spans="1:13" x14ac:dyDescent="0.2">
      <c r="A29" s="27" t="s">
        <v>27</v>
      </c>
      <c r="C29" s="26">
        <f>IF(L29=0,'DE_1 - Watershed Info'!C44,L29)</f>
        <v>1</v>
      </c>
      <c r="D29" s="27" t="s">
        <v>28</v>
      </c>
      <c r="E29" s="34" t="str">
        <f>IF(L29&gt;0,"MANUAL"," ")</f>
        <v xml:space="preserve"> </v>
      </c>
      <c r="L29" s="35"/>
      <c r="M29" s="27" t="s">
        <v>206</v>
      </c>
    </row>
    <row r="31" spans="1:13" x14ac:dyDescent="0.2">
      <c r="A31" s="27" t="s">
        <v>32</v>
      </c>
      <c r="E31" s="36"/>
      <c r="F31" s="27" t="s">
        <v>29</v>
      </c>
      <c r="G31" s="27" t="str">
        <f>IF(L5&gt;0,"MANUAL"," ")</f>
        <v xml:space="preserve"> </v>
      </c>
    </row>
    <row r="33" spans="1:12" x14ac:dyDescent="0.2">
      <c r="A33" s="27" t="s">
        <v>30</v>
      </c>
      <c r="D33" s="31"/>
      <c r="E33" s="27" t="s">
        <v>31</v>
      </c>
    </row>
    <row r="35" spans="1:12" x14ac:dyDescent="0.2">
      <c r="A35" s="27" t="s">
        <v>33</v>
      </c>
      <c r="E35" s="31"/>
      <c r="F35" s="27" t="s">
        <v>34</v>
      </c>
    </row>
    <row r="37" spans="1:12" x14ac:dyDescent="0.2">
      <c r="A37" s="27" t="s">
        <v>57</v>
      </c>
      <c r="E37" s="31"/>
      <c r="F37" s="27" t="s">
        <v>34</v>
      </c>
    </row>
    <row r="38" spans="1:12" x14ac:dyDescent="0.2">
      <c r="A38" s="27" t="s">
        <v>154</v>
      </c>
      <c r="E38" s="31"/>
      <c r="F38" s="27" t="s">
        <v>34</v>
      </c>
    </row>
    <row r="39" spans="1:12" s="28" customFormat="1" ht="3.6" customHeight="1" x14ac:dyDescent="0.2">
      <c r="E39" s="26"/>
      <c r="L39" s="26"/>
    </row>
    <row r="40" spans="1:12" x14ac:dyDescent="0.2">
      <c r="A40" s="27" t="s">
        <v>178</v>
      </c>
      <c r="E40" s="31"/>
      <c r="F40" s="27" t="s">
        <v>34</v>
      </c>
    </row>
    <row r="41" spans="1:12" x14ac:dyDescent="0.2">
      <c r="A41" s="27" t="s">
        <v>179</v>
      </c>
      <c r="E41" s="31"/>
      <c r="F41" s="27" t="s">
        <v>34</v>
      </c>
    </row>
    <row r="43" spans="1:12" x14ac:dyDescent="0.2">
      <c r="A43" s="37" t="s">
        <v>252</v>
      </c>
      <c r="B43" s="38"/>
      <c r="C43" s="38"/>
      <c r="D43" s="38"/>
      <c r="E43" s="38"/>
      <c r="F43" s="38"/>
      <c r="G43" s="38"/>
      <c r="H43" s="38"/>
      <c r="I43" s="38"/>
      <c r="J43" s="38"/>
    </row>
    <row r="45" spans="1:12" x14ac:dyDescent="0.2">
      <c r="A45" s="27" t="s">
        <v>36</v>
      </c>
      <c r="C45" s="39"/>
      <c r="D45" s="27" t="s">
        <v>37</v>
      </c>
      <c r="E45" s="39"/>
      <c r="F45" s="27" t="s">
        <v>38</v>
      </c>
      <c r="H45" s="39"/>
      <c r="I45" s="27" t="s">
        <v>39</v>
      </c>
    </row>
    <row r="46" spans="1:12" s="28" customFormat="1" ht="3.6" customHeight="1" x14ac:dyDescent="0.2">
      <c r="A46" s="274" t="s">
        <v>204</v>
      </c>
      <c r="B46" s="274"/>
      <c r="C46" s="26"/>
      <c r="E46" s="26"/>
      <c r="H46" s="26"/>
      <c r="L46" s="26"/>
    </row>
    <row r="47" spans="1:12" x14ac:dyDescent="0.2">
      <c r="A47" s="274"/>
      <c r="B47" s="274"/>
      <c r="C47" s="39"/>
      <c r="D47" s="27" t="s">
        <v>26</v>
      </c>
      <c r="E47" s="272"/>
      <c r="F47" s="272"/>
      <c r="G47" s="272"/>
      <c r="H47" s="272"/>
      <c r="I47" s="272"/>
      <c r="J47" s="272"/>
    </row>
    <row r="48" spans="1:12" x14ac:dyDescent="0.2">
      <c r="A48" s="274"/>
      <c r="B48" s="274"/>
    </row>
    <row r="49" spans="1:11" x14ac:dyDescent="0.2">
      <c r="C49" s="22" t="s">
        <v>156</v>
      </c>
    </row>
    <row r="50" spans="1:11" x14ac:dyDescent="0.2">
      <c r="A50" s="28" t="s">
        <v>256</v>
      </c>
      <c r="C50" s="39"/>
    </row>
    <row r="51" spans="1:11" x14ac:dyDescent="0.2">
      <c r="A51" s="28" t="s">
        <v>274</v>
      </c>
      <c r="C51" s="39"/>
      <c r="D51" s="27" t="s">
        <v>275</v>
      </c>
      <c r="E51" s="39"/>
      <c r="F51" s="27" t="s">
        <v>276</v>
      </c>
      <c r="G51" s="39"/>
      <c r="H51" s="27" t="s">
        <v>277</v>
      </c>
    </row>
    <row r="52" spans="1:11" x14ac:dyDescent="0.2">
      <c r="A52" s="28" t="s">
        <v>271</v>
      </c>
      <c r="C52" s="39"/>
    </row>
    <row r="53" spans="1:11" x14ac:dyDescent="0.2">
      <c r="A53" s="27" t="s">
        <v>40</v>
      </c>
      <c r="C53" s="39"/>
    </row>
    <row r="54" spans="1:11" x14ac:dyDescent="0.2">
      <c r="A54" s="27" t="s">
        <v>41</v>
      </c>
      <c r="C54" s="39"/>
    </row>
    <row r="55" spans="1:11" x14ac:dyDescent="0.2">
      <c r="A55" s="27" t="s">
        <v>269</v>
      </c>
      <c r="C55" s="39"/>
    </row>
    <row r="56" spans="1:11" x14ac:dyDescent="0.2">
      <c r="A56" s="27" t="s">
        <v>42</v>
      </c>
      <c r="C56" s="39"/>
    </row>
    <row r="58" spans="1:11" x14ac:dyDescent="0.2">
      <c r="A58" s="27" t="s">
        <v>205</v>
      </c>
      <c r="D58" s="272"/>
      <c r="E58" s="272"/>
      <c r="F58" s="272"/>
      <c r="G58" s="272"/>
      <c r="H58" s="272"/>
      <c r="I58" s="272"/>
      <c r="J58" s="272"/>
    </row>
    <row r="59" spans="1:11" x14ac:dyDescent="0.2">
      <c r="A59" s="27" t="s">
        <v>199</v>
      </c>
      <c r="F59" s="268"/>
      <c r="G59" s="268"/>
      <c r="H59" s="268"/>
      <c r="I59" s="268"/>
      <c r="J59" s="268"/>
      <c r="K59" s="40"/>
    </row>
    <row r="60" spans="1:11" x14ac:dyDescent="0.2">
      <c r="F60" s="268"/>
      <c r="G60" s="268"/>
      <c r="H60" s="268"/>
      <c r="I60" s="268"/>
      <c r="J60" s="268"/>
      <c r="K60" s="40"/>
    </row>
    <row r="62" spans="1:11" x14ac:dyDescent="0.2">
      <c r="A62" s="27" t="s">
        <v>43</v>
      </c>
      <c r="C62" s="27" t="s">
        <v>44</v>
      </c>
      <c r="E62" s="39"/>
      <c r="F62" s="27" t="s">
        <v>46</v>
      </c>
    </row>
    <row r="63" spans="1:11" x14ac:dyDescent="0.2">
      <c r="C63" s="27" t="s">
        <v>45</v>
      </c>
      <c r="E63" s="39"/>
      <c r="F63" s="27" t="s">
        <v>50</v>
      </c>
    </row>
    <row r="64" spans="1:11" x14ac:dyDescent="0.2">
      <c r="C64" s="27" t="s">
        <v>47</v>
      </c>
      <c r="E64" s="39"/>
      <c r="F64" s="27" t="s">
        <v>51</v>
      </c>
    </row>
    <row r="65" spans="1:10" x14ac:dyDescent="0.2">
      <c r="C65" s="27" t="s">
        <v>48</v>
      </c>
      <c r="E65" s="39"/>
      <c r="F65" s="27" t="s">
        <v>49</v>
      </c>
    </row>
    <row r="66" spans="1:10" x14ac:dyDescent="0.2">
      <c r="C66" s="27" t="s">
        <v>52</v>
      </c>
      <c r="E66" s="39"/>
      <c r="F66" s="27" t="s">
        <v>53</v>
      </c>
    </row>
    <row r="67" spans="1:10" x14ac:dyDescent="0.2">
      <c r="C67" s="27" t="s">
        <v>54</v>
      </c>
      <c r="E67" s="39"/>
      <c r="F67" s="27" t="s">
        <v>56</v>
      </c>
    </row>
    <row r="68" spans="1:10" ht="12.75" thickBot="1" x14ac:dyDescent="0.25"/>
    <row r="69" spans="1:10" ht="15" x14ac:dyDescent="0.25">
      <c r="A69" s="41" t="s">
        <v>234</v>
      </c>
      <c r="B69" s="41"/>
      <c r="C69" s="41"/>
      <c r="D69" s="41"/>
      <c r="E69" s="41"/>
      <c r="F69" s="41"/>
      <c r="G69" s="41"/>
      <c r="H69" s="41"/>
      <c r="I69" s="41"/>
      <c r="J69" s="41"/>
    </row>
    <row r="70" spans="1:10" ht="15" x14ac:dyDescent="0.25">
      <c r="A70" s="42" t="s">
        <v>235</v>
      </c>
      <c r="B70" s="42"/>
      <c r="C70" s="42"/>
      <c r="D70" s="42"/>
      <c r="E70" s="42"/>
      <c r="F70" s="42"/>
      <c r="G70" s="42"/>
      <c r="H70" s="42"/>
      <c r="I70" s="42"/>
      <c r="J70" s="43" t="s">
        <v>285</v>
      </c>
    </row>
  </sheetData>
  <sheetProtection algorithmName="SHA-512" hashValue="WaaQ2F4PInTN13DlsMxvaLWtZNHZduT77n8XtSykaU7CE0oiPrVGdzoTRvBgW47rGFiL23KRFp0ik9ZVK1MYwg==" saltValue="0A8UgRHnZgcTVBpjvoek6g==" spinCount="100000" sheet="1" selectLockedCells="1"/>
  <mergeCells count="16">
    <mergeCell ref="A1:I1"/>
    <mergeCell ref="C5:E5"/>
    <mergeCell ref="C7:E7"/>
    <mergeCell ref="G5:I5"/>
    <mergeCell ref="G7:I7"/>
    <mergeCell ref="A2:I2"/>
    <mergeCell ref="F59:J60"/>
    <mergeCell ref="C3:I3"/>
    <mergeCell ref="C27:J27"/>
    <mergeCell ref="A22:J22"/>
    <mergeCell ref="A5:B5"/>
    <mergeCell ref="A7:B7"/>
    <mergeCell ref="E47:J47"/>
    <mergeCell ref="A9:J9"/>
    <mergeCell ref="A46:B48"/>
    <mergeCell ref="D58:J58"/>
  </mergeCells>
  <printOptions horizontalCentered="1" verticalCentered="1"/>
  <pageMargins left="0.25" right="0.25"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L67"/>
  <sheetViews>
    <sheetView showZeros="0" view="pageBreakPreview" zoomScale="141" zoomScaleNormal="100" zoomScaleSheetLayoutView="100" workbookViewId="0">
      <selection activeCell="K11" sqref="K11"/>
    </sheetView>
  </sheetViews>
  <sheetFormatPr defaultColWidth="8.85546875" defaultRowHeight="12" x14ac:dyDescent="0.2"/>
  <cols>
    <col min="1" max="1" width="17.140625" style="27" customWidth="1"/>
    <col min="2" max="9" width="9.28515625" style="27" customWidth="1"/>
    <col min="10" max="10" width="8.85546875" style="27"/>
    <col min="11" max="11" width="14.28515625" style="27" customWidth="1"/>
    <col min="12" max="12" width="23.5703125" style="27" customWidth="1"/>
    <col min="13" max="16384" width="8.85546875" style="27"/>
  </cols>
  <sheetData>
    <row r="1" spans="1:12" s="18" customFormat="1" ht="12.75" x14ac:dyDescent="0.2">
      <c r="A1" s="275" t="str">
        <f>'CL_1 - Site Screening'!A1:I1</f>
        <v>Design Review Checklist for Dry or Dry ED Detention Ponds</v>
      </c>
      <c r="B1" s="275"/>
      <c r="C1" s="275"/>
      <c r="D1" s="275"/>
      <c r="E1" s="275"/>
      <c r="F1" s="275"/>
      <c r="G1" s="275"/>
      <c r="H1" s="275"/>
      <c r="I1" s="275"/>
    </row>
    <row r="2" spans="1:12" s="18" customFormat="1" ht="12.75" x14ac:dyDescent="0.2">
      <c r="A2" s="277" t="s">
        <v>158</v>
      </c>
      <c r="B2" s="277"/>
      <c r="C2" s="277"/>
      <c r="D2" s="277"/>
      <c r="E2" s="277"/>
      <c r="F2" s="277"/>
      <c r="G2" s="277"/>
      <c r="H2" s="277"/>
      <c r="I2" s="277"/>
    </row>
    <row r="3" spans="1:12" s="20" customFormat="1" x14ac:dyDescent="0.2">
      <c r="B3" s="21" t="s">
        <v>147</v>
      </c>
      <c r="C3" s="280">
        <f>'CL_1 - Site Screening'!C3</f>
        <v>0</v>
      </c>
      <c r="D3" s="280"/>
      <c r="E3" s="280"/>
      <c r="F3" s="280"/>
      <c r="G3" s="280"/>
      <c r="H3" s="280"/>
      <c r="I3" s="280"/>
    </row>
    <row r="4" spans="1:12" s="23" customFormat="1" ht="3.6" customHeight="1" x14ac:dyDescent="0.2">
      <c r="B4" s="24"/>
      <c r="C4" s="25"/>
      <c r="D4" s="25"/>
      <c r="E4" s="25"/>
      <c r="F4" s="25"/>
      <c r="G4" s="25"/>
      <c r="H4" s="25"/>
      <c r="I4" s="25"/>
    </row>
    <row r="5" spans="1:12" x14ac:dyDescent="0.2">
      <c r="A5" s="271" t="s">
        <v>96</v>
      </c>
      <c r="B5" s="271"/>
      <c r="C5" s="280">
        <f>'CL_1 - Site Screening'!C5</f>
        <v>0</v>
      </c>
      <c r="D5" s="280"/>
      <c r="E5" s="280"/>
      <c r="F5" s="24" t="s">
        <v>98</v>
      </c>
      <c r="G5" s="281">
        <f ca="1">'CL_1 - Site Screening'!G5</f>
        <v>44608</v>
      </c>
      <c r="H5" s="280"/>
      <c r="I5" s="280"/>
    </row>
    <row r="6" spans="1:12" ht="3.6" customHeight="1" x14ac:dyDescent="0.2">
      <c r="A6" s="21"/>
      <c r="B6" s="21"/>
      <c r="C6" s="25"/>
      <c r="D6" s="25"/>
      <c r="E6" s="25"/>
      <c r="F6" s="24"/>
      <c r="G6" s="44"/>
      <c r="H6" s="25"/>
      <c r="I6" s="25"/>
    </row>
    <row r="7" spans="1:12" x14ac:dyDescent="0.2">
      <c r="A7" s="279" t="s">
        <v>290</v>
      </c>
      <c r="B7" s="279"/>
      <c r="C7" s="279"/>
      <c r="D7" s="279"/>
      <c r="E7" s="279"/>
      <c r="F7" s="279"/>
      <c r="G7" s="279"/>
      <c r="H7" s="279"/>
      <c r="I7" s="279"/>
      <c r="J7" s="45"/>
    </row>
    <row r="8" spans="1:12" ht="3.6" customHeight="1" x14ac:dyDescent="0.2">
      <c r="A8" s="46"/>
      <c r="B8" s="46"/>
      <c r="C8" s="46"/>
      <c r="D8" s="46"/>
      <c r="E8" s="46"/>
      <c r="F8" s="46"/>
      <c r="G8" s="46"/>
      <c r="H8" s="46"/>
      <c r="I8" s="46"/>
      <c r="J8" s="46"/>
    </row>
    <row r="9" spans="1:12" ht="12" customHeight="1" x14ac:dyDescent="0.2">
      <c r="A9" s="47" t="s">
        <v>159</v>
      </c>
      <c r="B9" s="48"/>
      <c r="C9" s="48"/>
      <c r="D9" s="48"/>
      <c r="E9" s="48"/>
      <c r="F9" s="48"/>
      <c r="G9" s="48"/>
      <c r="H9" s="48"/>
      <c r="I9" s="48"/>
      <c r="J9" s="46"/>
    </row>
    <row r="10" spans="1:12" ht="12" customHeight="1" x14ac:dyDescent="0.2">
      <c r="A10" s="46"/>
      <c r="B10" s="46"/>
      <c r="C10" s="46"/>
      <c r="D10" s="46"/>
      <c r="E10" s="46"/>
      <c r="F10" s="46"/>
      <c r="G10" s="46"/>
      <c r="H10" s="46"/>
      <c r="I10" s="46"/>
      <c r="J10" s="46"/>
      <c r="K10" s="49" t="s">
        <v>203</v>
      </c>
      <c r="L10" s="50"/>
    </row>
    <row r="11" spans="1:12" ht="12" customHeight="1" x14ac:dyDescent="0.2">
      <c r="A11" s="51" t="s">
        <v>74</v>
      </c>
      <c r="B11" s="46" t="s">
        <v>160</v>
      </c>
      <c r="C11" s="52">
        <f>IF(K11=0,'DE_1 - Watershed Info'!F45,K11)</f>
        <v>2268.7499999999995</v>
      </c>
      <c r="D11" s="27" t="s">
        <v>81</v>
      </c>
      <c r="E11" s="46"/>
      <c r="F11" s="52"/>
      <c r="G11" s="46"/>
      <c r="H11" s="53"/>
      <c r="I11" s="34" t="str">
        <f>IF(K11&gt;0,"MANUAL"," ")</f>
        <v xml:space="preserve"> </v>
      </c>
      <c r="J11" s="46"/>
      <c r="K11" s="54">
        <v>0</v>
      </c>
      <c r="L11" s="55" t="s">
        <v>207</v>
      </c>
    </row>
    <row r="12" spans="1:12" ht="12" customHeight="1" x14ac:dyDescent="0.2">
      <c r="A12" s="51" t="s">
        <v>172</v>
      </c>
      <c r="B12" s="46" t="s">
        <v>160</v>
      </c>
      <c r="C12" s="52">
        <f>IF(K12=0,'Step 4 - Pre-treat'!B8,K12)</f>
        <v>226.87499999999997</v>
      </c>
      <c r="D12" s="27" t="s">
        <v>81</v>
      </c>
      <c r="E12" s="46" t="s">
        <v>161</v>
      </c>
      <c r="F12" s="52">
        <f>'Step 4 - Pre-treat'!D47+'Step 4 - Pre-treat'!B9</f>
        <v>0</v>
      </c>
      <c r="G12" s="46" t="s">
        <v>81</v>
      </c>
      <c r="H12" s="53">
        <f>IF(F12=0,0,IF(F12/C12&gt;=1,"OK","!"))</f>
        <v>0</v>
      </c>
      <c r="I12" s="34" t="str">
        <f>IF(K12&gt;0,"MANUAL"," ")</f>
        <v xml:space="preserve"> </v>
      </c>
      <c r="J12" s="46"/>
      <c r="K12" s="56">
        <v>0</v>
      </c>
      <c r="L12" s="57" t="s">
        <v>208</v>
      </c>
    </row>
    <row r="13" spans="1:12" s="61" customFormat="1" ht="12" customHeight="1" x14ac:dyDescent="0.2">
      <c r="A13" s="58" t="s">
        <v>173</v>
      </c>
      <c r="B13" s="59"/>
      <c r="C13" s="60"/>
      <c r="E13" s="59"/>
      <c r="F13" s="60"/>
      <c r="G13" s="59"/>
      <c r="H13" s="62"/>
      <c r="I13" s="59"/>
      <c r="J13" s="59"/>
    </row>
    <row r="14" spans="1:12" ht="12" customHeight="1" x14ac:dyDescent="0.2">
      <c r="A14" s="46" t="s">
        <v>264</v>
      </c>
      <c r="B14" s="46"/>
      <c r="C14" s="52"/>
      <c r="E14" s="46"/>
      <c r="F14" s="63"/>
      <c r="G14" s="46" t="s">
        <v>34</v>
      </c>
      <c r="H14" s="64"/>
      <c r="I14" s="46"/>
      <c r="J14" s="46"/>
    </row>
    <row r="15" spans="1:12" ht="12" customHeight="1" x14ac:dyDescent="0.2">
      <c r="A15" s="46"/>
      <c r="B15" s="46"/>
      <c r="C15" s="46"/>
      <c r="D15" s="46"/>
      <c r="E15" s="23" t="s">
        <v>265</v>
      </c>
      <c r="F15" s="65"/>
      <c r="G15" s="46" t="s">
        <v>81</v>
      </c>
      <c r="H15" s="46"/>
      <c r="I15" s="46"/>
      <c r="J15" s="46"/>
    </row>
    <row r="16" spans="1:12" ht="12" customHeight="1" x14ac:dyDescent="0.2">
      <c r="A16" s="46"/>
      <c r="B16" s="46"/>
      <c r="C16" s="46"/>
      <c r="D16" s="46"/>
      <c r="E16" s="46"/>
      <c r="F16" s="46"/>
      <c r="G16" s="46"/>
      <c r="H16" s="46"/>
      <c r="I16" s="46"/>
      <c r="J16" s="46"/>
    </row>
    <row r="17" spans="1:12" s="28" customFormat="1" ht="12" customHeight="1" x14ac:dyDescent="0.2">
      <c r="A17" s="66"/>
      <c r="B17" s="67"/>
      <c r="C17" s="67">
        <f>IF(F14="Y","CPv (1-yr)",0)</f>
        <v>0</v>
      </c>
      <c r="D17" s="67" t="s">
        <v>162</v>
      </c>
      <c r="E17" s="67" t="s">
        <v>163</v>
      </c>
      <c r="F17" s="67" t="s">
        <v>164</v>
      </c>
      <c r="G17" s="67" t="s">
        <v>165</v>
      </c>
      <c r="H17" s="67" t="s">
        <v>166</v>
      </c>
      <c r="I17" s="67" t="s">
        <v>167</v>
      </c>
      <c r="J17" s="46"/>
    </row>
    <row r="18" spans="1:12" ht="12" customHeight="1" x14ac:dyDescent="0.2">
      <c r="A18" s="51" t="s">
        <v>168</v>
      </c>
      <c r="B18" s="68"/>
      <c r="C18" s="68">
        <f>IF(F14="Y",'Step 9 - Results'!B14,0)</f>
        <v>0</v>
      </c>
      <c r="D18" s="68">
        <f>'Step 9 - Results'!B15</f>
        <v>0</v>
      </c>
      <c r="E18" s="68">
        <f>'Step 9 - Results'!B16</f>
        <v>0</v>
      </c>
      <c r="F18" s="68">
        <f>'Step 9 - Results'!B17</f>
        <v>0</v>
      </c>
      <c r="G18" s="68">
        <f>'Step 9 - Results'!B18</f>
        <v>0</v>
      </c>
      <c r="H18" s="68">
        <f>'Step 9 - Results'!B19</f>
        <v>0</v>
      </c>
      <c r="I18" s="68">
        <f>'Step 9 - Results'!B20</f>
        <v>0</v>
      </c>
      <c r="J18" s="46"/>
    </row>
    <row r="19" spans="1:12" ht="12" customHeight="1" x14ac:dyDescent="0.2">
      <c r="A19" s="51" t="s">
        <v>169</v>
      </c>
      <c r="B19" s="68"/>
      <c r="C19" s="68">
        <f>IF(F14="Y",'Step 9 - Results'!C14,0)</f>
        <v>0</v>
      </c>
      <c r="D19" s="68">
        <f>'Step 9 - Results'!C15</f>
        <v>0</v>
      </c>
      <c r="E19" s="68">
        <f>'Step 9 - Results'!C16</f>
        <v>0</v>
      </c>
      <c r="F19" s="68">
        <f>'Step 9 - Results'!C17</f>
        <v>0</v>
      </c>
      <c r="G19" s="68">
        <f>'Step 9 - Results'!C18</f>
        <v>0</v>
      </c>
      <c r="H19" s="68">
        <f>'Step 9 - Results'!C19</f>
        <v>0</v>
      </c>
      <c r="I19" s="68">
        <f>'Step 9 - Results'!C20</f>
        <v>0</v>
      </c>
      <c r="J19" s="46"/>
    </row>
    <row r="20" spans="1:12" ht="3.6" customHeight="1" x14ac:dyDescent="0.2">
      <c r="A20" s="51"/>
      <c r="B20" s="68"/>
      <c r="C20" s="68"/>
      <c r="D20" s="68"/>
      <c r="E20" s="68"/>
      <c r="F20" s="68"/>
      <c r="G20" s="68"/>
      <c r="H20" s="68"/>
      <c r="I20" s="68"/>
      <c r="J20" s="46"/>
    </row>
    <row r="21" spans="1:12" ht="12" customHeight="1" x14ac:dyDescent="0.2">
      <c r="A21" s="51" t="s">
        <v>170</v>
      </c>
      <c r="B21" s="53"/>
      <c r="C21" s="53">
        <f t="shared" ref="C21:I21" si="0">IF(C18=0,0,IF(C19&gt;C18,"!","OK"))</f>
        <v>0</v>
      </c>
      <c r="D21" s="53">
        <f t="shared" si="0"/>
        <v>0</v>
      </c>
      <c r="E21" s="53">
        <f t="shared" si="0"/>
        <v>0</v>
      </c>
      <c r="F21" s="53">
        <f t="shared" si="0"/>
        <v>0</v>
      </c>
      <c r="G21" s="53">
        <f t="shared" si="0"/>
        <v>0</v>
      </c>
      <c r="H21" s="53">
        <f t="shared" si="0"/>
        <v>0</v>
      </c>
      <c r="I21" s="53">
        <f t="shared" si="0"/>
        <v>0</v>
      </c>
      <c r="J21" s="46"/>
    </row>
    <row r="22" spans="1:12" ht="12" customHeight="1" x14ac:dyDescent="0.2">
      <c r="A22" s="46"/>
      <c r="B22" s="46"/>
      <c r="C22" s="46"/>
      <c r="D22" s="46"/>
      <c r="E22" s="46"/>
      <c r="F22" s="46"/>
      <c r="G22" s="46"/>
      <c r="H22" s="46"/>
      <c r="I22" s="46"/>
      <c r="J22" s="46"/>
    </row>
    <row r="23" spans="1:12" ht="12" customHeight="1" x14ac:dyDescent="0.2">
      <c r="A23" s="69"/>
      <c r="B23" s="70"/>
      <c r="C23" s="71"/>
      <c r="D23" s="72">
        <f>IF(F14="Y","CPv (1-yr)",0)</f>
        <v>0</v>
      </c>
      <c r="E23" s="67" t="s">
        <v>164</v>
      </c>
      <c r="F23" s="67" t="s">
        <v>167</v>
      </c>
      <c r="G23" s="46"/>
      <c r="H23" s="46"/>
      <c r="I23" s="46"/>
      <c r="J23" s="46"/>
      <c r="K23" s="49" t="s">
        <v>203</v>
      </c>
      <c r="L23" s="50"/>
    </row>
    <row r="24" spans="1:12" ht="12" customHeight="1" x14ac:dyDescent="0.2">
      <c r="A24" s="46" t="s">
        <v>278</v>
      </c>
      <c r="D24" s="73">
        <f>IF(F14="Y",IF(K25=0,'Step 9 - Results'!D14-I24,K25-K24),0)</f>
        <v>0</v>
      </c>
      <c r="E24" s="73">
        <f>IF(K26=0,'Step 9 - Results'!D17-I24,K26-K24)</f>
        <v>-100</v>
      </c>
      <c r="F24" s="73">
        <f>IF(K27=0,'Step 9 - Results'!D20-'CL_2 - Design Summary'!I24,K27-K24)</f>
        <v>-100</v>
      </c>
      <c r="G24" s="46" t="s">
        <v>270</v>
      </c>
      <c r="H24" s="46"/>
      <c r="I24" s="74">
        <f>IF(K24=0,'Step 5-7 Final Storage Volumes'!G5,K24)</f>
        <v>100</v>
      </c>
      <c r="J24" s="46"/>
      <c r="K24" s="75">
        <v>0</v>
      </c>
      <c r="L24" s="50" t="s">
        <v>171</v>
      </c>
    </row>
    <row r="25" spans="1:12" ht="12" customHeight="1" x14ac:dyDescent="0.2">
      <c r="A25" s="46"/>
      <c r="B25" s="46"/>
      <c r="C25" s="23" t="s">
        <v>282</v>
      </c>
      <c r="D25" s="53">
        <f>IF(D24=0,0,IF(D24&lt;=2.5,"OK","!"))</f>
        <v>0</v>
      </c>
      <c r="E25" s="53" t="str">
        <f>IF(E24=0,0,IF(E24&lt;=4,"OK","!"))</f>
        <v>OK</v>
      </c>
      <c r="F25" s="53" t="str">
        <f>IF(F24=0,0,IF(F24&lt;=6,"OK","!"))</f>
        <v>OK</v>
      </c>
      <c r="G25" s="278" t="s">
        <v>283</v>
      </c>
      <c r="H25" s="278"/>
      <c r="I25" s="34" t="str">
        <f>IF(K24&gt;0,"MANUAL"," ")</f>
        <v xml:space="preserve"> </v>
      </c>
      <c r="J25" s="46"/>
      <c r="K25" s="75">
        <v>0</v>
      </c>
      <c r="L25" s="50" t="s">
        <v>209</v>
      </c>
    </row>
    <row r="26" spans="1:12" ht="12" customHeight="1" x14ac:dyDescent="0.2">
      <c r="A26" s="46"/>
      <c r="B26" s="46"/>
      <c r="D26" s="34" t="str">
        <f>IF(K25&gt;0,"MANUAL"," ")</f>
        <v xml:space="preserve"> </v>
      </c>
      <c r="E26" s="34" t="str">
        <f>IF(K26&gt;0,"MANUAL"," ")</f>
        <v xml:space="preserve"> </v>
      </c>
      <c r="F26" s="34" t="str">
        <f>IF(K27&gt;0,"MANUAL"," ")</f>
        <v xml:space="preserve"> </v>
      </c>
      <c r="G26" s="278"/>
      <c r="H26" s="278"/>
      <c r="I26" s="46"/>
      <c r="J26" s="46"/>
      <c r="K26" s="75">
        <v>0</v>
      </c>
      <c r="L26" s="50" t="s">
        <v>210</v>
      </c>
    </row>
    <row r="27" spans="1:12" ht="12" customHeight="1" x14ac:dyDescent="0.2">
      <c r="A27" s="76" t="s">
        <v>266</v>
      </c>
      <c r="B27" s="77"/>
      <c r="C27" s="77"/>
      <c r="D27" s="77"/>
      <c r="E27" s="77"/>
      <c r="F27" s="77"/>
      <c r="G27" s="278"/>
      <c r="H27" s="278"/>
      <c r="I27" s="46"/>
      <c r="J27" s="46"/>
      <c r="K27" s="75">
        <v>0</v>
      </c>
      <c r="L27" s="50" t="s">
        <v>211</v>
      </c>
    </row>
    <row r="28" spans="1:12" ht="12" customHeight="1" x14ac:dyDescent="0.2">
      <c r="A28" s="51"/>
      <c r="B28" s="46"/>
      <c r="C28" s="46"/>
      <c r="D28" s="46"/>
      <c r="E28" s="46"/>
      <c r="F28" s="46"/>
      <c r="G28" s="46"/>
      <c r="H28" s="46"/>
      <c r="I28" s="46"/>
      <c r="J28" s="46"/>
    </row>
    <row r="29" spans="1:12" ht="12" customHeight="1" x14ac:dyDescent="0.2">
      <c r="A29" s="51"/>
      <c r="B29" s="46"/>
      <c r="C29" s="46"/>
      <c r="D29" s="20" t="s">
        <v>280</v>
      </c>
      <c r="E29" s="78">
        <f>MAX('Step 5-7 Final Storage Volumes'!C14:C25)/('CL_1 - Site Screening'!C29*43560)</f>
        <v>0</v>
      </c>
      <c r="F29" s="46" t="s">
        <v>177</v>
      </c>
      <c r="G29" s="46"/>
      <c r="H29" s="46"/>
      <c r="I29" s="46"/>
      <c r="J29" s="46"/>
    </row>
    <row r="30" spans="1:12" ht="12" customHeight="1" x14ac:dyDescent="0.2">
      <c r="A30" s="51"/>
      <c r="B30" s="46"/>
      <c r="C30" s="58" t="s">
        <v>281</v>
      </c>
      <c r="D30" s="20"/>
      <c r="E30" s="78"/>
      <c r="F30" s="46"/>
      <c r="G30" s="46"/>
      <c r="H30" s="46"/>
      <c r="I30" s="46"/>
      <c r="J30" s="46"/>
    </row>
    <row r="31" spans="1:12" ht="12" customHeight="1" x14ac:dyDescent="0.2">
      <c r="A31" s="51"/>
      <c r="B31" s="46"/>
      <c r="C31" s="58"/>
      <c r="D31" s="20"/>
      <c r="E31" s="78"/>
      <c r="F31" s="46"/>
      <c r="G31" s="46"/>
      <c r="H31" s="46"/>
      <c r="I31" s="46"/>
      <c r="J31" s="46"/>
    </row>
    <row r="32" spans="1:12" ht="12" customHeight="1" x14ac:dyDescent="0.2">
      <c r="A32" s="46"/>
      <c r="C32" s="46"/>
      <c r="D32" s="23" t="s">
        <v>11</v>
      </c>
      <c r="E32" s="79">
        <f>'Step 5-7 Final Storage Volumes'!E27</f>
        <v>0</v>
      </c>
      <c r="F32" s="80" t="s">
        <v>176</v>
      </c>
      <c r="G32" s="22"/>
      <c r="H32" s="46"/>
      <c r="I32" s="46"/>
      <c r="J32" s="46"/>
    </row>
    <row r="33" spans="1:10" ht="12" customHeight="1" x14ac:dyDescent="0.2">
      <c r="A33" s="46"/>
      <c r="B33" s="46"/>
      <c r="C33" s="46"/>
      <c r="D33" s="46"/>
      <c r="E33" s="46"/>
      <c r="F33" s="46"/>
      <c r="G33" s="46"/>
      <c r="H33" s="46"/>
      <c r="I33" s="46"/>
      <c r="J33" s="46"/>
    </row>
    <row r="34" spans="1:10" ht="12" customHeight="1" x14ac:dyDescent="0.2">
      <c r="A34" s="81" t="s">
        <v>267</v>
      </c>
      <c r="B34" s="81"/>
      <c r="C34" s="81"/>
      <c r="D34" s="81"/>
      <c r="E34" s="81"/>
      <c r="F34" s="81"/>
      <c r="G34" s="81"/>
      <c r="H34" s="81"/>
      <c r="I34" s="81"/>
      <c r="J34" s="46"/>
    </row>
    <row r="35" spans="1:10" ht="12" customHeight="1" x14ac:dyDescent="0.2">
      <c r="A35" s="46"/>
      <c r="B35" s="46"/>
      <c r="C35" s="46"/>
      <c r="D35" s="46"/>
      <c r="E35" s="46"/>
      <c r="F35" s="46"/>
      <c r="G35" s="46"/>
      <c r="H35" s="46"/>
      <c r="I35" s="46"/>
      <c r="J35" s="46"/>
    </row>
    <row r="36" spans="1:10" ht="12" customHeight="1" x14ac:dyDescent="0.2">
      <c r="A36" s="46"/>
      <c r="B36" s="46"/>
      <c r="C36" s="46"/>
      <c r="D36" s="23" t="s">
        <v>258</v>
      </c>
      <c r="E36" s="82"/>
      <c r="F36" s="46" t="s">
        <v>85</v>
      </c>
      <c r="G36" s="46"/>
      <c r="H36" s="46"/>
      <c r="I36" s="46"/>
      <c r="J36" s="46"/>
    </row>
    <row r="37" spans="1:10" ht="12" customHeight="1" x14ac:dyDescent="0.2">
      <c r="A37" s="46"/>
      <c r="B37" s="46"/>
      <c r="C37" s="46"/>
      <c r="D37" s="23" t="s">
        <v>286</v>
      </c>
      <c r="E37" s="82"/>
      <c r="F37" s="46" t="s">
        <v>85</v>
      </c>
      <c r="G37" s="46" t="s">
        <v>174</v>
      </c>
      <c r="H37" s="26" t="str">
        <f>IF(E36=0,"NA",E37/E36)</f>
        <v>NA</v>
      </c>
      <c r="I37" s="22" t="str">
        <f>IF(H37="NA"," ",IF(H37&gt;=2,"OK","!"))</f>
        <v xml:space="preserve"> </v>
      </c>
      <c r="J37" s="46"/>
    </row>
    <row r="38" spans="1:10" ht="12" customHeight="1" x14ac:dyDescent="0.2">
      <c r="A38" s="46"/>
      <c r="B38" s="46"/>
      <c r="C38" s="46"/>
      <c r="D38" s="46"/>
      <c r="E38" s="46"/>
      <c r="F38" s="46"/>
      <c r="G38" s="46"/>
      <c r="H38" s="46"/>
      <c r="I38" s="46"/>
      <c r="J38" s="46"/>
    </row>
    <row r="39" spans="1:10" ht="12" customHeight="1" x14ac:dyDescent="0.2">
      <c r="A39" s="46"/>
      <c r="C39" s="46"/>
      <c r="D39" s="46"/>
      <c r="E39" s="23" t="s">
        <v>253</v>
      </c>
      <c r="F39" s="82"/>
      <c r="G39" s="46"/>
      <c r="H39" s="22">
        <f>IF(F39=0,0,IF(F39-F24-I24&gt;=1,"OK","!"))</f>
        <v>0</v>
      </c>
      <c r="I39" s="46"/>
      <c r="J39" s="46"/>
    </row>
    <row r="40" spans="1:10" ht="12" customHeight="1" x14ac:dyDescent="0.2">
      <c r="A40" s="46"/>
      <c r="C40" s="46"/>
      <c r="D40" s="46"/>
      <c r="E40" s="23"/>
      <c r="F40" s="83">
        <f>IF(F39=0,0,IF(F39-F24-I24&lt;1,"DAM CREST &lt; 1' ABOVE 100-YR HIGH WATER ELEV",0))</f>
        <v>0</v>
      </c>
      <c r="G40" s="46"/>
      <c r="H40" s="22"/>
      <c r="I40" s="46"/>
      <c r="J40" s="46"/>
    </row>
    <row r="41" spans="1:10" ht="12" customHeight="1" x14ac:dyDescent="0.2">
      <c r="A41" s="46"/>
      <c r="C41" s="46"/>
      <c r="D41" s="46"/>
      <c r="E41" s="23" t="s">
        <v>254</v>
      </c>
      <c r="F41" s="82"/>
      <c r="G41" s="46"/>
      <c r="H41" s="22">
        <f>IF(F41=0,0,IF(F39-F41&gt;=1.5,"OK","!"))</f>
        <v>0</v>
      </c>
      <c r="I41" s="46"/>
      <c r="J41" s="46"/>
    </row>
    <row r="42" spans="1:10" ht="12" customHeight="1" x14ac:dyDescent="0.2">
      <c r="A42" s="46"/>
      <c r="C42" s="46"/>
      <c r="D42" s="46"/>
      <c r="E42" s="23"/>
      <c r="F42" s="83">
        <f>IF(F39=0,0,IF(F39-F41&lt;1.5,"AUX. SPILLWAY CREST &lt; 1.5' BELOW DAM CREST",0))</f>
        <v>0</v>
      </c>
      <c r="G42" s="46"/>
      <c r="H42" s="22"/>
      <c r="I42" s="46"/>
      <c r="J42" s="46"/>
    </row>
    <row r="43" spans="1:10" ht="12" customHeight="1" x14ac:dyDescent="0.2">
      <c r="A43" s="46"/>
      <c r="C43" s="46"/>
      <c r="D43" s="46"/>
      <c r="E43" s="23"/>
      <c r="F43" s="26"/>
      <c r="G43" s="46"/>
      <c r="H43" s="22"/>
      <c r="I43" s="46"/>
      <c r="J43" s="46"/>
    </row>
    <row r="44" spans="1:10" ht="12" customHeight="1" x14ac:dyDescent="0.2">
      <c r="A44" s="46"/>
      <c r="C44" s="46"/>
      <c r="D44" s="46"/>
      <c r="E44" s="23" t="s">
        <v>272</v>
      </c>
      <c r="F44" s="82"/>
      <c r="G44" s="46" t="s">
        <v>29</v>
      </c>
      <c r="H44" s="22"/>
      <c r="I44" s="46"/>
      <c r="J44" s="46"/>
    </row>
    <row r="45" spans="1:10" ht="12" customHeight="1" x14ac:dyDescent="0.2">
      <c r="A45" s="46"/>
      <c r="C45" s="46"/>
      <c r="D45" s="46"/>
      <c r="E45" s="23" t="s">
        <v>273</v>
      </c>
      <c r="F45" s="82"/>
      <c r="G45" s="46" t="s">
        <v>175</v>
      </c>
      <c r="H45" s="22" t="str">
        <f>IF(F45=0," ",IF(F45&gt;=6,"OK","!"))</f>
        <v xml:space="preserve"> </v>
      </c>
      <c r="I45" s="46"/>
      <c r="J45" s="46"/>
    </row>
    <row r="46" spans="1:10" ht="12" customHeight="1" x14ac:dyDescent="0.2">
      <c r="A46" s="46"/>
      <c r="C46" s="46"/>
      <c r="D46" s="46"/>
      <c r="E46" s="23" t="s">
        <v>257</v>
      </c>
      <c r="F46" s="82"/>
      <c r="G46" s="46" t="s">
        <v>175</v>
      </c>
      <c r="H46" s="22" t="str">
        <f>IF(F46=0," ",IF(F46&gt;=4,"OK",IF(F46&gt;=3,"/","!")))</f>
        <v xml:space="preserve"> </v>
      </c>
      <c r="I46" s="46"/>
      <c r="J46" s="46"/>
    </row>
    <row r="47" spans="1:10" ht="12" customHeight="1" x14ac:dyDescent="0.2">
      <c r="A47" s="46"/>
      <c r="B47" s="46"/>
      <c r="C47" s="46"/>
      <c r="D47" s="46"/>
      <c r="E47" s="46"/>
      <c r="F47" s="26"/>
      <c r="G47" s="46"/>
      <c r="H47" s="46"/>
      <c r="I47" s="46"/>
      <c r="J47" s="46"/>
    </row>
    <row r="48" spans="1:10" ht="12" customHeight="1" x14ac:dyDescent="0.2">
      <c r="A48" s="46"/>
      <c r="B48" s="46"/>
      <c r="C48" s="46"/>
      <c r="D48" s="46"/>
      <c r="E48" s="23" t="s">
        <v>255</v>
      </c>
      <c r="F48" s="82"/>
      <c r="G48" s="46" t="s">
        <v>85</v>
      </c>
      <c r="H48" s="46"/>
      <c r="I48" s="46"/>
      <c r="J48" s="46"/>
    </row>
    <row r="49" spans="1:10" ht="12" customHeight="1" x14ac:dyDescent="0.2">
      <c r="A49" s="46"/>
      <c r="B49" s="46"/>
      <c r="C49" s="46"/>
      <c r="D49" s="46"/>
      <c r="E49" s="46"/>
      <c r="F49" s="46"/>
      <c r="G49" s="46"/>
      <c r="H49" s="46"/>
      <c r="I49" s="46"/>
      <c r="J49" s="46"/>
    </row>
    <row r="50" spans="1:10" ht="12" customHeight="1" x14ac:dyDescent="0.2">
      <c r="A50" s="84" t="s">
        <v>180</v>
      </c>
      <c r="B50" s="84"/>
      <c r="C50" s="84"/>
      <c r="D50" s="84"/>
      <c r="E50" s="84"/>
      <c r="F50" s="84"/>
      <c r="G50" s="84"/>
      <c r="H50" s="84"/>
      <c r="I50" s="84"/>
      <c r="J50" s="46"/>
    </row>
    <row r="51" spans="1:10" ht="24" customHeight="1" x14ac:dyDescent="0.2">
      <c r="A51" s="46"/>
      <c r="B51" s="46"/>
      <c r="C51" s="46"/>
      <c r="D51" s="24" t="s">
        <v>184</v>
      </c>
      <c r="E51" s="85" t="s">
        <v>188</v>
      </c>
      <c r="G51" s="46"/>
      <c r="H51" s="46"/>
      <c r="I51" s="46"/>
      <c r="J51" s="46"/>
    </row>
    <row r="52" spans="1:10" ht="12" customHeight="1" x14ac:dyDescent="0.2">
      <c r="B52" s="46"/>
      <c r="C52" s="46"/>
      <c r="D52" s="23" t="s">
        <v>183</v>
      </c>
      <c r="E52" s="86"/>
      <c r="G52" s="23" t="s">
        <v>198</v>
      </c>
      <c r="H52" s="86"/>
      <c r="I52" s="25" t="s">
        <v>34</v>
      </c>
      <c r="J52" s="46"/>
    </row>
    <row r="53" spans="1:10" ht="12" customHeight="1" x14ac:dyDescent="0.2">
      <c r="B53" s="46"/>
      <c r="C53" s="46"/>
      <c r="D53" s="23" t="s">
        <v>190</v>
      </c>
      <c r="E53" s="86"/>
      <c r="G53" s="46"/>
      <c r="H53" s="46"/>
      <c r="I53" s="46"/>
      <c r="J53" s="46"/>
    </row>
    <row r="54" spans="1:10" ht="12" customHeight="1" x14ac:dyDescent="0.2">
      <c r="B54" s="46"/>
      <c r="C54" s="46"/>
      <c r="D54" s="23" t="s">
        <v>191</v>
      </c>
      <c r="E54" s="86"/>
      <c r="G54" s="46"/>
      <c r="H54" s="46"/>
      <c r="I54" s="46"/>
      <c r="J54" s="46"/>
    </row>
    <row r="55" spans="1:10" x14ac:dyDescent="0.2">
      <c r="B55" s="28"/>
      <c r="C55" s="26"/>
      <c r="D55" s="23" t="s">
        <v>185</v>
      </c>
      <c r="E55" s="86"/>
      <c r="G55" s="28"/>
      <c r="H55" s="28"/>
      <c r="I55" s="28"/>
      <c r="J55" s="28"/>
    </row>
    <row r="56" spans="1:10" x14ac:dyDescent="0.2">
      <c r="B56" s="28"/>
      <c r="C56" s="26"/>
      <c r="D56" s="23" t="s">
        <v>186</v>
      </c>
      <c r="E56" s="86"/>
      <c r="G56" s="28"/>
      <c r="I56" s="28"/>
      <c r="J56" s="28"/>
    </row>
    <row r="57" spans="1:10" x14ac:dyDescent="0.2">
      <c r="B57" s="28"/>
      <c r="C57" s="26"/>
      <c r="D57" s="23" t="s">
        <v>181</v>
      </c>
      <c r="E57" s="86"/>
      <c r="F57" s="28"/>
      <c r="G57" s="23" t="s">
        <v>182</v>
      </c>
      <c r="H57" s="86"/>
      <c r="I57" s="25" t="s">
        <v>34</v>
      </c>
      <c r="J57" s="28"/>
    </row>
    <row r="58" spans="1:10" x14ac:dyDescent="0.2">
      <c r="B58" s="28"/>
      <c r="C58" s="26"/>
      <c r="D58" s="23" t="s">
        <v>187</v>
      </c>
      <c r="E58" s="86"/>
      <c r="G58" s="23" t="s">
        <v>189</v>
      </c>
      <c r="H58" s="86"/>
      <c r="I58" s="25" t="s">
        <v>34</v>
      </c>
      <c r="J58" s="28"/>
    </row>
    <row r="59" spans="1:10" ht="12.75" thickBot="1" x14ac:dyDescent="0.25">
      <c r="A59" s="28"/>
      <c r="B59" s="28"/>
      <c r="C59" s="26"/>
      <c r="D59" s="28"/>
      <c r="E59" s="28"/>
      <c r="F59" s="28"/>
      <c r="G59" s="28"/>
      <c r="H59" s="28"/>
      <c r="I59" s="28"/>
      <c r="J59" s="28"/>
    </row>
    <row r="60" spans="1:10" ht="15" x14ac:dyDescent="0.25">
      <c r="A60" s="41" t="s">
        <v>236</v>
      </c>
      <c r="B60" s="41"/>
      <c r="C60" s="41"/>
      <c r="D60" s="41"/>
      <c r="E60" s="41"/>
      <c r="F60" s="41"/>
      <c r="G60" s="41"/>
      <c r="H60" s="41"/>
      <c r="I60" s="41"/>
    </row>
    <row r="61" spans="1:10" ht="15" x14ac:dyDescent="0.25">
      <c r="A61" s="42" t="s">
        <v>237</v>
      </c>
      <c r="B61" s="42"/>
      <c r="C61" s="42"/>
      <c r="D61" s="42"/>
      <c r="E61" s="42"/>
      <c r="F61" s="42"/>
      <c r="G61" s="42"/>
      <c r="H61" s="42"/>
      <c r="I61" s="43" t="str">
        <f>'CL_1 - Site Screening'!J70</f>
        <v>IDALS: Issue Date: 08/03/2020</v>
      </c>
    </row>
    <row r="62" spans="1:10" x14ac:dyDescent="0.2">
      <c r="A62" s="28"/>
      <c r="B62" s="28"/>
      <c r="C62" s="28"/>
      <c r="D62" s="28"/>
      <c r="E62" s="26"/>
      <c r="F62" s="28"/>
      <c r="G62" s="28"/>
      <c r="H62" s="28"/>
      <c r="I62" s="28"/>
      <c r="J62" s="28"/>
    </row>
    <row r="63" spans="1:10" x14ac:dyDescent="0.2">
      <c r="A63" s="28"/>
      <c r="B63" s="28"/>
      <c r="C63" s="28"/>
      <c r="D63" s="28"/>
      <c r="E63" s="26"/>
      <c r="F63" s="28"/>
      <c r="G63" s="28"/>
      <c r="H63" s="28"/>
      <c r="I63" s="28"/>
      <c r="J63" s="28"/>
    </row>
    <row r="64" spans="1:10" x14ac:dyDescent="0.2">
      <c r="A64" s="28"/>
      <c r="B64" s="28"/>
      <c r="C64" s="28"/>
      <c r="D64" s="28"/>
      <c r="E64" s="26"/>
      <c r="F64" s="28"/>
      <c r="G64" s="28"/>
      <c r="H64" s="28"/>
      <c r="I64" s="28"/>
      <c r="J64" s="28"/>
    </row>
    <row r="65" spans="1:10" x14ac:dyDescent="0.2">
      <c r="A65" s="28"/>
      <c r="B65" s="28"/>
      <c r="C65" s="28"/>
      <c r="D65" s="28"/>
      <c r="E65" s="26"/>
      <c r="F65" s="28"/>
      <c r="G65" s="28"/>
      <c r="H65" s="28"/>
      <c r="I65" s="28"/>
      <c r="J65" s="28"/>
    </row>
    <row r="66" spans="1:10" x14ac:dyDescent="0.2">
      <c r="A66" s="28"/>
      <c r="B66" s="28"/>
      <c r="C66" s="28"/>
      <c r="D66" s="28"/>
      <c r="E66" s="26"/>
      <c r="F66" s="28"/>
      <c r="G66" s="28"/>
      <c r="H66" s="28"/>
      <c r="I66" s="28"/>
      <c r="J66" s="28"/>
    </row>
    <row r="67" spans="1:10" x14ac:dyDescent="0.2">
      <c r="A67" s="28"/>
      <c r="B67" s="28"/>
      <c r="C67" s="28"/>
      <c r="D67" s="28"/>
      <c r="E67" s="26"/>
      <c r="F67" s="28"/>
      <c r="G67" s="28"/>
      <c r="H67" s="28"/>
      <c r="I67" s="28"/>
      <c r="J67" s="28"/>
    </row>
  </sheetData>
  <sheetProtection algorithmName="SHA-512" hashValue="QLTYGXLIStoGBIYtBzkoxBQzdCPSTTjHNp8fxftj4btV4V3ZmgdFrAprmrxenuX0CfjO4gf98oh4T78GfNv7SA==" saltValue="1zK2iVRe7Lo38JT/O13JIQ==" spinCount="100000" sheet="1" selectLockedCells="1"/>
  <mergeCells count="8">
    <mergeCell ref="G25:H27"/>
    <mergeCell ref="A2:I2"/>
    <mergeCell ref="A7:I7"/>
    <mergeCell ref="A1:I1"/>
    <mergeCell ref="C3:I3"/>
    <mergeCell ref="A5:B5"/>
    <mergeCell ref="C5:E5"/>
    <mergeCell ref="G5:I5"/>
  </mergeCells>
  <conditionalFormatting sqref="H11:H14 G32 H39:H46">
    <cfRule type="cellIs" dxfId="18" priority="31" operator="equal">
      <formula>"!"</formula>
    </cfRule>
    <cfRule type="cellIs" dxfId="17" priority="32" operator="equal">
      <formula>"OK"</formula>
    </cfRule>
  </conditionalFormatting>
  <conditionalFormatting sqref="C21:I21">
    <cfRule type="cellIs" dxfId="16" priority="29" operator="equal">
      <formula>"!"</formula>
    </cfRule>
    <cfRule type="cellIs" dxfId="15" priority="30" operator="equal">
      <formula>"OK"</formula>
    </cfRule>
  </conditionalFormatting>
  <conditionalFormatting sqref="D25:F25">
    <cfRule type="cellIs" dxfId="14" priority="27" operator="equal">
      <formula>"!"</formula>
    </cfRule>
    <cfRule type="cellIs" dxfId="13" priority="28" operator="equal">
      <formula>"OK"</formula>
    </cfRule>
  </conditionalFormatting>
  <conditionalFormatting sqref="I37">
    <cfRule type="cellIs" dxfId="12" priority="19" operator="equal">
      <formula>"!"</formula>
    </cfRule>
    <cfRule type="cellIs" dxfId="11" priority="20" operator="equal">
      <formula>"OK"</formula>
    </cfRule>
  </conditionalFormatting>
  <conditionalFormatting sqref="H57:I57">
    <cfRule type="duplicateValues" dxfId="10" priority="12"/>
  </conditionalFormatting>
  <conditionalFormatting sqref="H52:I52">
    <cfRule type="duplicateValues" dxfId="9" priority="11"/>
  </conditionalFormatting>
  <conditionalFormatting sqref="B21">
    <cfRule type="cellIs" dxfId="8" priority="6" operator="equal">
      <formula>"!"</formula>
    </cfRule>
    <cfRule type="cellIs" dxfId="7" priority="7" operator="equal">
      <formula>"OK"</formula>
    </cfRule>
  </conditionalFormatting>
  <conditionalFormatting sqref="H46">
    <cfRule type="cellIs" dxfId="6" priority="1" operator="equal">
      <formula>"/"</formula>
    </cfRule>
  </conditionalFormatting>
  <printOptions horizontalCentered="1" verticalCentered="1"/>
  <pageMargins left="0.25" right="0.25"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L52"/>
  <sheetViews>
    <sheetView view="pageBreakPreview" zoomScaleNormal="100" zoomScaleSheetLayoutView="100" workbookViewId="0">
      <selection activeCell="C11" sqref="C11"/>
    </sheetView>
  </sheetViews>
  <sheetFormatPr defaultColWidth="8.85546875" defaultRowHeight="12" x14ac:dyDescent="0.2"/>
  <cols>
    <col min="1" max="1" width="8.85546875" style="27"/>
    <col min="2" max="2" width="18.140625" style="27" customWidth="1"/>
    <col min="3" max="8" width="8.85546875" style="27"/>
    <col min="9" max="12" width="9.7109375" style="27" customWidth="1"/>
    <col min="13" max="16384" width="8.85546875" style="27"/>
  </cols>
  <sheetData>
    <row r="1" spans="1:12" ht="12.75" x14ac:dyDescent="0.2">
      <c r="A1" s="275" t="s">
        <v>192</v>
      </c>
      <c r="B1" s="275"/>
      <c r="C1" s="275"/>
      <c r="D1" s="275"/>
      <c r="E1" s="275"/>
      <c r="F1" s="275"/>
      <c r="G1" s="275"/>
    </row>
    <row r="2" spans="1:12" x14ac:dyDescent="0.2">
      <c r="A2" s="27" t="s">
        <v>147</v>
      </c>
      <c r="B2" s="286">
        <f>'CL_1 - Site Screening'!C3</f>
        <v>0</v>
      </c>
      <c r="C2" s="286"/>
      <c r="D2" s="286"/>
      <c r="E2" s="286"/>
      <c r="F2" s="27" t="s">
        <v>98</v>
      </c>
      <c r="G2" s="87">
        <f ca="1">'CL_1 - Site Screening'!G5</f>
        <v>44608</v>
      </c>
    </row>
    <row r="3" spans="1:12" x14ac:dyDescent="0.2">
      <c r="A3" s="88"/>
      <c r="B3" s="88"/>
      <c r="C3" s="88"/>
      <c r="D3" s="88"/>
      <c r="E3" s="88"/>
      <c r="F3" s="88"/>
    </row>
    <row r="4" spans="1:12" x14ac:dyDescent="0.2">
      <c r="A4" s="29" t="s">
        <v>58</v>
      </c>
      <c r="B4" s="29"/>
      <c r="C4" s="29"/>
      <c r="D4" s="29"/>
      <c r="E4" s="29"/>
      <c r="F4" s="29"/>
      <c r="G4" s="30"/>
    </row>
    <row r="5" spans="1:12" s="28" customFormat="1" ht="3.6" customHeight="1" x14ac:dyDescent="0.2">
      <c r="A5" s="89"/>
      <c r="B5" s="89"/>
      <c r="C5" s="89"/>
      <c r="D5" s="89"/>
      <c r="E5" s="89"/>
      <c r="F5" s="89"/>
    </row>
    <row r="6" spans="1:12" x14ac:dyDescent="0.2">
      <c r="A6" s="287" t="s">
        <v>289</v>
      </c>
      <c r="B6" s="287"/>
      <c r="C6" s="287"/>
      <c r="D6" s="287"/>
      <c r="E6" s="287"/>
      <c r="F6" s="287"/>
      <c r="G6" s="287"/>
    </row>
    <row r="7" spans="1:12" x14ac:dyDescent="0.2">
      <c r="A7" s="288" t="s">
        <v>288</v>
      </c>
      <c r="B7" s="288"/>
      <c r="C7" s="288"/>
      <c r="D7" s="288"/>
      <c r="E7" s="288"/>
      <c r="F7" s="288"/>
      <c r="G7" s="288"/>
    </row>
    <row r="9" spans="1:12" x14ac:dyDescent="0.2">
      <c r="A9" s="90" t="s">
        <v>223</v>
      </c>
      <c r="B9" s="90"/>
      <c r="C9" s="284" t="s">
        <v>16</v>
      </c>
      <c r="D9" s="284"/>
      <c r="E9" s="284"/>
      <c r="F9" s="284"/>
      <c r="G9" s="91"/>
    </row>
    <row r="10" spans="1:12" x14ac:dyDescent="0.2">
      <c r="A10" s="92" t="s">
        <v>60</v>
      </c>
      <c r="B10" s="92"/>
      <c r="C10" s="93" t="s">
        <v>17</v>
      </c>
      <c r="D10" s="93" t="s">
        <v>18</v>
      </c>
      <c r="E10" s="93" t="s">
        <v>19</v>
      </c>
      <c r="F10" s="93" t="s">
        <v>20</v>
      </c>
      <c r="I10" s="22" t="s">
        <v>17</v>
      </c>
      <c r="J10" s="22" t="s">
        <v>18</v>
      </c>
      <c r="K10" s="22" t="s">
        <v>19</v>
      </c>
      <c r="L10" s="22" t="s">
        <v>20</v>
      </c>
    </row>
    <row r="11" spans="1:12" x14ac:dyDescent="0.2">
      <c r="A11" s="27" t="s">
        <v>87</v>
      </c>
      <c r="C11" s="94">
        <v>0</v>
      </c>
      <c r="D11" s="94">
        <v>80</v>
      </c>
      <c r="E11" s="94">
        <v>0</v>
      </c>
      <c r="F11" s="94">
        <v>0</v>
      </c>
      <c r="I11" s="22">
        <v>30</v>
      </c>
      <c r="J11" s="22">
        <v>58</v>
      </c>
      <c r="K11" s="22">
        <v>71</v>
      </c>
      <c r="L11" s="22">
        <v>78</v>
      </c>
    </row>
    <row r="13" spans="1:12" x14ac:dyDescent="0.2">
      <c r="A13" s="27" t="s">
        <v>65</v>
      </c>
      <c r="C13" s="95">
        <f>SUM(C11:F11)</f>
        <v>80</v>
      </c>
      <c r="D13" s="27" t="s">
        <v>28</v>
      </c>
      <c r="F13" s="96"/>
      <c r="I13" s="27" t="s">
        <v>69</v>
      </c>
      <c r="J13" s="27">
        <v>1.25</v>
      </c>
      <c r="K13" s="27" t="s">
        <v>70</v>
      </c>
    </row>
    <row r="14" spans="1:12" x14ac:dyDescent="0.2">
      <c r="A14" s="27" t="s">
        <v>248</v>
      </c>
      <c r="C14" s="95">
        <f>IF(I16=0,ROUND(((C11*I11+D11*J11+E11*K11+F11*L11)/C13),0),I16)</f>
        <v>58</v>
      </c>
      <c r="F14" s="97"/>
    </row>
    <row r="15" spans="1:12" x14ac:dyDescent="0.2">
      <c r="D15" s="22"/>
      <c r="I15" s="98" t="s">
        <v>203</v>
      </c>
      <c r="J15" s="99"/>
      <c r="K15" s="99"/>
      <c r="L15" s="50"/>
    </row>
    <row r="16" spans="1:12" x14ac:dyDescent="0.2">
      <c r="I16" s="100">
        <v>0</v>
      </c>
      <c r="J16" s="99" t="s">
        <v>249</v>
      </c>
      <c r="K16" s="99"/>
      <c r="L16" s="50"/>
    </row>
    <row r="17" spans="1:12" x14ac:dyDescent="0.2">
      <c r="A17" s="101" t="s">
        <v>82</v>
      </c>
      <c r="B17" s="101"/>
      <c r="C17" s="285" t="s">
        <v>16</v>
      </c>
      <c r="D17" s="285"/>
      <c r="E17" s="285"/>
      <c r="F17" s="285"/>
      <c r="G17" s="102"/>
    </row>
    <row r="18" spans="1:12" x14ac:dyDescent="0.2">
      <c r="A18" s="92" t="s">
        <v>60</v>
      </c>
      <c r="B18" s="92"/>
      <c r="C18" s="93" t="s">
        <v>17</v>
      </c>
      <c r="D18" s="93" t="s">
        <v>18</v>
      </c>
      <c r="E18" s="93" t="s">
        <v>19</v>
      </c>
      <c r="F18" s="93" t="s">
        <v>20</v>
      </c>
      <c r="I18" s="283" t="s">
        <v>229</v>
      </c>
      <c r="J18" s="283"/>
      <c r="K18" s="283"/>
      <c r="L18" s="283"/>
    </row>
    <row r="19" spans="1:12" x14ac:dyDescent="0.2">
      <c r="A19" s="27" t="s">
        <v>59</v>
      </c>
      <c r="C19" s="94">
        <v>0</v>
      </c>
      <c r="D19" s="94">
        <v>0</v>
      </c>
      <c r="E19" s="94">
        <v>0</v>
      </c>
      <c r="F19" s="94">
        <v>0</v>
      </c>
      <c r="I19" s="22" t="s">
        <v>17</v>
      </c>
      <c r="J19" s="22" t="s">
        <v>18</v>
      </c>
      <c r="K19" s="22" t="s">
        <v>19</v>
      </c>
      <c r="L19" s="22" t="s">
        <v>20</v>
      </c>
    </row>
    <row r="20" spans="1:12" x14ac:dyDescent="0.2">
      <c r="A20" s="27" t="s">
        <v>61</v>
      </c>
      <c r="C20" s="94">
        <v>0</v>
      </c>
      <c r="D20" s="94">
        <v>0</v>
      </c>
      <c r="E20" s="94">
        <v>0</v>
      </c>
      <c r="F20" s="94">
        <v>0</v>
      </c>
      <c r="I20" s="22">
        <v>39</v>
      </c>
      <c r="J20" s="22">
        <v>61</v>
      </c>
      <c r="K20" s="22">
        <v>74</v>
      </c>
      <c r="L20" s="22">
        <v>80</v>
      </c>
    </row>
    <row r="21" spans="1:12" x14ac:dyDescent="0.2">
      <c r="A21" s="27" t="s">
        <v>62</v>
      </c>
      <c r="C21" s="94">
        <v>0</v>
      </c>
      <c r="D21" s="94">
        <v>0</v>
      </c>
      <c r="E21" s="94">
        <v>0</v>
      </c>
      <c r="F21" s="94">
        <v>0</v>
      </c>
      <c r="I21" s="22">
        <v>49</v>
      </c>
      <c r="J21" s="22">
        <v>69</v>
      </c>
      <c r="K21" s="22">
        <v>79</v>
      </c>
      <c r="L21" s="22">
        <v>84</v>
      </c>
    </row>
    <row r="22" spans="1:12" x14ac:dyDescent="0.2">
      <c r="A22" s="27" t="s">
        <v>63</v>
      </c>
      <c r="C22" s="94">
        <v>0</v>
      </c>
      <c r="D22" s="94">
        <v>0</v>
      </c>
      <c r="E22" s="94">
        <v>0</v>
      </c>
      <c r="F22" s="94">
        <v>0</v>
      </c>
      <c r="I22" s="22">
        <v>68</v>
      </c>
      <c r="J22" s="22">
        <v>79</v>
      </c>
      <c r="K22" s="22">
        <v>86</v>
      </c>
      <c r="L22" s="22">
        <v>89</v>
      </c>
    </row>
    <row r="23" spans="1:12" x14ac:dyDescent="0.2">
      <c r="A23" s="27" t="s">
        <v>89</v>
      </c>
      <c r="C23" s="94">
        <v>0</v>
      </c>
      <c r="D23" s="94">
        <v>1</v>
      </c>
      <c r="E23" s="94">
        <v>0</v>
      </c>
      <c r="F23" s="94">
        <v>0</v>
      </c>
      <c r="I23" s="22">
        <v>64</v>
      </c>
      <c r="J23" s="22">
        <v>74</v>
      </c>
      <c r="K23" s="22">
        <v>81</v>
      </c>
      <c r="L23" s="22">
        <v>85</v>
      </c>
    </row>
    <row r="24" spans="1:12" x14ac:dyDescent="0.2">
      <c r="A24" s="27" t="s">
        <v>64</v>
      </c>
      <c r="C24" s="94">
        <v>0</v>
      </c>
      <c r="D24" s="94">
        <v>0</v>
      </c>
      <c r="E24" s="94">
        <v>0</v>
      </c>
      <c r="F24" s="94">
        <v>0</v>
      </c>
    </row>
    <row r="25" spans="1:12" x14ac:dyDescent="0.2">
      <c r="A25" s="27" t="s">
        <v>88</v>
      </c>
      <c r="C25" s="103">
        <v>92</v>
      </c>
      <c r="D25" s="103">
        <v>92</v>
      </c>
      <c r="E25" s="103">
        <v>92</v>
      </c>
      <c r="F25" s="103">
        <v>92</v>
      </c>
      <c r="I25" s="98" t="s">
        <v>203</v>
      </c>
      <c r="J25" s="99"/>
      <c r="K25" s="99"/>
      <c r="L25" s="50"/>
    </row>
    <row r="26" spans="1:12" x14ac:dyDescent="0.2">
      <c r="C26" s="22"/>
      <c r="D26" s="20" t="s">
        <v>90</v>
      </c>
      <c r="E26" s="104" t="s">
        <v>92</v>
      </c>
      <c r="F26" s="22" t="s">
        <v>91</v>
      </c>
      <c r="I26" s="100">
        <v>0</v>
      </c>
      <c r="J26" s="99" t="s">
        <v>212</v>
      </c>
      <c r="K26" s="99"/>
      <c r="L26" s="50"/>
    </row>
    <row r="28" spans="1:12" x14ac:dyDescent="0.2">
      <c r="C28" s="105">
        <f>SUM(C19:F23)+SUM(C24:F24)</f>
        <v>1</v>
      </c>
      <c r="D28" s="27" t="s">
        <v>28</v>
      </c>
      <c r="E28" s="20" t="s">
        <v>67</v>
      </c>
      <c r="F28" s="106">
        <f>0.05+0.009*C29*100</f>
        <v>0.05</v>
      </c>
      <c r="I28" s="27" t="s">
        <v>69</v>
      </c>
      <c r="J28" s="27">
        <v>1.25</v>
      </c>
      <c r="K28" s="27" t="s">
        <v>70</v>
      </c>
    </row>
    <row r="29" spans="1:12" x14ac:dyDescent="0.2">
      <c r="C29" s="107">
        <f>(SUM(C19:F19)+SUM(C22:F22)/2+IF(E26="Y",SUM(C24:F24),0))/C28</f>
        <v>0</v>
      </c>
      <c r="E29" s="20" t="s">
        <v>68</v>
      </c>
      <c r="F29" s="108">
        <f>F28*J28*C28*43560/12+I26-IF(E26="N",0.05*J28*SUM(C24:F24)*43560/12,0)</f>
        <v>226.875</v>
      </c>
    </row>
    <row r="30" spans="1:12" x14ac:dyDescent="0.2">
      <c r="C30" s="20" t="s">
        <v>71</v>
      </c>
      <c r="D30" s="105">
        <f>ROUND(((SUM(C19:F19)*98+C20*I20+C21*I21+C22*I22+D20*J20+D21*J21+D22*J22+E20*K20+E21*K21+E22*K22+F20*L20+F21*L21+F22*L22+C24*C25+D24*D25+E24*E25+F24*F25+C23*I23+D23*J23+E23*K23+F23*L23)/C28),0)</f>
        <v>74</v>
      </c>
      <c r="F30" s="34" t="str">
        <f>IF(I26&gt;0,"MANUAL"," ")</f>
        <v xml:space="preserve"> </v>
      </c>
    </row>
    <row r="31" spans="1:12" x14ac:dyDescent="0.2">
      <c r="C31" s="20" t="s">
        <v>224</v>
      </c>
      <c r="D31" s="105">
        <f>ROUND(1000/((10+5*J28+10*1.25*F28)-(10*((1.25*F28)^2+1.25*1.25*F28*J28)^0.5)),0)</f>
        <v>73</v>
      </c>
      <c r="F31" s="20" t="s">
        <v>94</v>
      </c>
      <c r="G31" s="109">
        <f>1.25*F28</f>
        <v>6.25E-2</v>
      </c>
    </row>
    <row r="32" spans="1:12" x14ac:dyDescent="0.2">
      <c r="A32" s="22"/>
    </row>
    <row r="33" spans="1:12" x14ac:dyDescent="0.2">
      <c r="A33" s="110" t="s">
        <v>83</v>
      </c>
      <c r="B33" s="110"/>
      <c r="C33" s="282" t="s">
        <v>16</v>
      </c>
      <c r="D33" s="282"/>
      <c r="E33" s="282"/>
      <c r="F33" s="282"/>
      <c r="G33" s="111"/>
    </row>
    <row r="34" spans="1:12" x14ac:dyDescent="0.2">
      <c r="A34" s="92" t="s">
        <v>60</v>
      </c>
      <c r="B34" s="92"/>
      <c r="C34" s="93" t="s">
        <v>17</v>
      </c>
      <c r="D34" s="93" t="s">
        <v>18</v>
      </c>
      <c r="E34" s="93" t="s">
        <v>19</v>
      </c>
      <c r="F34" s="93" t="s">
        <v>20</v>
      </c>
      <c r="I34" s="283" t="s">
        <v>229</v>
      </c>
      <c r="J34" s="283"/>
      <c r="K34" s="283"/>
      <c r="L34" s="283"/>
    </row>
    <row r="35" spans="1:12" x14ac:dyDescent="0.2">
      <c r="A35" s="27" t="s">
        <v>59</v>
      </c>
      <c r="C35" s="94">
        <v>0</v>
      </c>
      <c r="D35" s="94">
        <v>0.5</v>
      </c>
      <c r="E35" s="94">
        <v>0</v>
      </c>
      <c r="F35" s="94">
        <v>0</v>
      </c>
      <c r="I35" s="22" t="s">
        <v>17</v>
      </c>
      <c r="J35" s="22" t="s">
        <v>18</v>
      </c>
      <c r="K35" s="22" t="s">
        <v>19</v>
      </c>
      <c r="L35" s="22" t="s">
        <v>20</v>
      </c>
    </row>
    <row r="36" spans="1:12" x14ac:dyDescent="0.2">
      <c r="A36" s="27" t="s">
        <v>218</v>
      </c>
      <c r="C36" s="94">
        <v>0</v>
      </c>
      <c r="D36" s="94">
        <v>0.5</v>
      </c>
      <c r="E36" s="94">
        <v>0</v>
      </c>
      <c r="F36" s="94">
        <v>0</v>
      </c>
      <c r="I36" s="22">
        <v>39</v>
      </c>
      <c r="J36" s="22">
        <v>61</v>
      </c>
      <c r="K36" s="22">
        <v>74</v>
      </c>
      <c r="L36" s="22">
        <v>80</v>
      </c>
    </row>
    <row r="37" spans="1:12" x14ac:dyDescent="0.2">
      <c r="A37" s="27" t="s">
        <v>217</v>
      </c>
      <c r="C37" s="94">
        <v>0</v>
      </c>
      <c r="D37" s="94">
        <v>0</v>
      </c>
      <c r="E37" s="94">
        <v>0</v>
      </c>
      <c r="F37" s="94">
        <v>0</v>
      </c>
      <c r="I37" s="22">
        <v>49</v>
      </c>
      <c r="J37" s="22">
        <v>69</v>
      </c>
      <c r="K37" s="22">
        <v>79</v>
      </c>
      <c r="L37" s="22">
        <v>84</v>
      </c>
    </row>
    <row r="38" spans="1:12" x14ac:dyDescent="0.2">
      <c r="A38" s="27" t="s">
        <v>63</v>
      </c>
      <c r="C38" s="94">
        <v>0</v>
      </c>
      <c r="D38" s="94">
        <v>0</v>
      </c>
      <c r="E38" s="94">
        <v>0</v>
      </c>
      <c r="F38" s="94">
        <v>0</v>
      </c>
      <c r="I38" s="22">
        <v>68</v>
      </c>
      <c r="J38" s="22">
        <v>79</v>
      </c>
      <c r="K38" s="22">
        <v>86</v>
      </c>
      <c r="L38" s="22">
        <v>89</v>
      </c>
    </row>
    <row r="39" spans="1:12" x14ac:dyDescent="0.2">
      <c r="A39" s="27" t="s">
        <v>89</v>
      </c>
      <c r="C39" s="94">
        <v>0</v>
      </c>
      <c r="D39" s="94">
        <v>0</v>
      </c>
      <c r="E39" s="94">
        <v>0</v>
      </c>
      <c r="F39" s="94">
        <v>0</v>
      </c>
      <c r="I39" s="22">
        <v>64</v>
      </c>
      <c r="J39" s="22">
        <v>74</v>
      </c>
      <c r="K39" s="22">
        <v>81</v>
      </c>
      <c r="L39" s="22">
        <v>85</v>
      </c>
    </row>
    <row r="40" spans="1:12" x14ac:dyDescent="0.2">
      <c r="A40" s="27" t="s">
        <v>64</v>
      </c>
      <c r="C40" s="94">
        <v>0</v>
      </c>
      <c r="D40" s="94">
        <v>0</v>
      </c>
      <c r="E40" s="94">
        <v>0</v>
      </c>
      <c r="F40" s="94">
        <v>0</v>
      </c>
    </row>
    <row r="41" spans="1:12" x14ac:dyDescent="0.2">
      <c r="A41" s="27" t="s">
        <v>88</v>
      </c>
      <c r="C41" s="103">
        <v>92</v>
      </c>
      <c r="D41" s="103">
        <v>92</v>
      </c>
      <c r="E41" s="103">
        <v>92</v>
      </c>
      <c r="F41" s="103">
        <v>92</v>
      </c>
      <c r="I41" s="98" t="s">
        <v>203</v>
      </c>
      <c r="J41" s="99"/>
      <c r="K41" s="99"/>
      <c r="L41" s="50"/>
    </row>
    <row r="42" spans="1:12" x14ac:dyDescent="0.2">
      <c r="C42" s="22"/>
      <c r="D42" s="20" t="s">
        <v>90</v>
      </c>
      <c r="E42" s="104" t="s">
        <v>92</v>
      </c>
      <c r="F42" s="22" t="s">
        <v>91</v>
      </c>
      <c r="I42" s="100">
        <v>0</v>
      </c>
      <c r="J42" s="99" t="s">
        <v>212</v>
      </c>
      <c r="K42" s="99"/>
      <c r="L42" s="50"/>
    </row>
    <row r="44" spans="1:12" x14ac:dyDescent="0.2">
      <c r="B44" s="20" t="s">
        <v>65</v>
      </c>
      <c r="C44" s="112">
        <f>SUM(C35:F39)+SUM(C40:F40)</f>
        <v>1</v>
      </c>
      <c r="D44" s="27" t="s">
        <v>28</v>
      </c>
      <c r="E44" s="20" t="s">
        <v>67</v>
      </c>
      <c r="F44" s="113">
        <f>0.05+0.009*C45*100</f>
        <v>0.49999999999999994</v>
      </c>
      <c r="I44" s="27" t="s">
        <v>69</v>
      </c>
      <c r="J44" s="27">
        <v>1.25</v>
      </c>
      <c r="K44" s="27" t="s">
        <v>70</v>
      </c>
    </row>
    <row r="45" spans="1:12" x14ac:dyDescent="0.2">
      <c r="B45" s="20" t="s">
        <v>66</v>
      </c>
      <c r="C45" s="114">
        <f>(SUM(C35:F35)+SUM(C38:F38)/2+IF(E42="Y",SUM(C40:F40),0))/C44</f>
        <v>0.5</v>
      </c>
      <c r="E45" s="20" t="s">
        <v>68</v>
      </c>
      <c r="F45" s="115">
        <f>F44*J44*C44*43560/12+I42-IF(E42="N",0.05*J44*SUM(C40:F40)*43560/12,0)</f>
        <v>2268.7499999999995</v>
      </c>
    </row>
    <row r="46" spans="1:12" x14ac:dyDescent="0.2">
      <c r="C46" s="20" t="s">
        <v>71</v>
      </c>
      <c r="D46" s="112">
        <f>ROUND(((SUM(C35:F35)*98+C36*I36+C37*I37+C38*I38+D36*J36+D37*J37+D38*J38+E36*K36+E37*K37+E38*K38+F36*L36+F37*L37+F38*L38+C40*C41+D40*D41+E40*E41+F40*F41+C39*I39+D39*J39+E39*K39+F39*L39)/C44),0)</f>
        <v>80</v>
      </c>
      <c r="F46" s="34" t="str">
        <f>IF(I42&gt;0,"MANUAL"," ")</f>
        <v xml:space="preserve"> </v>
      </c>
    </row>
    <row r="47" spans="1:12" x14ac:dyDescent="0.2">
      <c r="C47" s="20" t="s">
        <v>224</v>
      </c>
      <c r="D47" s="112">
        <f>ROUND(1000/((10+5*J44+10*1.25*F44)-(10*((1.25*F44)^2+1.25*1.25*F44*J44)^0.5)),0)</f>
        <v>93</v>
      </c>
      <c r="F47" s="20" t="s">
        <v>94</v>
      </c>
      <c r="G47" s="116">
        <f>1.25*F44</f>
        <v>0.62499999999999989</v>
      </c>
    </row>
    <row r="48" spans="1:12" x14ac:dyDescent="0.2">
      <c r="A48" s="117" t="s">
        <v>225</v>
      </c>
    </row>
    <row r="49" spans="1:7" x14ac:dyDescent="0.2">
      <c r="A49" s="117" t="s">
        <v>93</v>
      </c>
    </row>
    <row r="50" spans="1:7" ht="12.75" thickBot="1" x14ac:dyDescent="0.25"/>
    <row r="51" spans="1:7" ht="15" x14ac:dyDescent="0.25">
      <c r="A51" s="41" t="s">
        <v>238</v>
      </c>
      <c r="B51" s="41"/>
      <c r="C51" s="41"/>
      <c r="D51" s="41"/>
      <c r="E51" s="41"/>
      <c r="F51" s="41"/>
      <c r="G51" s="41"/>
    </row>
    <row r="52" spans="1:7" ht="15" x14ac:dyDescent="0.25">
      <c r="A52" s="42" t="s">
        <v>239</v>
      </c>
      <c r="B52" s="42"/>
      <c r="C52" s="42"/>
      <c r="D52" s="42"/>
      <c r="E52" s="42"/>
      <c r="F52" s="42"/>
      <c r="G52" s="43" t="str">
        <f>'CL_1 - Site Screening'!J70</f>
        <v>IDALS: Issue Date: 08/03/2020</v>
      </c>
    </row>
  </sheetData>
  <sheetProtection algorithmName="SHA-512" hashValue="ZAti6Z/mTKCHeUd5QPF6V+L8tpGDZxh3lqgIg07M/WZ9cLVDIwtgYlc8qUDPF5s7e57eohvDqGlNDjGodXHwrw==" saltValue="5V3L2OC/7i5LMzP1WwS3iA==" spinCount="100000" sheet="1" selectLockedCells="1"/>
  <mergeCells count="9">
    <mergeCell ref="A1:G1"/>
    <mergeCell ref="C33:F33"/>
    <mergeCell ref="I34:L34"/>
    <mergeCell ref="C9:F9"/>
    <mergeCell ref="C17:F17"/>
    <mergeCell ref="I18:L18"/>
    <mergeCell ref="B2:E2"/>
    <mergeCell ref="A6:G6"/>
    <mergeCell ref="A7:G7"/>
  </mergeCells>
  <printOptions horizontalCentered="1" verticalCentered="1"/>
  <pageMargins left="0.25" right="0.25"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S78"/>
  <sheetViews>
    <sheetView view="pageBreakPreview" zoomScaleNormal="100" zoomScaleSheetLayoutView="100" workbookViewId="0">
      <selection activeCell="B19" sqref="B19"/>
    </sheetView>
  </sheetViews>
  <sheetFormatPr defaultColWidth="8.85546875" defaultRowHeight="12.75" x14ac:dyDescent="0.2"/>
  <cols>
    <col min="1" max="1" width="10.85546875" style="119" customWidth="1"/>
    <col min="2" max="8" width="10.7109375" style="119" customWidth="1"/>
    <col min="9" max="9" width="8.85546875" style="119"/>
    <col min="10" max="10" width="15.42578125" style="119" customWidth="1"/>
    <col min="11" max="16384" width="8.85546875" style="119"/>
  </cols>
  <sheetData>
    <row r="1" spans="1:9" x14ac:dyDescent="0.2">
      <c r="A1" s="275" t="s">
        <v>194</v>
      </c>
      <c r="B1" s="275"/>
      <c r="C1" s="275"/>
      <c r="D1" s="275"/>
      <c r="E1" s="275"/>
      <c r="F1" s="275"/>
      <c r="G1" s="275"/>
      <c r="H1" s="275"/>
      <c r="I1" s="118"/>
    </row>
    <row r="2" spans="1:9" x14ac:dyDescent="0.2">
      <c r="A2" s="119" t="s">
        <v>147</v>
      </c>
      <c r="B2" s="293">
        <f>'CL_1 - Site Screening'!C3</f>
        <v>0</v>
      </c>
      <c r="C2" s="293"/>
      <c r="D2" s="293"/>
      <c r="E2" s="293"/>
      <c r="F2" s="119" t="s">
        <v>98</v>
      </c>
      <c r="G2" s="292">
        <f ca="1">'CL_1 - Site Screening'!G5</f>
        <v>44608</v>
      </c>
      <c r="H2" s="292"/>
    </row>
    <row r="3" spans="1:9" s="121" customFormat="1" x14ac:dyDescent="0.2">
      <c r="A3" s="120" t="s">
        <v>148</v>
      </c>
      <c r="B3" s="120"/>
      <c r="C3" s="120"/>
      <c r="D3" s="120"/>
      <c r="E3" s="120"/>
      <c r="F3" s="120"/>
      <c r="G3" s="120"/>
      <c r="H3" s="120"/>
    </row>
    <row r="5" spans="1:9" x14ac:dyDescent="0.2">
      <c r="A5" s="122" t="s">
        <v>84</v>
      </c>
      <c r="B5" s="122"/>
      <c r="C5" s="122"/>
      <c r="D5" s="122"/>
      <c r="E5" s="122"/>
      <c r="F5" s="122"/>
      <c r="G5" s="122"/>
      <c r="H5" s="122"/>
    </row>
    <row r="7" spans="1:9" x14ac:dyDescent="0.2">
      <c r="B7" s="123" t="s">
        <v>65</v>
      </c>
      <c r="C7" s="53">
        <f>'DE_1 - Watershed Info'!C44</f>
        <v>1</v>
      </c>
      <c r="D7" s="119" t="s">
        <v>28</v>
      </c>
      <c r="E7" s="123" t="s">
        <v>67</v>
      </c>
      <c r="F7" s="124">
        <f>'DE_1 - Watershed Info'!F44</f>
        <v>0.49999999999999994</v>
      </c>
    </row>
    <row r="8" spans="1:9" x14ac:dyDescent="0.2">
      <c r="B8" s="123" t="s">
        <v>66</v>
      </c>
      <c r="C8" s="125">
        <f>'DE_1 - Watershed Info'!C45</f>
        <v>0.5</v>
      </c>
      <c r="E8" s="123" t="s">
        <v>68</v>
      </c>
      <c r="F8" s="126">
        <f>'DE_1 - Watershed Info'!F45</f>
        <v>2268.7499999999995</v>
      </c>
      <c r="G8" s="119" t="s">
        <v>81</v>
      </c>
    </row>
    <row r="9" spans="1:9" x14ac:dyDescent="0.2">
      <c r="C9" s="123" t="s">
        <v>71</v>
      </c>
      <c r="D9" s="53">
        <f>'DE_1 - Watershed Info'!D46</f>
        <v>80</v>
      </c>
      <c r="E9" s="123" t="s">
        <v>94</v>
      </c>
      <c r="F9" s="127">
        <f>'DE_1 - Watershed Info'!G47</f>
        <v>0.62499999999999989</v>
      </c>
      <c r="G9" s="119" t="s">
        <v>95</v>
      </c>
    </row>
    <row r="10" spans="1:9" x14ac:dyDescent="0.2">
      <c r="C10" s="123" t="s">
        <v>72</v>
      </c>
      <c r="D10" s="53">
        <f>'DE_1 - Watershed Info'!D47</f>
        <v>93</v>
      </c>
    </row>
    <row r="12" spans="1:9" x14ac:dyDescent="0.2">
      <c r="A12" s="122" t="s">
        <v>259</v>
      </c>
      <c r="B12" s="122"/>
      <c r="C12" s="122"/>
      <c r="D12" s="122"/>
      <c r="E12" s="122"/>
      <c r="F12" s="122"/>
      <c r="G12" s="122"/>
      <c r="H12" s="122"/>
    </row>
    <row r="13" spans="1:9" x14ac:dyDescent="0.2">
      <c r="A13" s="294" t="s">
        <v>291</v>
      </c>
      <c r="B13" s="294"/>
      <c r="C13" s="294"/>
      <c r="D13" s="294"/>
      <c r="E13" s="294"/>
      <c r="F13" s="294"/>
      <c r="G13" s="294"/>
      <c r="H13" s="294"/>
    </row>
    <row r="15" spans="1:9" x14ac:dyDescent="0.2">
      <c r="B15" s="128"/>
      <c r="C15" s="291" t="s">
        <v>230</v>
      </c>
      <c r="D15" s="291"/>
      <c r="E15" s="291" t="s">
        <v>76</v>
      </c>
      <c r="F15" s="291"/>
      <c r="G15" s="291" t="s">
        <v>77</v>
      </c>
      <c r="H15" s="291"/>
    </row>
    <row r="16" spans="1:9" x14ac:dyDescent="0.2">
      <c r="B16" s="129" t="s">
        <v>75</v>
      </c>
      <c r="C16" s="129" t="s">
        <v>78</v>
      </c>
      <c r="D16" s="129" t="s">
        <v>79</v>
      </c>
      <c r="E16" s="129" t="s">
        <v>78</v>
      </c>
      <c r="F16" s="129" t="s">
        <v>79</v>
      </c>
      <c r="G16" s="129" t="s">
        <v>78</v>
      </c>
      <c r="H16" s="129" t="s">
        <v>79</v>
      </c>
    </row>
    <row r="17" spans="1:8" x14ac:dyDescent="0.2">
      <c r="A17" s="130" t="s">
        <v>73</v>
      </c>
      <c r="B17" s="131" t="s">
        <v>70</v>
      </c>
      <c r="C17" s="131" t="s">
        <v>80</v>
      </c>
      <c r="D17" s="131" t="s">
        <v>81</v>
      </c>
      <c r="E17" s="131" t="s">
        <v>80</v>
      </c>
      <c r="F17" s="131" t="s">
        <v>81</v>
      </c>
      <c r="G17" s="131" t="s">
        <v>80</v>
      </c>
      <c r="H17" s="131" t="s">
        <v>81</v>
      </c>
    </row>
    <row r="18" spans="1:8" hidden="1" x14ac:dyDescent="0.2">
      <c r="A18" s="53" t="s">
        <v>74</v>
      </c>
      <c r="B18" s="132">
        <v>1.25</v>
      </c>
      <c r="C18" s="133"/>
      <c r="D18" s="134"/>
      <c r="E18" s="135"/>
      <c r="F18" s="136"/>
      <c r="G18" s="137">
        <v>61</v>
      </c>
      <c r="H18" s="138">
        <v>205900</v>
      </c>
    </row>
    <row r="19" spans="1:8" x14ac:dyDescent="0.2">
      <c r="A19" s="53">
        <v>1</v>
      </c>
      <c r="B19" s="132"/>
      <c r="C19" s="139"/>
      <c r="D19" s="140"/>
      <c r="E19" s="141"/>
      <c r="F19" s="142"/>
      <c r="G19" s="137"/>
      <c r="H19" s="138"/>
    </row>
    <row r="20" spans="1:8" x14ac:dyDescent="0.2">
      <c r="A20" s="53">
        <v>2</v>
      </c>
      <c r="B20" s="132"/>
      <c r="C20" s="139"/>
      <c r="D20" s="140"/>
      <c r="E20" s="141"/>
      <c r="F20" s="142"/>
      <c r="G20" s="137"/>
      <c r="H20" s="138"/>
    </row>
    <row r="21" spans="1:8" x14ac:dyDescent="0.2">
      <c r="A21" s="53">
        <v>5</v>
      </c>
      <c r="B21" s="132"/>
      <c r="C21" s="139"/>
      <c r="D21" s="140"/>
      <c r="E21" s="141"/>
      <c r="F21" s="142"/>
      <c r="G21" s="137"/>
      <c r="H21" s="138"/>
    </row>
    <row r="22" spans="1:8" x14ac:dyDescent="0.2">
      <c r="A22" s="53">
        <v>10</v>
      </c>
      <c r="B22" s="132"/>
      <c r="C22" s="139"/>
      <c r="D22" s="140"/>
      <c r="E22" s="141"/>
      <c r="F22" s="142"/>
      <c r="G22" s="137"/>
      <c r="H22" s="138"/>
    </row>
    <row r="23" spans="1:8" x14ac:dyDescent="0.2">
      <c r="A23" s="53">
        <v>25</v>
      </c>
      <c r="B23" s="132"/>
      <c r="C23" s="139"/>
      <c r="D23" s="140"/>
      <c r="E23" s="141"/>
      <c r="F23" s="142"/>
      <c r="G23" s="137"/>
      <c r="H23" s="138"/>
    </row>
    <row r="24" spans="1:8" x14ac:dyDescent="0.2">
      <c r="A24" s="53">
        <v>50</v>
      </c>
      <c r="B24" s="132"/>
      <c r="C24" s="139"/>
      <c r="D24" s="140"/>
      <c r="E24" s="141"/>
      <c r="F24" s="142"/>
      <c r="G24" s="137"/>
      <c r="H24" s="138"/>
    </row>
    <row r="25" spans="1:8" x14ac:dyDescent="0.2">
      <c r="A25" s="53">
        <v>100</v>
      </c>
      <c r="B25" s="132"/>
      <c r="C25" s="139"/>
      <c r="D25" s="140"/>
      <c r="E25" s="141"/>
      <c r="F25" s="142"/>
      <c r="G25" s="137"/>
      <c r="H25" s="138"/>
    </row>
    <row r="26" spans="1:8" x14ac:dyDescent="0.2">
      <c r="A26" s="53"/>
      <c r="B26" s="143"/>
      <c r="C26" s="144"/>
      <c r="D26" s="145"/>
      <c r="E26" s="146"/>
      <c r="F26" s="145"/>
      <c r="G26" s="146"/>
      <c r="H26" s="147"/>
    </row>
    <row r="27" spans="1:8" x14ac:dyDescent="0.2">
      <c r="C27" s="148"/>
      <c r="D27" s="149" t="s">
        <v>74</v>
      </c>
      <c r="E27" s="19" t="s">
        <v>228</v>
      </c>
    </row>
    <row r="28" spans="1:8" x14ac:dyDescent="0.2">
      <c r="A28" s="122" t="s">
        <v>226</v>
      </c>
      <c r="B28" s="122"/>
      <c r="C28" s="150"/>
      <c r="D28" s="150" t="s">
        <v>94</v>
      </c>
      <c r="E28" s="151">
        <f>H19/43560/C7*12</f>
        <v>0</v>
      </c>
      <c r="F28" s="119" t="s">
        <v>95</v>
      </c>
    </row>
    <row r="29" spans="1:8" x14ac:dyDescent="0.2">
      <c r="C29" s="152"/>
      <c r="D29" s="152" t="s">
        <v>227</v>
      </c>
      <c r="E29" s="153" t="e">
        <f>G19*640/C7/E28</f>
        <v>#DIV/0!</v>
      </c>
      <c r="F29" s="119" t="s">
        <v>100</v>
      </c>
    </row>
    <row r="30" spans="1:8" x14ac:dyDescent="0.2">
      <c r="C30" s="152"/>
      <c r="D30" s="152" t="s">
        <v>101</v>
      </c>
      <c r="E30" s="154"/>
      <c r="F30" s="119" t="s">
        <v>232</v>
      </c>
    </row>
    <row r="31" spans="1:8" x14ac:dyDescent="0.2">
      <c r="C31" s="152"/>
      <c r="D31" s="152" t="s">
        <v>102</v>
      </c>
      <c r="E31" s="151">
        <f>E30*G19</f>
        <v>0</v>
      </c>
      <c r="F31" s="119" t="s">
        <v>80</v>
      </c>
    </row>
    <row r="33" spans="1:19" x14ac:dyDescent="0.2">
      <c r="A33" s="122" t="s">
        <v>146</v>
      </c>
      <c r="B33" s="122"/>
      <c r="C33" s="122"/>
      <c r="D33" s="122"/>
      <c r="E33" s="122"/>
      <c r="F33" s="122"/>
      <c r="G33" s="122"/>
      <c r="H33" s="122"/>
    </row>
    <row r="34" spans="1:19" x14ac:dyDescent="0.2">
      <c r="A34" s="34" t="str">
        <f>IF(J37&gt;0,"MANUAL",IF(J38&gt;0,"MANUAL",IF(J39&gt;0,"MANUAL",IF(J40&gt;0,"MANUAL",IF(J41&gt;0,"MANUAL",IF(J42&gt;0,"MANUAL",IF(J43&gt;0,"MANUAL",IF(J44&gt;0,"MANUAL"," "))))))))</f>
        <v xml:space="preserve"> </v>
      </c>
      <c r="B34" s="34"/>
      <c r="C34" s="34"/>
      <c r="D34" s="34"/>
      <c r="E34" s="34"/>
      <c r="F34" s="34"/>
      <c r="G34" s="34"/>
      <c r="H34" s="34"/>
      <c r="J34" s="155" t="s">
        <v>203</v>
      </c>
    </row>
    <row r="35" spans="1:19" x14ac:dyDescent="0.2">
      <c r="A35" s="156"/>
      <c r="B35" s="157" t="s">
        <v>103</v>
      </c>
      <c r="C35" s="157" t="s">
        <v>104</v>
      </c>
      <c r="D35" s="157" t="s">
        <v>105</v>
      </c>
      <c r="E35" s="157" t="s">
        <v>106</v>
      </c>
      <c r="F35" s="157" t="s">
        <v>107</v>
      </c>
      <c r="G35" s="157" t="s">
        <v>108</v>
      </c>
      <c r="H35" s="157" t="s">
        <v>109</v>
      </c>
      <c r="J35" s="158" t="s">
        <v>213</v>
      </c>
      <c r="S35" s="157" t="s">
        <v>103</v>
      </c>
    </row>
    <row r="36" spans="1:19" x14ac:dyDescent="0.2">
      <c r="A36" s="159" t="s">
        <v>73</v>
      </c>
      <c r="B36" s="159" t="s">
        <v>80</v>
      </c>
      <c r="C36" s="159" t="s">
        <v>80</v>
      </c>
      <c r="D36" s="159"/>
      <c r="E36" s="159"/>
      <c r="F36" s="159" t="s">
        <v>81</v>
      </c>
      <c r="G36" s="159" t="s">
        <v>81</v>
      </c>
      <c r="H36" s="159" t="s">
        <v>81</v>
      </c>
      <c r="J36" s="160" t="s">
        <v>80</v>
      </c>
      <c r="S36" s="159" t="s">
        <v>80</v>
      </c>
    </row>
    <row r="37" spans="1:19" hidden="1" x14ac:dyDescent="0.2">
      <c r="A37" s="161" t="s">
        <v>74</v>
      </c>
      <c r="B37" s="162" t="str">
        <f>IF('CL_2 - Design Summary'!F14="Y",IF(S37&lt;1,ROUND(S37,2),IF(S37&lt;10,ROUND(S37,1),ROUND(S37,0))),"NA")</f>
        <v>NA</v>
      </c>
      <c r="C37" s="163">
        <f>IF(G18&lt;1,ROUND(G18,2),IF(G18&lt;10,ROUND(G18,1),ROUND(G18,0)))</f>
        <v>61</v>
      </c>
      <c r="D37" s="164" t="str">
        <f>IF(B37="NA","NA",S37/C37)</f>
        <v>NA</v>
      </c>
      <c r="E37" s="165" t="str">
        <f>IF(B37="NA","NA",0.683-1.43*D37+1.64*D37^2-0.804*D37^3)</f>
        <v>NA</v>
      </c>
      <c r="F37" s="166">
        <f t="shared" ref="F37:F44" si="0">H18</f>
        <v>205900</v>
      </c>
      <c r="G37" s="167" t="str">
        <f>IF(B37="NA","NA",E37*F37)</f>
        <v>NA</v>
      </c>
      <c r="H37" s="167" t="str">
        <f>IF(B37="NA","NA",ROUND(G37*1.15,-2))</f>
        <v>NA</v>
      </c>
      <c r="J37" s="168">
        <v>0</v>
      </c>
      <c r="S37" s="169" t="str">
        <f>IF(J37=0,D31,J37)</f>
        <v>qo:</v>
      </c>
    </row>
    <row r="38" spans="1:19" x14ac:dyDescent="0.2">
      <c r="A38" s="53">
        <v>1</v>
      </c>
      <c r="B38" s="53" t="str">
        <f>IF('CL_2 - Design Summary'!F14="Y",IF(S38&lt;1,ROUND(S38,2),IF(S38&lt;10,ROUND(S38,1),ROUND(S38,0))),"NA")</f>
        <v>NA</v>
      </c>
      <c r="C38" s="170">
        <f>IF(G19&lt;1,ROUND(G19,2),IF(G19&lt;10,ROUND(G19,1),ROUND(G19,0)))</f>
        <v>0</v>
      </c>
      <c r="D38" s="151" t="str">
        <f>IF(B38="NA","NA",S38/C38)</f>
        <v>NA</v>
      </c>
      <c r="E38" s="171" t="str">
        <f>IF(B38="NA","NA",0.683-1.43*D38+1.64*D38^2-0.804*D38^3)</f>
        <v>NA</v>
      </c>
      <c r="F38" s="172">
        <f t="shared" si="0"/>
        <v>0</v>
      </c>
      <c r="G38" s="173" t="str">
        <f>IF(B38="NA","NA",E38*F38)</f>
        <v>NA</v>
      </c>
      <c r="H38" s="173" t="str">
        <f>IF(B38="NA","NA",ROUND(G38*1.15,-2))</f>
        <v>NA</v>
      </c>
      <c r="J38" s="168">
        <v>0</v>
      </c>
      <c r="S38" s="151">
        <f>IF(J38=0,E31,J38)</f>
        <v>0</v>
      </c>
    </row>
    <row r="39" spans="1:19" x14ac:dyDescent="0.2">
      <c r="A39" s="53">
        <v>2</v>
      </c>
      <c r="B39" s="53">
        <f t="shared" ref="B39:B43" si="1">IF(S39&lt;1,ROUND(S39,2),IF(S39&lt;10,ROUND(S39,1),ROUND(S39,0)))</f>
        <v>0</v>
      </c>
      <c r="C39" s="170">
        <f t="shared" ref="C39:C43" si="2">IF(G20&lt;1,ROUND(G20,2),IF(G20&lt;10,ROUND(G20,1),ROUND(G20,0)))</f>
        <v>0</v>
      </c>
      <c r="D39" s="151" t="e">
        <f t="shared" ref="D39:D44" si="3">S39/C39</f>
        <v>#DIV/0!</v>
      </c>
      <c r="E39" s="171" t="e">
        <f t="shared" ref="E39:E44" si="4">0.683-1.43*D39+1.64*D39^2-0.804*D39^3</f>
        <v>#DIV/0!</v>
      </c>
      <c r="F39" s="172">
        <f t="shared" si="0"/>
        <v>0</v>
      </c>
      <c r="G39" s="173" t="e">
        <f t="shared" ref="G39:G44" si="5">E39*F39</f>
        <v>#DIV/0!</v>
      </c>
      <c r="H39" s="173" t="e">
        <f t="shared" ref="H39:H44" si="6">ROUND(G39*1.15,-2)</f>
        <v>#DIV/0!</v>
      </c>
      <c r="J39" s="168">
        <v>0</v>
      </c>
      <c r="S39" s="151">
        <f>IF(J39=0,MIN(C20,E$21),J39)</f>
        <v>0</v>
      </c>
    </row>
    <row r="40" spans="1:19" x14ac:dyDescent="0.2">
      <c r="A40" s="53">
        <v>5</v>
      </c>
      <c r="B40" s="53">
        <f t="shared" si="1"/>
        <v>0</v>
      </c>
      <c r="C40" s="170">
        <f t="shared" si="2"/>
        <v>0</v>
      </c>
      <c r="D40" s="151" t="e">
        <f t="shared" si="3"/>
        <v>#DIV/0!</v>
      </c>
      <c r="E40" s="171" t="e">
        <f t="shared" si="4"/>
        <v>#DIV/0!</v>
      </c>
      <c r="F40" s="172">
        <f t="shared" si="0"/>
        <v>0</v>
      </c>
      <c r="G40" s="173" t="e">
        <f t="shared" si="5"/>
        <v>#DIV/0!</v>
      </c>
      <c r="H40" s="173" t="e">
        <f t="shared" si="6"/>
        <v>#DIV/0!</v>
      </c>
      <c r="J40" s="168">
        <v>0</v>
      </c>
      <c r="S40" s="151">
        <f t="shared" ref="S40:S44" si="7">IF(J40=0,MIN(C21,E$21),J40)</f>
        <v>0</v>
      </c>
    </row>
    <row r="41" spans="1:19" x14ac:dyDescent="0.2">
      <c r="A41" s="53">
        <v>10</v>
      </c>
      <c r="B41" s="53">
        <f t="shared" si="1"/>
        <v>0</v>
      </c>
      <c r="C41" s="170">
        <f t="shared" si="2"/>
        <v>0</v>
      </c>
      <c r="D41" s="151" t="e">
        <f t="shared" si="3"/>
        <v>#DIV/0!</v>
      </c>
      <c r="E41" s="171" t="e">
        <f t="shared" si="4"/>
        <v>#DIV/0!</v>
      </c>
      <c r="F41" s="172">
        <f t="shared" si="0"/>
        <v>0</v>
      </c>
      <c r="G41" s="173" t="e">
        <f t="shared" si="5"/>
        <v>#DIV/0!</v>
      </c>
      <c r="H41" s="173" t="e">
        <f t="shared" si="6"/>
        <v>#DIV/0!</v>
      </c>
      <c r="J41" s="168">
        <v>0</v>
      </c>
      <c r="S41" s="151">
        <f t="shared" si="7"/>
        <v>0</v>
      </c>
    </row>
    <row r="42" spans="1:19" x14ac:dyDescent="0.2">
      <c r="A42" s="53">
        <v>25</v>
      </c>
      <c r="B42" s="53">
        <f t="shared" si="1"/>
        <v>0</v>
      </c>
      <c r="C42" s="170">
        <f t="shared" si="2"/>
        <v>0</v>
      </c>
      <c r="D42" s="151" t="e">
        <f t="shared" si="3"/>
        <v>#DIV/0!</v>
      </c>
      <c r="E42" s="171" t="e">
        <f t="shared" si="4"/>
        <v>#DIV/0!</v>
      </c>
      <c r="F42" s="172">
        <f t="shared" si="0"/>
        <v>0</v>
      </c>
      <c r="G42" s="173" t="e">
        <f t="shared" si="5"/>
        <v>#DIV/0!</v>
      </c>
      <c r="H42" s="173" t="e">
        <f t="shared" si="6"/>
        <v>#DIV/0!</v>
      </c>
      <c r="J42" s="168">
        <v>0</v>
      </c>
      <c r="S42" s="151">
        <f t="shared" si="7"/>
        <v>0</v>
      </c>
    </row>
    <row r="43" spans="1:19" x14ac:dyDescent="0.2">
      <c r="A43" s="53">
        <v>50</v>
      </c>
      <c r="B43" s="53">
        <f t="shared" si="1"/>
        <v>0</v>
      </c>
      <c r="C43" s="170">
        <f t="shared" si="2"/>
        <v>0</v>
      </c>
      <c r="D43" s="151" t="e">
        <f t="shared" si="3"/>
        <v>#DIV/0!</v>
      </c>
      <c r="E43" s="171" t="e">
        <f t="shared" si="4"/>
        <v>#DIV/0!</v>
      </c>
      <c r="F43" s="172">
        <f t="shared" si="0"/>
        <v>0</v>
      </c>
      <c r="G43" s="173" t="e">
        <f t="shared" si="5"/>
        <v>#DIV/0!</v>
      </c>
      <c r="H43" s="173" t="e">
        <f t="shared" si="6"/>
        <v>#DIV/0!</v>
      </c>
      <c r="J43" s="168">
        <v>0</v>
      </c>
      <c r="S43" s="151">
        <f t="shared" si="7"/>
        <v>0</v>
      </c>
    </row>
    <row r="44" spans="1:19" x14ac:dyDescent="0.2">
      <c r="A44" s="53">
        <v>100</v>
      </c>
      <c r="B44" s="53">
        <f t="shared" ref="B44" si="8">IF(S44&lt;1,ROUND(S44,2),IF(S44&lt;10,ROUND(S44,1),ROUND(S44,0)))</f>
        <v>0</v>
      </c>
      <c r="C44" s="170">
        <f>IF(G25&lt;1,ROUND(G25,2),IF(G25&lt;10,ROUND(G25,1),ROUND(G25,0)))</f>
        <v>0</v>
      </c>
      <c r="D44" s="151" t="e">
        <f t="shared" si="3"/>
        <v>#DIV/0!</v>
      </c>
      <c r="E44" s="171" t="e">
        <f t="shared" si="4"/>
        <v>#DIV/0!</v>
      </c>
      <c r="F44" s="172">
        <f t="shared" si="0"/>
        <v>0</v>
      </c>
      <c r="G44" s="173" t="e">
        <f t="shared" si="5"/>
        <v>#DIV/0!</v>
      </c>
      <c r="H44" s="173" t="e">
        <f t="shared" si="6"/>
        <v>#DIV/0!</v>
      </c>
      <c r="J44" s="174">
        <v>0</v>
      </c>
      <c r="S44" s="151">
        <f t="shared" si="7"/>
        <v>0</v>
      </c>
    </row>
    <row r="45" spans="1:19" ht="13.5" thickBot="1" x14ac:dyDescent="0.25">
      <c r="A45" s="53"/>
      <c r="B45" s="53"/>
      <c r="C45" s="170"/>
      <c r="D45" s="151"/>
      <c r="E45" s="171"/>
      <c r="F45" s="172"/>
      <c r="G45" s="173"/>
      <c r="H45" s="173"/>
      <c r="J45" s="175"/>
      <c r="S45" s="151"/>
    </row>
    <row r="46" spans="1:19" ht="15" x14ac:dyDescent="0.25">
      <c r="A46" s="41" t="s">
        <v>240</v>
      </c>
      <c r="B46" s="41"/>
      <c r="C46" s="41"/>
      <c r="D46" s="41"/>
      <c r="E46" s="41"/>
      <c r="F46" s="41"/>
      <c r="G46" s="41"/>
      <c r="H46" s="176"/>
      <c r="J46" s="175"/>
      <c r="S46" s="151"/>
    </row>
    <row r="47" spans="1:19" ht="15" x14ac:dyDescent="0.25">
      <c r="A47" s="42" t="s">
        <v>241</v>
      </c>
      <c r="B47" s="42"/>
      <c r="C47" s="42"/>
      <c r="D47" s="42"/>
      <c r="E47" s="42"/>
      <c r="F47" s="42"/>
      <c r="G47" s="42"/>
      <c r="H47" s="43" t="str">
        <f>'CL_1 - Site Screening'!J70</f>
        <v>IDALS: Issue Date: 08/03/2020</v>
      </c>
      <c r="J47" s="175"/>
      <c r="S47" s="151"/>
    </row>
    <row r="48" spans="1:19" x14ac:dyDescent="0.2">
      <c r="B48" s="177"/>
    </row>
    <row r="50" spans="1:8" x14ac:dyDescent="0.2">
      <c r="A50" s="290" t="s">
        <v>231</v>
      </c>
      <c r="B50" s="290"/>
      <c r="C50" s="290"/>
      <c r="D50" s="290"/>
      <c r="E50" s="290"/>
      <c r="F50" s="290"/>
      <c r="G50" s="290"/>
      <c r="H50" s="290"/>
    </row>
    <row r="77" spans="1:8" x14ac:dyDescent="0.2">
      <c r="A77" s="289" t="s">
        <v>250</v>
      </c>
      <c r="B77" s="289"/>
      <c r="C77" s="289"/>
      <c r="D77" s="289"/>
      <c r="E77" s="289"/>
      <c r="F77" s="289"/>
      <c r="G77" s="289"/>
      <c r="H77" s="289"/>
    </row>
    <row r="78" spans="1:8" x14ac:dyDescent="0.2">
      <c r="A78" s="178"/>
      <c r="B78" s="178"/>
      <c r="C78" s="178"/>
      <c r="D78" s="178"/>
      <c r="E78" s="178"/>
      <c r="F78" s="178"/>
      <c r="G78" s="178"/>
      <c r="H78" s="178"/>
    </row>
  </sheetData>
  <sheetProtection algorithmName="SHA-512" hashValue="efQw/PZeF9STZJ6R7jJ20XJokzCAysXwtS5WUTvF3HvqHMmq5AWvpBlWumSdM/RgCmiBDTycRPJH0YYn5VapKg==" saltValue="kvgRTmONO2Dv6RkzfHYcew==" spinCount="100000" sheet="1" selectLockedCells="1"/>
  <mergeCells count="9">
    <mergeCell ref="A77:H77"/>
    <mergeCell ref="A50:H50"/>
    <mergeCell ref="A1:H1"/>
    <mergeCell ref="C15:D15"/>
    <mergeCell ref="E15:F15"/>
    <mergeCell ref="G15:H15"/>
    <mergeCell ref="G2:H2"/>
    <mergeCell ref="B2:E2"/>
    <mergeCell ref="A13:H13"/>
  </mergeCells>
  <printOptions horizontalCentered="1" verticalCentered="1"/>
  <pageMargins left="0.25" right="0.25"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P79"/>
  <sheetViews>
    <sheetView view="pageBreakPreview" zoomScaleNormal="100" zoomScaleSheetLayoutView="100" workbookViewId="0">
      <selection activeCell="H7" sqref="H7"/>
    </sheetView>
  </sheetViews>
  <sheetFormatPr defaultColWidth="8.85546875" defaultRowHeight="15" x14ac:dyDescent="0.25"/>
  <cols>
    <col min="1" max="1" width="23.85546875" style="42" customWidth="1"/>
    <col min="2" max="3" width="13" style="42" customWidth="1"/>
    <col min="4" max="4" width="19.28515625" style="42" customWidth="1"/>
    <col min="5" max="5" width="17" style="42" customWidth="1"/>
    <col min="6" max="6" width="6" style="42" customWidth="1"/>
    <col min="7" max="7" width="8.85546875" style="42"/>
    <col min="8" max="8" width="17" style="184" customWidth="1"/>
    <col min="9" max="9" width="8.85546875" style="42"/>
    <col min="10" max="13" width="14" style="42" customWidth="1"/>
    <col min="14" max="16384" width="8.85546875" style="42"/>
  </cols>
  <sheetData>
    <row r="1" spans="1:10" x14ac:dyDescent="0.25">
      <c r="A1" s="275" t="s">
        <v>195</v>
      </c>
      <c r="B1" s="275"/>
      <c r="C1" s="275"/>
      <c r="D1" s="275"/>
      <c r="E1" s="275"/>
      <c r="F1" s="275"/>
      <c r="G1" s="118"/>
      <c r="H1" s="19"/>
      <c r="I1" s="118"/>
    </row>
    <row r="2" spans="1:10" s="119" customFormat="1" ht="12.75" x14ac:dyDescent="0.2">
      <c r="A2" s="119" t="s">
        <v>147</v>
      </c>
      <c r="B2" s="293">
        <f>'CL_1 - Site Screening'!C3</f>
        <v>0</v>
      </c>
      <c r="C2" s="293"/>
      <c r="D2" s="293"/>
      <c r="E2" s="179">
        <f ca="1">'CL_1 - Site Screening'!G5</f>
        <v>44608</v>
      </c>
      <c r="F2" s="180" t="s">
        <v>152</v>
      </c>
      <c r="H2" s="53"/>
    </row>
    <row r="3" spans="1:10" s="121" customFormat="1" ht="12.75" x14ac:dyDescent="0.2">
      <c r="A3" s="120" t="s">
        <v>149</v>
      </c>
      <c r="B3" s="120"/>
      <c r="C3" s="120"/>
      <c r="D3" s="120"/>
      <c r="E3" s="120"/>
      <c r="F3" s="120"/>
      <c r="H3" s="181"/>
    </row>
    <row r="4" spans="1:10" s="121" customFormat="1" ht="12.75" x14ac:dyDescent="0.2">
      <c r="H4" s="181"/>
    </row>
    <row r="5" spans="1:10" x14ac:dyDescent="0.25">
      <c r="A5" s="182" t="s">
        <v>115</v>
      </c>
      <c r="B5" s="183"/>
      <c r="C5" s="183"/>
      <c r="D5" s="183"/>
      <c r="E5" s="183"/>
      <c r="F5" s="183"/>
    </row>
    <row r="6" spans="1:10" x14ac:dyDescent="0.25">
      <c r="D6" s="299" t="s">
        <v>193</v>
      </c>
      <c r="E6" s="299"/>
      <c r="F6" s="299"/>
      <c r="H6" s="295" t="s">
        <v>203</v>
      </c>
      <c r="I6" s="296"/>
      <c r="J6" s="297"/>
    </row>
    <row r="7" spans="1:10" x14ac:dyDescent="0.25">
      <c r="A7" s="43" t="s">
        <v>5</v>
      </c>
      <c r="B7" s="185">
        <f>IF(H7=0,'DE_1 - Watershed Info'!F45-'CL_2 - Design Summary'!F15,H7)</f>
        <v>2268.7499999999995</v>
      </c>
      <c r="C7" s="42" t="s">
        <v>81</v>
      </c>
      <c r="D7" s="186" t="str">
        <f>IF(H7+H8=0," ","MANUAL")</f>
        <v xml:space="preserve"> </v>
      </c>
      <c r="H7" s="187">
        <v>0</v>
      </c>
      <c r="I7" s="188" t="s">
        <v>214</v>
      </c>
      <c r="J7" s="189"/>
    </row>
    <row r="8" spans="1:10" x14ac:dyDescent="0.25">
      <c r="A8" s="43" t="s">
        <v>6</v>
      </c>
      <c r="B8" s="185">
        <f>IF(H8=0,B7*0.1,H8)</f>
        <v>226.87499999999997</v>
      </c>
      <c r="C8" s="42" t="s">
        <v>81</v>
      </c>
      <c r="D8" s="42" t="s">
        <v>153</v>
      </c>
      <c r="H8" s="187">
        <v>0</v>
      </c>
      <c r="I8" s="188" t="s">
        <v>215</v>
      </c>
      <c r="J8" s="189"/>
    </row>
    <row r="9" spans="1:10" x14ac:dyDescent="0.25">
      <c r="A9" s="43" t="s">
        <v>7</v>
      </c>
      <c r="B9" s="190">
        <v>0</v>
      </c>
      <c r="C9" s="42" t="s">
        <v>81</v>
      </c>
      <c r="D9" s="298"/>
      <c r="E9" s="298"/>
      <c r="F9" s="298"/>
    </row>
    <row r="10" spans="1:10" s="193" customFormat="1" ht="3.6" customHeight="1" x14ac:dyDescent="0.25">
      <c r="A10" s="191"/>
      <c r="B10" s="192"/>
      <c r="D10" s="194"/>
      <c r="E10" s="194"/>
      <c r="F10" s="194"/>
      <c r="H10" s="195"/>
    </row>
    <row r="11" spans="1:10" x14ac:dyDescent="0.25">
      <c r="A11" s="43" t="s">
        <v>8</v>
      </c>
      <c r="B11" s="185">
        <f>B8-B9</f>
        <v>226.87499999999997</v>
      </c>
      <c r="C11" s="42" t="s">
        <v>81</v>
      </c>
      <c r="D11" s="298" t="s">
        <v>55</v>
      </c>
      <c r="E11" s="298"/>
      <c r="F11" s="298"/>
    </row>
    <row r="13" spans="1:10" x14ac:dyDescent="0.25">
      <c r="A13" s="182" t="s">
        <v>0</v>
      </c>
      <c r="B13" s="183"/>
      <c r="C13" s="183"/>
      <c r="D13" s="183"/>
      <c r="E13" s="183"/>
      <c r="F13" s="183"/>
    </row>
    <row r="15" spans="1:10" x14ac:dyDescent="0.25">
      <c r="A15" s="182" t="s">
        <v>110</v>
      </c>
      <c r="B15" s="183"/>
      <c r="C15" s="183"/>
      <c r="D15" s="196" t="s">
        <v>219</v>
      </c>
      <c r="E15" s="197">
        <v>100</v>
      </c>
      <c r="F15" s="183"/>
    </row>
    <row r="16" spans="1:10" x14ac:dyDescent="0.25">
      <c r="A16" s="198" t="s">
        <v>220</v>
      </c>
      <c r="B16" s="198" t="s">
        <v>1</v>
      </c>
      <c r="C16" s="198" t="s">
        <v>2</v>
      </c>
      <c r="D16" s="198" t="s">
        <v>3</v>
      </c>
      <c r="E16" s="198" t="s">
        <v>4</v>
      </c>
    </row>
    <row r="17" spans="1:16" s="184" customFormat="1" x14ac:dyDescent="0.25">
      <c r="A17" s="184" t="s">
        <v>85</v>
      </c>
      <c r="B17" s="184" t="s">
        <v>85</v>
      </c>
      <c r="C17" s="184" t="s">
        <v>114</v>
      </c>
      <c r="D17" s="184" t="s">
        <v>81</v>
      </c>
      <c r="E17" s="184" t="s">
        <v>81</v>
      </c>
    </row>
    <row r="18" spans="1:16" x14ac:dyDescent="0.25">
      <c r="A18" s="199">
        <v>0</v>
      </c>
      <c r="B18" s="200">
        <f>E$15-A18</f>
        <v>100</v>
      </c>
      <c r="C18" s="201"/>
      <c r="D18" s="202"/>
      <c r="E18" s="202"/>
      <c r="J18" s="184"/>
      <c r="K18" s="184"/>
      <c r="L18" s="184"/>
      <c r="M18" s="184"/>
      <c r="N18" s="184"/>
      <c r="O18" s="184"/>
      <c r="P18" s="184"/>
    </row>
    <row r="19" spans="1:16" x14ac:dyDescent="0.25">
      <c r="A19" s="203">
        <v>1</v>
      </c>
      <c r="B19" s="200">
        <f t="shared" ref="B19:B23" si="0">E$15-A19</f>
        <v>99</v>
      </c>
      <c r="C19" s="201"/>
      <c r="D19" s="202">
        <f>IF(A19&gt;0,(C18+C19)*(B18-B19)/2,0)</f>
        <v>0</v>
      </c>
      <c r="E19" s="202">
        <f>D19+E18</f>
        <v>0</v>
      </c>
      <c r="I19" s="204"/>
      <c r="J19" s="184"/>
      <c r="K19" s="184"/>
      <c r="L19" s="184"/>
      <c r="M19" s="184"/>
      <c r="N19" s="184"/>
      <c r="O19" s="184"/>
      <c r="P19" s="184"/>
    </row>
    <row r="20" spans="1:16" x14ac:dyDescent="0.25">
      <c r="A20" s="203"/>
      <c r="B20" s="200">
        <f t="shared" si="0"/>
        <v>100</v>
      </c>
      <c r="C20" s="201"/>
      <c r="D20" s="202">
        <f t="shared" ref="D20:D23" si="1">IF(A20&gt;0,(C19+C20)*(B19-B20)/2,0)</f>
        <v>0</v>
      </c>
      <c r="E20" s="202">
        <f t="shared" ref="E20" si="2">D20+E19</f>
        <v>0</v>
      </c>
      <c r="J20" s="184"/>
      <c r="K20" s="184"/>
      <c r="L20" s="184"/>
      <c r="M20" s="184"/>
      <c r="N20" s="184"/>
      <c r="O20" s="184"/>
      <c r="P20" s="184"/>
    </row>
    <row r="21" spans="1:16" x14ac:dyDescent="0.25">
      <c r="A21" s="203"/>
      <c r="B21" s="200">
        <f t="shared" si="0"/>
        <v>100</v>
      </c>
      <c r="C21" s="201"/>
      <c r="D21" s="202">
        <f t="shared" si="1"/>
        <v>0</v>
      </c>
      <c r="E21" s="202">
        <f t="shared" ref="E21:E23" si="3">D21+E20</f>
        <v>0</v>
      </c>
      <c r="J21" s="184"/>
      <c r="K21" s="184"/>
      <c r="L21" s="184"/>
      <c r="M21" s="184"/>
      <c r="N21" s="184"/>
      <c r="O21" s="184"/>
      <c r="P21" s="184"/>
    </row>
    <row r="22" spans="1:16" x14ac:dyDescent="0.25">
      <c r="A22" s="203"/>
      <c r="B22" s="200">
        <f t="shared" si="0"/>
        <v>100</v>
      </c>
      <c r="C22" s="201"/>
      <c r="D22" s="202">
        <f t="shared" si="1"/>
        <v>0</v>
      </c>
      <c r="E22" s="202">
        <f t="shared" si="3"/>
        <v>0</v>
      </c>
      <c r="J22" s="184"/>
      <c r="K22" s="184"/>
      <c r="L22" s="184"/>
      <c r="M22" s="184"/>
      <c r="N22" s="184"/>
      <c r="O22" s="184"/>
      <c r="P22" s="184"/>
    </row>
    <row r="23" spans="1:16" x14ac:dyDescent="0.25">
      <c r="A23" s="203"/>
      <c r="B23" s="200">
        <f t="shared" si="0"/>
        <v>100</v>
      </c>
      <c r="C23" s="201"/>
      <c r="D23" s="202">
        <f t="shared" si="1"/>
        <v>0</v>
      </c>
      <c r="E23" s="202">
        <f t="shared" si="3"/>
        <v>0</v>
      </c>
      <c r="J23" s="184"/>
      <c r="K23" s="184"/>
      <c r="L23" s="184"/>
      <c r="M23" s="184"/>
      <c r="N23" s="184"/>
      <c r="O23" s="184"/>
      <c r="P23" s="184"/>
    </row>
    <row r="24" spans="1:16" x14ac:dyDescent="0.25">
      <c r="A24" s="184"/>
    </row>
    <row r="25" spans="1:16" x14ac:dyDescent="0.25">
      <c r="A25" s="184"/>
      <c r="E25" s="43"/>
      <c r="F25" s="205"/>
    </row>
    <row r="26" spans="1:16" x14ac:dyDescent="0.25">
      <c r="A26" s="182" t="s">
        <v>111</v>
      </c>
      <c r="B26" s="183"/>
      <c r="C26" s="183"/>
      <c r="D26" s="196" t="s">
        <v>219</v>
      </c>
      <c r="E26" s="197">
        <v>100</v>
      </c>
      <c r="F26" s="206"/>
    </row>
    <row r="27" spans="1:16" x14ac:dyDescent="0.25">
      <c r="A27" s="198" t="s">
        <v>220</v>
      </c>
      <c r="B27" s="198" t="s">
        <v>1</v>
      </c>
      <c r="C27" s="198" t="s">
        <v>2</v>
      </c>
      <c r="D27" s="198" t="s">
        <v>3</v>
      </c>
      <c r="E27" s="198" t="s">
        <v>4</v>
      </c>
      <c r="F27" s="205"/>
      <c r="K27" s="207"/>
    </row>
    <row r="28" spans="1:16" x14ac:dyDescent="0.25">
      <c r="A28" s="184" t="s">
        <v>85</v>
      </c>
      <c r="B28" s="184" t="s">
        <v>85</v>
      </c>
      <c r="C28" s="184" t="s">
        <v>114</v>
      </c>
      <c r="D28" s="184" t="s">
        <v>81</v>
      </c>
      <c r="E28" s="184" t="s">
        <v>81</v>
      </c>
      <c r="F28" s="205"/>
      <c r="K28" s="207"/>
    </row>
    <row r="29" spans="1:16" x14ac:dyDescent="0.25">
      <c r="A29" s="199">
        <v>0</v>
      </c>
      <c r="B29" s="200">
        <f>E$26-A29</f>
        <v>100</v>
      </c>
      <c r="C29" s="201"/>
      <c r="D29" s="202"/>
      <c r="E29" s="202"/>
      <c r="F29" s="205"/>
      <c r="K29" s="207"/>
    </row>
    <row r="30" spans="1:16" x14ac:dyDescent="0.25">
      <c r="A30" s="203">
        <v>1</v>
      </c>
      <c r="B30" s="200">
        <f t="shared" ref="B30:B34" si="4">E$26-A30</f>
        <v>99</v>
      </c>
      <c r="C30" s="201"/>
      <c r="D30" s="202">
        <f>IF(A30&gt;0,(C29+C30)*(B29-B30)/2,0)</f>
        <v>0</v>
      </c>
      <c r="E30" s="202">
        <f>D30+E29</f>
        <v>0</v>
      </c>
      <c r="F30" s="205"/>
    </row>
    <row r="31" spans="1:16" x14ac:dyDescent="0.25">
      <c r="A31" s="203"/>
      <c r="B31" s="200">
        <f t="shared" si="4"/>
        <v>100</v>
      </c>
      <c r="C31" s="201"/>
      <c r="D31" s="202">
        <f t="shared" ref="D31:D34" si="5">IF(A31&gt;0,(C30+C31)*(B30-B31)/2,0)</f>
        <v>0</v>
      </c>
      <c r="E31" s="202">
        <f t="shared" ref="E31:E34" si="6">D31+E30</f>
        <v>0</v>
      </c>
      <c r="F31" s="205"/>
    </row>
    <row r="32" spans="1:16" x14ac:dyDescent="0.25">
      <c r="A32" s="203"/>
      <c r="B32" s="200">
        <f t="shared" si="4"/>
        <v>100</v>
      </c>
      <c r="C32" s="201"/>
      <c r="D32" s="202">
        <f t="shared" si="5"/>
        <v>0</v>
      </c>
      <c r="E32" s="202">
        <f t="shared" si="6"/>
        <v>0</v>
      </c>
      <c r="F32" s="205"/>
    </row>
    <row r="33" spans="1:13" x14ac:dyDescent="0.25">
      <c r="A33" s="203"/>
      <c r="B33" s="200">
        <f t="shared" si="4"/>
        <v>100</v>
      </c>
      <c r="C33" s="201"/>
      <c r="D33" s="202">
        <f t="shared" si="5"/>
        <v>0</v>
      </c>
      <c r="E33" s="202">
        <f t="shared" si="6"/>
        <v>0</v>
      </c>
      <c r="F33" s="205"/>
    </row>
    <row r="34" spans="1:13" x14ac:dyDescent="0.25">
      <c r="A34" s="203"/>
      <c r="B34" s="200">
        <f t="shared" si="4"/>
        <v>100</v>
      </c>
      <c r="C34" s="201"/>
      <c r="D34" s="202">
        <f t="shared" si="5"/>
        <v>0</v>
      </c>
      <c r="E34" s="202">
        <f t="shared" si="6"/>
        <v>0</v>
      </c>
    </row>
    <row r="36" spans="1:13" x14ac:dyDescent="0.25">
      <c r="A36" s="184"/>
      <c r="B36" s="184"/>
      <c r="J36" s="184"/>
      <c r="K36" s="184"/>
    </row>
    <row r="37" spans="1:13" x14ac:dyDescent="0.25">
      <c r="A37" s="182" t="s">
        <v>112</v>
      </c>
      <c r="B37" s="182"/>
      <c r="C37" s="182"/>
      <c r="D37" s="196" t="s">
        <v>219</v>
      </c>
      <c r="E37" s="197">
        <v>0</v>
      </c>
      <c r="F37" s="208"/>
      <c r="J37" s="184"/>
      <c r="K37" s="184"/>
      <c r="L37" s="184"/>
      <c r="M37" s="184"/>
    </row>
    <row r="38" spans="1:13" x14ac:dyDescent="0.25">
      <c r="A38" s="198" t="s">
        <v>220</v>
      </c>
      <c r="B38" s="198" t="s">
        <v>1</v>
      </c>
      <c r="C38" s="198" t="s">
        <v>2</v>
      </c>
      <c r="D38" s="198" t="s">
        <v>3</v>
      </c>
      <c r="E38" s="198" t="s">
        <v>4</v>
      </c>
      <c r="F38" s="184"/>
      <c r="J38" s="184"/>
      <c r="K38" s="184"/>
      <c r="L38" s="184"/>
      <c r="M38" s="184"/>
    </row>
    <row r="39" spans="1:13" x14ac:dyDescent="0.25">
      <c r="A39" s="184" t="s">
        <v>85</v>
      </c>
      <c r="B39" s="184" t="s">
        <v>85</v>
      </c>
      <c r="C39" s="184" t="s">
        <v>114</v>
      </c>
      <c r="D39" s="184" t="s">
        <v>81</v>
      </c>
      <c r="E39" s="184" t="s">
        <v>81</v>
      </c>
      <c r="F39" s="184"/>
      <c r="J39" s="184"/>
      <c r="K39" s="184"/>
      <c r="L39" s="184"/>
      <c r="M39" s="184"/>
    </row>
    <row r="40" spans="1:13" x14ac:dyDescent="0.25">
      <c r="A40" s="199">
        <v>0</v>
      </c>
      <c r="B40" s="200">
        <f>E$37-A40</f>
        <v>0</v>
      </c>
      <c r="C40" s="201"/>
      <c r="D40" s="202"/>
      <c r="E40" s="202"/>
      <c r="F40" s="184"/>
      <c r="J40" s="184"/>
      <c r="K40" s="184"/>
      <c r="L40" s="184"/>
      <c r="M40" s="184"/>
    </row>
    <row r="41" spans="1:13" x14ac:dyDescent="0.25">
      <c r="A41" s="203">
        <v>1</v>
      </c>
      <c r="B41" s="200">
        <f t="shared" ref="B41:B45" si="7">E$37-A41</f>
        <v>-1</v>
      </c>
      <c r="C41" s="201"/>
      <c r="D41" s="202">
        <f>IF(A41&gt;0,(C40+C41)*(B40-B41)/2,0)</f>
        <v>0</v>
      </c>
      <c r="E41" s="202">
        <f>D41+E40</f>
        <v>0</v>
      </c>
      <c r="F41" s="184"/>
      <c r="J41" s="184"/>
      <c r="K41" s="184"/>
      <c r="L41" s="184"/>
      <c r="M41" s="184"/>
    </row>
    <row r="42" spans="1:13" x14ac:dyDescent="0.25">
      <c r="A42" s="203"/>
      <c r="B42" s="200">
        <f t="shared" si="7"/>
        <v>0</v>
      </c>
      <c r="C42" s="201"/>
      <c r="D42" s="202">
        <f t="shared" ref="D42:D45" si="8">IF(A42&gt;0,(C41+C42)*(B41-B42)/2,0)</f>
        <v>0</v>
      </c>
      <c r="E42" s="202">
        <f t="shared" ref="E42:E45" si="9">D42+E41</f>
        <v>0</v>
      </c>
      <c r="F42" s="184"/>
      <c r="J42" s="184"/>
      <c r="K42" s="184"/>
      <c r="L42" s="184"/>
      <c r="M42" s="184"/>
    </row>
    <row r="43" spans="1:13" x14ac:dyDescent="0.25">
      <c r="A43" s="203"/>
      <c r="B43" s="200">
        <f t="shared" si="7"/>
        <v>0</v>
      </c>
      <c r="C43" s="201"/>
      <c r="D43" s="202">
        <f t="shared" si="8"/>
        <v>0</v>
      </c>
      <c r="E43" s="202">
        <f t="shared" si="9"/>
        <v>0</v>
      </c>
      <c r="F43" s="184"/>
      <c r="J43" s="184"/>
      <c r="K43" s="184"/>
      <c r="L43" s="184"/>
      <c r="M43" s="184"/>
    </row>
    <row r="44" spans="1:13" x14ac:dyDescent="0.25">
      <c r="A44" s="203"/>
      <c r="B44" s="200">
        <f t="shared" si="7"/>
        <v>0</v>
      </c>
      <c r="C44" s="201"/>
      <c r="D44" s="202">
        <f t="shared" si="8"/>
        <v>0</v>
      </c>
      <c r="E44" s="202">
        <f t="shared" si="9"/>
        <v>0</v>
      </c>
      <c r="F44" s="184"/>
      <c r="J44" s="184"/>
      <c r="K44" s="184"/>
      <c r="L44" s="184"/>
      <c r="M44" s="184"/>
    </row>
    <row r="45" spans="1:13" x14ac:dyDescent="0.25">
      <c r="A45" s="203"/>
      <c r="B45" s="200">
        <f t="shared" si="7"/>
        <v>0</v>
      </c>
      <c r="C45" s="201"/>
      <c r="D45" s="202">
        <f t="shared" si="8"/>
        <v>0</v>
      </c>
      <c r="E45" s="202">
        <f t="shared" si="9"/>
        <v>0</v>
      </c>
      <c r="F45" s="184"/>
      <c r="J45" s="184"/>
      <c r="K45" s="184"/>
      <c r="L45" s="184"/>
      <c r="M45" s="184"/>
    </row>
    <row r="46" spans="1:13" x14ac:dyDescent="0.25">
      <c r="A46" s="184"/>
      <c r="B46" s="184"/>
      <c r="C46" s="184"/>
      <c r="D46" s="209" t="str">
        <f>IF(H47=0," ","MANUAL")</f>
        <v xml:space="preserve"> </v>
      </c>
      <c r="E46" s="184"/>
      <c r="F46" s="184"/>
      <c r="H46" s="295" t="s">
        <v>203</v>
      </c>
      <c r="I46" s="296"/>
      <c r="J46" s="297"/>
      <c r="K46" s="184"/>
      <c r="L46" s="184"/>
      <c r="M46" s="184"/>
    </row>
    <row r="47" spans="1:13" x14ac:dyDescent="0.25">
      <c r="A47" s="184"/>
      <c r="B47" s="184"/>
      <c r="C47" s="43" t="s">
        <v>113</v>
      </c>
      <c r="D47" s="202">
        <f>IF(H47=0,MAX(E19:E23)+MAX(E30:E34)+MAX(E41:E45),H47)</f>
        <v>0</v>
      </c>
      <c r="E47" s="210" t="s">
        <v>81</v>
      </c>
      <c r="F47" s="184"/>
      <c r="H47" s="187">
        <v>0</v>
      </c>
      <c r="I47" s="188" t="s">
        <v>221</v>
      </c>
      <c r="J47" s="189"/>
      <c r="K47" s="184"/>
      <c r="L47" s="184"/>
      <c r="M47" s="184"/>
    </row>
    <row r="48" spans="1:13" x14ac:dyDescent="0.25">
      <c r="C48" s="43" t="s">
        <v>9</v>
      </c>
      <c r="D48" s="211">
        <f>(D47)/B11</f>
        <v>0</v>
      </c>
      <c r="E48" s="210" t="s">
        <v>10</v>
      </c>
      <c r="F48" s="53" t="str">
        <f>IF(D48=0,"-",IF(D48&gt;=1,"OK","!"))</f>
        <v>-</v>
      </c>
      <c r="J48" s="184"/>
      <c r="K48" s="184"/>
      <c r="L48" s="184"/>
      <c r="M48" s="184"/>
    </row>
    <row r="49" spans="1:13" ht="15.75" thickBot="1" x14ac:dyDescent="0.3">
      <c r="E49" s="184"/>
      <c r="F49" s="184"/>
      <c r="J49" s="184"/>
      <c r="K49" s="184"/>
      <c r="L49" s="184"/>
      <c r="M49" s="184"/>
    </row>
    <row r="50" spans="1:13" x14ac:dyDescent="0.25">
      <c r="A50" s="41" t="s">
        <v>242</v>
      </c>
      <c r="B50" s="41"/>
      <c r="C50" s="41"/>
      <c r="D50" s="41"/>
      <c r="E50" s="41"/>
      <c r="F50" s="41"/>
      <c r="G50" s="27"/>
      <c r="H50" s="173"/>
      <c r="J50" s="184"/>
      <c r="K50" s="184"/>
      <c r="L50" s="184"/>
      <c r="M50" s="184"/>
    </row>
    <row r="51" spans="1:13" x14ac:dyDescent="0.25">
      <c r="A51" s="42" t="s">
        <v>243</v>
      </c>
      <c r="F51" s="43" t="str">
        <f>'CL_1 - Site Screening'!J70</f>
        <v>IDALS: Issue Date: 08/03/2020</v>
      </c>
      <c r="G51" s="119"/>
      <c r="J51" s="184"/>
      <c r="K51" s="184"/>
      <c r="L51" s="184"/>
      <c r="M51" s="184"/>
    </row>
    <row r="52" spans="1:13" x14ac:dyDescent="0.25">
      <c r="A52" s="184"/>
      <c r="B52" s="184"/>
      <c r="C52" s="184"/>
      <c r="D52" s="184"/>
      <c r="E52" s="184"/>
      <c r="F52" s="184"/>
      <c r="J52" s="184"/>
      <c r="K52" s="184"/>
      <c r="L52" s="184"/>
      <c r="M52" s="184"/>
    </row>
    <row r="53" spans="1:13" x14ac:dyDescent="0.25">
      <c r="A53" s="184"/>
      <c r="B53" s="184"/>
      <c r="C53" s="184"/>
      <c r="D53" s="184"/>
      <c r="E53" s="184"/>
      <c r="F53" s="184"/>
      <c r="J53" s="184"/>
      <c r="K53" s="184"/>
      <c r="L53" s="184"/>
      <c r="M53" s="184"/>
    </row>
    <row r="54" spans="1:13" x14ac:dyDescent="0.25">
      <c r="A54" s="184"/>
      <c r="B54" s="184"/>
      <c r="C54" s="184"/>
      <c r="D54" s="212"/>
      <c r="E54" s="184"/>
      <c r="F54" s="184"/>
      <c r="J54" s="184"/>
      <c r="K54" s="184"/>
      <c r="L54" s="184"/>
      <c r="M54" s="184"/>
    </row>
    <row r="55" spans="1:13" x14ac:dyDescent="0.25">
      <c r="A55" s="184"/>
      <c r="B55" s="184"/>
      <c r="C55" s="184"/>
      <c r="D55" s="212"/>
      <c r="E55" s="184"/>
      <c r="F55" s="184"/>
      <c r="J55" s="184"/>
      <c r="K55" s="184"/>
      <c r="L55" s="184"/>
      <c r="M55" s="184"/>
    </row>
    <row r="56" spans="1:13" x14ac:dyDescent="0.25">
      <c r="A56" s="184"/>
      <c r="B56" s="184"/>
      <c r="C56" s="184"/>
      <c r="D56" s="212"/>
      <c r="E56" s="184"/>
      <c r="F56" s="184"/>
      <c r="J56" s="184"/>
      <c r="K56" s="184"/>
      <c r="L56" s="184"/>
      <c r="M56" s="184"/>
    </row>
    <row r="59" spans="1:13" x14ac:dyDescent="0.25">
      <c r="F59" s="184"/>
    </row>
    <row r="65" spans="3:4" x14ac:dyDescent="0.25">
      <c r="C65" s="184"/>
      <c r="D65" s="184"/>
    </row>
    <row r="66" spans="3:4" x14ac:dyDescent="0.25">
      <c r="C66" s="184"/>
      <c r="D66" s="184"/>
    </row>
    <row r="67" spans="3:4" x14ac:dyDescent="0.25">
      <c r="C67" s="184"/>
      <c r="D67" s="184"/>
    </row>
    <row r="68" spans="3:4" x14ac:dyDescent="0.25">
      <c r="C68" s="184"/>
      <c r="D68" s="184"/>
    </row>
    <row r="69" spans="3:4" x14ac:dyDescent="0.25">
      <c r="C69" s="184"/>
      <c r="D69" s="184"/>
    </row>
    <row r="70" spans="3:4" x14ac:dyDescent="0.25">
      <c r="C70" s="184"/>
      <c r="D70" s="184"/>
    </row>
    <row r="71" spans="3:4" x14ac:dyDescent="0.25">
      <c r="C71" s="184"/>
      <c r="D71" s="184"/>
    </row>
    <row r="72" spans="3:4" x14ac:dyDescent="0.25">
      <c r="C72" s="184"/>
      <c r="D72" s="184"/>
    </row>
    <row r="73" spans="3:4" x14ac:dyDescent="0.25">
      <c r="C73" s="184"/>
      <c r="D73" s="184"/>
    </row>
    <row r="74" spans="3:4" x14ac:dyDescent="0.25">
      <c r="C74" s="184"/>
      <c r="D74" s="184"/>
    </row>
    <row r="75" spans="3:4" x14ac:dyDescent="0.25">
      <c r="C75" s="184"/>
      <c r="D75" s="184"/>
    </row>
    <row r="76" spans="3:4" x14ac:dyDescent="0.25">
      <c r="C76" s="184"/>
      <c r="D76" s="184"/>
    </row>
    <row r="77" spans="3:4" x14ac:dyDescent="0.25">
      <c r="C77" s="184"/>
      <c r="D77" s="184"/>
    </row>
    <row r="78" spans="3:4" x14ac:dyDescent="0.25">
      <c r="C78" s="184"/>
      <c r="D78" s="184"/>
    </row>
    <row r="79" spans="3:4" x14ac:dyDescent="0.25">
      <c r="C79" s="184"/>
      <c r="D79" s="184"/>
    </row>
  </sheetData>
  <sheetProtection algorithmName="SHA-512" hashValue="o/NfwJkmzs+H7O870dXW8A0Z2suY8K7Lp3RqXhKdTdowPIh/ueSm7zShvMW+rYthYgspRY5Jz0zgPYxerwszWw==" saltValue="SSNNuQAmMUQDYz+WfTfozA==" spinCount="100000" sheet="1" selectLockedCells="1"/>
  <mergeCells count="7">
    <mergeCell ref="H46:J46"/>
    <mergeCell ref="A1:F1"/>
    <mergeCell ref="H6:J6"/>
    <mergeCell ref="B2:D2"/>
    <mergeCell ref="D9:F9"/>
    <mergeCell ref="D11:F11"/>
    <mergeCell ref="D6:F6"/>
  </mergeCells>
  <conditionalFormatting sqref="F48">
    <cfRule type="cellIs" dxfId="5" priority="1" operator="equal">
      <formula>"!"</formula>
    </cfRule>
    <cfRule type="cellIs" dxfId="4" priority="2" operator="equal">
      <formula>"OK"</formula>
    </cfRule>
  </conditionalFormatting>
  <printOptions horizontalCentered="1" verticalCentered="1"/>
  <pageMargins left="0.25" right="0.25" top="0.75" bottom="0.75" header="0.3" footer="0.3"/>
  <pageSetup orientation="portrait" r:id="rId1"/>
  <colBreaks count="1" manualBreakCount="1">
    <brk id="6"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M47"/>
  <sheetViews>
    <sheetView view="pageBreakPreview" zoomScaleNormal="100" zoomScaleSheetLayoutView="100" workbookViewId="0">
      <selection activeCell="C14" sqref="C14"/>
    </sheetView>
  </sheetViews>
  <sheetFormatPr defaultColWidth="8.85546875" defaultRowHeight="12" x14ac:dyDescent="0.2"/>
  <cols>
    <col min="1" max="1" width="9.7109375" style="27" customWidth="1"/>
    <col min="2" max="5" width="14.7109375" style="27" customWidth="1"/>
    <col min="6" max="6" width="18.85546875" style="27" customWidth="1"/>
    <col min="7" max="7" width="14.7109375" style="27" customWidth="1"/>
    <col min="8" max="9" width="3.7109375" style="27" customWidth="1"/>
    <col min="10" max="10" width="8.85546875" style="27"/>
    <col min="11" max="11" width="14" style="27" customWidth="1"/>
    <col min="12" max="12" width="15.7109375" style="22" customWidth="1"/>
    <col min="13" max="13" width="3.42578125" style="27" customWidth="1"/>
    <col min="14" max="14" width="14" style="27" customWidth="1"/>
    <col min="15" max="16384" width="8.85546875" style="27"/>
  </cols>
  <sheetData>
    <row r="1" spans="1:13" ht="12.75" x14ac:dyDescent="0.2">
      <c r="B1" s="275" t="s">
        <v>196</v>
      </c>
      <c r="C1" s="275"/>
      <c r="D1" s="275"/>
      <c r="E1" s="275"/>
      <c r="F1" s="275"/>
      <c r="G1" s="275"/>
      <c r="H1" s="118"/>
      <c r="I1" s="118"/>
      <c r="J1" s="118"/>
    </row>
    <row r="2" spans="1:13" x14ac:dyDescent="0.2">
      <c r="A2" s="27" t="s">
        <v>147</v>
      </c>
      <c r="B2" s="286">
        <f>'CL_1 - Site Screening'!C3</f>
        <v>0</v>
      </c>
      <c r="C2" s="286"/>
      <c r="D2" s="286"/>
      <c r="E2" s="286"/>
      <c r="F2" s="27" t="s">
        <v>98</v>
      </c>
      <c r="G2" s="87">
        <f ca="1">'CL_1 - Site Screening'!G5</f>
        <v>44608</v>
      </c>
      <c r="H2" s="87"/>
    </row>
    <row r="3" spans="1:13" s="214" customFormat="1" x14ac:dyDescent="0.2">
      <c r="A3" s="213" t="s">
        <v>150</v>
      </c>
      <c r="B3" s="213"/>
      <c r="C3" s="213"/>
      <c r="D3" s="213"/>
      <c r="E3" s="213"/>
      <c r="F3" s="213"/>
      <c r="G3" s="213"/>
      <c r="L3" s="215"/>
    </row>
    <row r="4" spans="1:13" ht="12" customHeight="1" x14ac:dyDescent="0.2">
      <c r="K4" s="300" t="s">
        <v>203</v>
      </c>
      <c r="L4" s="301"/>
      <c r="M4" s="302"/>
    </row>
    <row r="5" spans="1:13" x14ac:dyDescent="0.2">
      <c r="A5" s="216" t="str">
        <f>IF(L5&gt;0,"MANUAL"," ")</f>
        <v xml:space="preserve"> </v>
      </c>
      <c r="B5" s="27" t="s">
        <v>5</v>
      </c>
      <c r="C5" s="217">
        <f>IF(L5=0,'DE_1 - Watershed Info'!F45-'CL_2 - Design Summary'!F15,L5)</f>
        <v>2268.7499999999995</v>
      </c>
      <c r="D5" s="27" t="s">
        <v>81</v>
      </c>
      <c r="E5" s="304" t="s">
        <v>268</v>
      </c>
      <c r="F5" s="304"/>
      <c r="G5" s="218">
        <v>100</v>
      </c>
      <c r="H5" s="219" t="s">
        <v>85</v>
      </c>
      <c r="K5" s="220" t="s">
        <v>5</v>
      </c>
      <c r="L5" s="221">
        <v>0</v>
      </c>
      <c r="M5" s="55" t="s">
        <v>81</v>
      </c>
    </row>
    <row r="6" spans="1:13" x14ac:dyDescent="0.2">
      <c r="A6" s="216" t="str">
        <f t="shared" ref="A6:A7" si="0">IF(L6&gt;0,"MANUAL"," ")</f>
        <v xml:space="preserve"> </v>
      </c>
      <c r="B6" s="27" t="s">
        <v>36</v>
      </c>
      <c r="C6" s="217">
        <f>IF(L6=0,MIN('Step 4 - Pre-treat'!B9+'Step 4 - Pre-treat'!D47,'Step 4 - Pre-treat'!B8),L6)</f>
        <v>0</v>
      </c>
      <c r="D6" s="27" t="s">
        <v>81</v>
      </c>
      <c r="E6" s="305"/>
      <c r="F6" s="305"/>
      <c r="G6" s="222"/>
      <c r="H6" s="89"/>
      <c r="K6" s="220" t="s">
        <v>36</v>
      </c>
      <c r="L6" s="221">
        <v>0</v>
      </c>
      <c r="M6" s="55" t="s">
        <v>81</v>
      </c>
    </row>
    <row r="7" spans="1:13" x14ac:dyDescent="0.2">
      <c r="A7" s="216" t="str">
        <f t="shared" si="0"/>
        <v xml:space="preserve"> </v>
      </c>
      <c r="B7" s="27" t="s">
        <v>116</v>
      </c>
      <c r="C7" s="217">
        <f>IF(L7=0,C5-C6,L7)</f>
        <v>2268.7499999999995</v>
      </c>
      <c r="D7" s="27" t="s">
        <v>81</v>
      </c>
      <c r="K7" s="223" t="s">
        <v>116</v>
      </c>
      <c r="L7" s="224">
        <v>0</v>
      </c>
      <c r="M7" s="57" t="s">
        <v>81</v>
      </c>
    </row>
    <row r="9" spans="1:13" x14ac:dyDescent="0.2">
      <c r="A9" s="225" t="s">
        <v>0</v>
      </c>
      <c r="C9" s="303" t="s">
        <v>292</v>
      </c>
      <c r="D9" s="303"/>
      <c r="E9" s="303"/>
      <c r="F9" s="303"/>
      <c r="G9" s="303"/>
      <c r="H9" s="303"/>
      <c r="I9" s="303"/>
    </row>
    <row r="10" spans="1:13" x14ac:dyDescent="0.2">
      <c r="B10" s="226"/>
      <c r="C10" s="89"/>
      <c r="D10" s="225"/>
      <c r="E10" s="225"/>
      <c r="F10" s="225"/>
      <c r="G10" s="225"/>
    </row>
    <row r="11" spans="1:13" x14ac:dyDescent="0.2">
      <c r="A11" s="227" t="s">
        <v>117</v>
      </c>
      <c r="B11" s="227"/>
      <c r="C11" s="227"/>
      <c r="D11" s="227"/>
      <c r="E11" s="227"/>
      <c r="F11" s="227"/>
      <c r="G11" s="227"/>
      <c r="H11" s="228"/>
      <c r="I11" s="228"/>
    </row>
    <row r="12" spans="1:13" x14ac:dyDescent="0.2">
      <c r="A12" s="226" t="s">
        <v>200</v>
      </c>
      <c r="B12" s="226" t="s">
        <v>1</v>
      </c>
      <c r="C12" s="226" t="s">
        <v>2</v>
      </c>
      <c r="D12" s="226" t="s">
        <v>233</v>
      </c>
      <c r="E12" s="226" t="s">
        <v>4</v>
      </c>
      <c r="F12" s="226"/>
      <c r="G12" s="226"/>
    </row>
    <row r="13" spans="1:13" x14ac:dyDescent="0.2">
      <c r="A13" s="229" t="s">
        <v>85</v>
      </c>
      <c r="B13" s="229" t="s">
        <v>85</v>
      </c>
      <c r="C13" s="229" t="s">
        <v>114</v>
      </c>
      <c r="D13" s="229" t="s">
        <v>81</v>
      </c>
      <c r="E13" s="229" t="s">
        <v>81</v>
      </c>
    </row>
    <row r="14" spans="1:13" x14ac:dyDescent="0.2">
      <c r="A14" s="230">
        <v>0</v>
      </c>
      <c r="B14" s="74">
        <f>G5</f>
        <v>100</v>
      </c>
      <c r="C14" s="231">
        <v>0</v>
      </c>
      <c r="D14" s="232"/>
      <c r="E14" s="232"/>
    </row>
    <row r="15" spans="1:13" x14ac:dyDescent="0.2">
      <c r="A15" s="233">
        <v>1</v>
      </c>
      <c r="B15" s="74">
        <f>$B$14+A15</f>
        <v>101</v>
      </c>
      <c r="C15" s="231"/>
      <c r="D15" s="232" t="str">
        <f>IF(C15&gt;0,((C14+C15)*(B15-B14)/2),"NA")</f>
        <v>NA</v>
      </c>
      <c r="E15" s="232" t="str">
        <f t="shared" ref="E15:E20" si="1">IF(D15=$J$15,"NA",(D15+E14))</f>
        <v>NA</v>
      </c>
      <c r="J15" s="234" t="s">
        <v>201</v>
      </c>
    </row>
    <row r="16" spans="1:13" x14ac:dyDescent="0.2">
      <c r="A16" s="233">
        <f>A15+1</f>
        <v>2</v>
      </c>
      <c r="B16" s="74">
        <f t="shared" ref="B16:B25" si="2">$B$14+A16</f>
        <v>102</v>
      </c>
      <c r="C16" s="231"/>
      <c r="D16" s="232" t="str">
        <f t="shared" ref="D16:D20" si="3">IF(C16&gt;0,((C15+C16)*(B16-B15)/2),"NA")</f>
        <v>NA</v>
      </c>
      <c r="E16" s="232" t="str">
        <f t="shared" si="1"/>
        <v>NA</v>
      </c>
    </row>
    <row r="17" spans="1:8" x14ac:dyDescent="0.2">
      <c r="A17" s="233">
        <f t="shared" ref="A17:A25" si="4">A16+1</f>
        <v>3</v>
      </c>
      <c r="B17" s="74">
        <f t="shared" si="2"/>
        <v>103</v>
      </c>
      <c r="C17" s="231"/>
      <c r="D17" s="232" t="str">
        <f t="shared" si="3"/>
        <v>NA</v>
      </c>
      <c r="E17" s="232" t="str">
        <f t="shared" si="1"/>
        <v>NA</v>
      </c>
    </row>
    <row r="18" spans="1:8" x14ac:dyDescent="0.2">
      <c r="A18" s="233">
        <f t="shared" si="4"/>
        <v>4</v>
      </c>
      <c r="B18" s="74">
        <f t="shared" si="2"/>
        <v>104</v>
      </c>
      <c r="C18" s="231"/>
      <c r="D18" s="232" t="str">
        <f t="shared" si="3"/>
        <v>NA</v>
      </c>
      <c r="E18" s="232" t="str">
        <f t="shared" si="1"/>
        <v>NA</v>
      </c>
    </row>
    <row r="19" spans="1:8" x14ac:dyDescent="0.2">
      <c r="A19" s="233">
        <f t="shared" si="4"/>
        <v>5</v>
      </c>
      <c r="B19" s="74">
        <f t="shared" si="2"/>
        <v>105</v>
      </c>
      <c r="C19" s="231"/>
      <c r="D19" s="232" t="str">
        <f t="shared" si="3"/>
        <v>NA</v>
      </c>
      <c r="E19" s="232" t="str">
        <f t="shared" si="1"/>
        <v>NA</v>
      </c>
    </row>
    <row r="20" spans="1:8" x14ac:dyDescent="0.2">
      <c r="A20" s="233">
        <f t="shared" si="4"/>
        <v>6</v>
      </c>
      <c r="B20" s="74">
        <f t="shared" si="2"/>
        <v>106</v>
      </c>
      <c r="C20" s="231"/>
      <c r="D20" s="232" t="str">
        <f t="shared" si="3"/>
        <v>NA</v>
      </c>
      <c r="E20" s="232" t="str">
        <f t="shared" si="1"/>
        <v>NA</v>
      </c>
    </row>
    <row r="21" spans="1:8" x14ac:dyDescent="0.2">
      <c r="A21" s="233">
        <f t="shared" si="4"/>
        <v>7</v>
      </c>
      <c r="B21" s="74">
        <f t="shared" si="2"/>
        <v>107</v>
      </c>
      <c r="C21" s="231"/>
      <c r="D21" s="232" t="str">
        <f t="shared" ref="D21:D25" si="5">IF(C21&gt;0,((C20+C21)*(B21-B20)/2),"NA")</f>
        <v>NA</v>
      </c>
      <c r="E21" s="232" t="str">
        <f t="shared" ref="E21:E25" si="6">IF(D21=$J$15,"NA",(D21+E20))</f>
        <v>NA</v>
      </c>
    </row>
    <row r="22" spans="1:8" x14ac:dyDescent="0.2">
      <c r="A22" s="233">
        <f t="shared" si="4"/>
        <v>8</v>
      </c>
      <c r="B22" s="74">
        <f t="shared" si="2"/>
        <v>108</v>
      </c>
      <c r="C22" s="231"/>
      <c r="D22" s="232" t="str">
        <f t="shared" si="5"/>
        <v>NA</v>
      </c>
      <c r="E22" s="232" t="str">
        <f t="shared" si="6"/>
        <v>NA</v>
      </c>
    </row>
    <row r="23" spans="1:8" x14ac:dyDescent="0.2">
      <c r="A23" s="233">
        <f t="shared" si="4"/>
        <v>9</v>
      </c>
      <c r="B23" s="74">
        <f t="shared" si="2"/>
        <v>109</v>
      </c>
      <c r="C23" s="231"/>
      <c r="D23" s="232" t="str">
        <f t="shared" si="5"/>
        <v>NA</v>
      </c>
      <c r="E23" s="232" t="str">
        <f t="shared" si="6"/>
        <v>NA</v>
      </c>
    </row>
    <row r="24" spans="1:8" x14ac:dyDescent="0.2">
      <c r="A24" s="233">
        <f t="shared" si="4"/>
        <v>10</v>
      </c>
      <c r="B24" s="74">
        <f t="shared" si="2"/>
        <v>110</v>
      </c>
      <c r="C24" s="231"/>
      <c r="D24" s="232" t="str">
        <f t="shared" si="5"/>
        <v>NA</v>
      </c>
      <c r="E24" s="232" t="str">
        <f t="shared" si="6"/>
        <v>NA</v>
      </c>
    </row>
    <row r="25" spans="1:8" x14ac:dyDescent="0.2">
      <c r="A25" s="233">
        <f t="shared" si="4"/>
        <v>11</v>
      </c>
      <c r="B25" s="74">
        <f t="shared" si="2"/>
        <v>111</v>
      </c>
      <c r="C25" s="231"/>
      <c r="D25" s="232" t="str">
        <f t="shared" si="5"/>
        <v>NA</v>
      </c>
      <c r="E25" s="232" t="str">
        <f t="shared" si="6"/>
        <v>NA</v>
      </c>
    </row>
    <row r="26" spans="1:8" x14ac:dyDescent="0.2">
      <c r="A26" s="230"/>
      <c r="D26" s="22"/>
      <c r="E26" s="22"/>
    </row>
    <row r="27" spans="1:8" x14ac:dyDescent="0.2">
      <c r="A27" s="230"/>
      <c r="C27" s="228"/>
      <c r="D27" s="235" t="s">
        <v>118</v>
      </c>
      <c r="E27" s="236">
        <f>G27/43560</f>
        <v>0</v>
      </c>
      <c r="F27" s="228" t="s">
        <v>202</v>
      </c>
      <c r="G27" s="237">
        <f>MAX(E15:E25)</f>
        <v>0</v>
      </c>
      <c r="H27" s="228" t="s">
        <v>81</v>
      </c>
    </row>
    <row r="28" spans="1:8" ht="13.5" customHeight="1" x14ac:dyDescent="0.2">
      <c r="D28" s="22"/>
      <c r="E28" s="238" t="s">
        <v>222</v>
      </c>
    </row>
    <row r="29" spans="1:8" ht="13.5" customHeight="1" x14ac:dyDescent="0.2">
      <c r="D29" s="22"/>
      <c r="E29" s="238"/>
    </row>
    <row r="30" spans="1:8" ht="13.5" customHeight="1" x14ac:dyDescent="0.2">
      <c r="D30" s="22"/>
      <c r="E30" s="238"/>
    </row>
    <row r="31" spans="1:8" ht="13.5" customHeight="1" x14ac:dyDescent="0.2">
      <c r="D31" s="22"/>
      <c r="E31" s="238"/>
    </row>
    <row r="32" spans="1:8" ht="13.5" customHeight="1" x14ac:dyDescent="0.2">
      <c r="D32" s="22"/>
      <c r="E32" s="238"/>
    </row>
    <row r="33" spans="1:9" ht="13.5" customHeight="1" x14ac:dyDescent="0.2">
      <c r="D33" s="22"/>
      <c r="E33" s="238"/>
    </row>
    <row r="34" spans="1:9" ht="13.5" customHeight="1" x14ac:dyDescent="0.2">
      <c r="D34" s="22"/>
      <c r="E34" s="238"/>
    </row>
    <row r="35" spans="1:9" ht="13.5" customHeight="1" x14ac:dyDescent="0.2">
      <c r="D35" s="22"/>
      <c r="E35" s="238"/>
    </row>
    <row r="36" spans="1:9" ht="13.5" customHeight="1" x14ac:dyDescent="0.2">
      <c r="D36" s="22"/>
      <c r="E36" s="238"/>
    </row>
    <row r="37" spans="1:9" ht="13.5" customHeight="1" x14ac:dyDescent="0.2">
      <c r="D37" s="22"/>
      <c r="E37" s="238"/>
    </row>
    <row r="38" spans="1:9" ht="13.5" customHeight="1" x14ac:dyDescent="0.2">
      <c r="D38" s="22"/>
      <c r="E38" s="238"/>
    </row>
    <row r="39" spans="1:9" ht="13.5" customHeight="1" x14ac:dyDescent="0.2">
      <c r="D39" s="22"/>
      <c r="E39" s="238"/>
    </row>
    <row r="40" spans="1:9" ht="13.5" customHeight="1" x14ac:dyDescent="0.2">
      <c r="D40" s="22"/>
      <c r="E40" s="238"/>
    </row>
    <row r="41" spans="1:9" ht="13.5" customHeight="1" x14ac:dyDescent="0.2">
      <c r="D41" s="22"/>
      <c r="E41" s="238"/>
    </row>
    <row r="42" spans="1:9" ht="13.5" customHeight="1" x14ac:dyDescent="0.2">
      <c r="D42" s="22"/>
      <c r="E42" s="238"/>
    </row>
    <row r="43" spans="1:9" ht="12.75" thickBot="1" x14ac:dyDescent="0.25">
      <c r="D43" s="20"/>
      <c r="E43" s="80"/>
      <c r="G43" s="22"/>
    </row>
    <row r="44" spans="1:9" ht="15" x14ac:dyDescent="0.25">
      <c r="A44" s="41" t="s">
        <v>244</v>
      </c>
      <c r="B44" s="41"/>
      <c r="C44" s="41"/>
      <c r="D44" s="41"/>
      <c r="E44" s="41"/>
      <c r="F44" s="41"/>
      <c r="G44" s="41"/>
      <c r="H44" s="176"/>
      <c r="I44" s="41"/>
    </row>
    <row r="45" spans="1:9" ht="15" x14ac:dyDescent="0.25">
      <c r="A45" s="42" t="s">
        <v>245</v>
      </c>
      <c r="B45" s="42"/>
      <c r="C45" s="42"/>
      <c r="D45" s="42"/>
      <c r="E45" s="42"/>
      <c r="F45" s="42"/>
      <c r="G45" s="42"/>
      <c r="H45" s="42"/>
      <c r="I45" s="43" t="str">
        <f>'CL_1 - Site Screening'!J70</f>
        <v>IDALS: Issue Date: 08/03/2020</v>
      </c>
    </row>
    <row r="46" spans="1:9" x14ac:dyDescent="0.2">
      <c r="D46" s="22"/>
      <c r="E46" s="22"/>
    </row>
    <row r="47" spans="1:9" x14ac:dyDescent="0.2">
      <c r="D47" s="20"/>
      <c r="E47" s="239"/>
    </row>
  </sheetData>
  <sheetProtection algorithmName="SHA-512" hashValue="ErH5T5DfvrRAFlTI9xLv/nI1+reQZsjw9UVrVFvKw4Q0ufClMnWWQaLJXqoZkEzFdu62AbtzxL5T61bHbr7Pyg==" saltValue="xphCC9dI9Db8GIascjNeSQ==" spinCount="100000" sheet="1" selectLockedCells="1"/>
  <mergeCells count="6">
    <mergeCell ref="K4:M4"/>
    <mergeCell ref="C9:I9"/>
    <mergeCell ref="B1:G1"/>
    <mergeCell ref="B2:E2"/>
    <mergeCell ref="E5:F5"/>
    <mergeCell ref="E6:F6"/>
  </mergeCells>
  <conditionalFormatting sqref="G43:G45">
    <cfRule type="cellIs" dxfId="3" priority="8" operator="equal">
      <formula>"!"</formula>
    </cfRule>
    <cfRule type="cellIs" dxfId="2" priority="9" operator="equal">
      <formula>"OK"</formula>
    </cfRule>
  </conditionalFormatting>
  <printOptions horizontalCentered="1" verticalCentered="1"/>
  <pageMargins left="0.25" right="0.25"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I43"/>
  <sheetViews>
    <sheetView view="pageBreakPreview" zoomScaleNormal="100" zoomScaleSheetLayoutView="100" workbookViewId="0">
      <selection activeCell="C14" sqref="C14"/>
    </sheetView>
  </sheetViews>
  <sheetFormatPr defaultColWidth="8.85546875" defaultRowHeight="12.75" x14ac:dyDescent="0.2"/>
  <cols>
    <col min="1" max="1" width="12.7109375" style="119" customWidth="1"/>
    <col min="2" max="2" width="10.42578125" style="119" customWidth="1"/>
    <col min="3" max="3" width="9" style="119" customWidth="1"/>
    <col min="4" max="4" width="21.7109375" style="119" customWidth="1"/>
    <col min="5" max="6" width="18" style="119" customWidth="1"/>
    <col min="7" max="7" width="9" style="119" customWidth="1"/>
    <col min="8" max="8" width="10.28515625" style="119" customWidth="1"/>
    <col min="9" max="16384" width="8.85546875" style="119"/>
  </cols>
  <sheetData>
    <row r="1" spans="1:9" x14ac:dyDescent="0.2">
      <c r="A1" s="275" t="s">
        <v>197</v>
      </c>
      <c r="B1" s="275"/>
      <c r="C1" s="275"/>
      <c r="D1" s="275"/>
      <c r="E1" s="275"/>
      <c r="F1" s="275"/>
      <c r="G1" s="275"/>
      <c r="H1" s="118"/>
      <c r="I1" s="118"/>
    </row>
    <row r="2" spans="1:9" x14ac:dyDescent="0.2">
      <c r="A2" s="119" t="s">
        <v>147</v>
      </c>
      <c r="B2" s="293">
        <f>'CL_1 - Site Screening'!C3</f>
        <v>0</v>
      </c>
      <c r="C2" s="293"/>
      <c r="D2" s="293"/>
      <c r="E2" s="293"/>
      <c r="F2" s="180">
        <f ca="1">'CL_1 - Site Screening'!G5</f>
        <v>44608</v>
      </c>
      <c r="G2" s="119" t="s">
        <v>152</v>
      </c>
    </row>
    <row r="3" spans="1:9" x14ac:dyDescent="0.2">
      <c r="A3" s="120" t="s">
        <v>151</v>
      </c>
      <c r="B3" s="120"/>
      <c r="C3" s="120"/>
      <c r="D3" s="120"/>
      <c r="E3" s="120"/>
      <c r="F3" s="120"/>
      <c r="G3" s="240"/>
    </row>
    <row r="5" spans="1:9" x14ac:dyDescent="0.2">
      <c r="A5" s="119" t="s">
        <v>84</v>
      </c>
    </row>
    <row r="7" spans="1:9" x14ac:dyDescent="0.2">
      <c r="A7" s="119" t="s">
        <v>65</v>
      </c>
      <c r="C7" s="53">
        <f>'DE_1 - Watershed Info'!C44</f>
        <v>1</v>
      </c>
      <c r="D7" s="119" t="s">
        <v>28</v>
      </c>
      <c r="E7" s="306" t="s">
        <v>293</v>
      </c>
      <c r="F7" s="306"/>
      <c r="G7" s="306"/>
    </row>
    <row r="9" spans="1:9" x14ac:dyDescent="0.2">
      <c r="A9" s="241" t="s">
        <v>260</v>
      </c>
      <c r="B9" s="241"/>
      <c r="C9" s="241"/>
      <c r="D9" s="241"/>
      <c r="E9" s="241"/>
      <c r="F9" s="241"/>
      <c r="G9" s="241"/>
    </row>
    <row r="10" spans="1:9" x14ac:dyDescent="0.2">
      <c r="B10" s="242"/>
      <c r="C10" s="242"/>
      <c r="D10" s="242"/>
      <c r="E10" s="242"/>
      <c r="F10" s="242"/>
      <c r="G10" s="242"/>
      <c r="H10" s="242"/>
    </row>
    <row r="11" spans="1:9" ht="30.6" customHeight="1" x14ac:dyDescent="0.2">
      <c r="A11" s="53" t="s">
        <v>73</v>
      </c>
      <c r="B11" s="143" t="s">
        <v>119</v>
      </c>
      <c r="C11" s="144" t="s">
        <v>120</v>
      </c>
      <c r="D11" s="145" t="s">
        <v>121</v>
      </c>
      <c r="E11" s="243" t="s">
        <v>279</v>
      </c>
      <c r="F11" s="244" t="s">
        <v>279</v>
      </c>
      <c r="G11" s="146"/>
      <c r="H11" s="147"/>
    </row>
    <row r="12" spans="1:9" x14ac:dyDescent="0.2">
      <c r="A12" s="159"/>
      <c r="B12" s="245" t="s">
        <v>122</v>
      </c>
      <c r="C12" s="246" t="s">
        <v>122</v>
      </c>
      <c r="D12" s="247" t="s">
        <v>123</v>
      </c>
      <c r="E12" s="248" t="s">
        <v>124</v>
      </c>
      <c r="F12" s="247" t="s">
        <v>125</v>
      </c>
      <c r="G12" s="146"/>
      <c r="H12" s="147"/>
    </row>
    <row r="13" spans="1:9" hidden="1" x14ac:dyDescent="0.2">
      <c r="A13" s="249" t="s">
        <v>74</v>
      </c>
      <c r="B13" s="144" t="str">
        <f>'Step 3 - Hydrology'!B37</f>
        <v>NA</v>
      </c>
      <c r="C13" s="250"/>
      <c r="D13" s="251"/>
      <c r="E13" s="252"/>
      <c r="F13" s="253" t="str">
        <f>IF(B13="NA","NA",12*E13/(C$7*43560))</f>
        <v>NA</v>
      </c>
      <c r="G13" s="146"/>
      <c r="H13" s="147"/>
    </row>
    <row r="14" spans="1:9" x14ac:dyDescent="0.2">
      <c r="A14" s="53" t="s">
        <v>126</v>
      </c>
      <c r="B14" s="144" t="str">
        <f>'Step 3 - Hydrology'!B38</f>
        <v>NA</v>
      </c>
      <c r="C14" s="250"/>
      <c r="D14" s="251"/>
      <c r="E14" s="252"/>
      <c r="F14" s="253">
        <f>12*E14/(C$7*43560)</f>
        <v>0</v>
      </c>
      <c r="G14" s="146"/>
      <c r="H14" s="147"/>
    </row>
    <row r="15" spans="1:9" x14ac:dyDescent="0.2">
      <c r="A15" s="53" t="s">
        <v>127</v>
      </c>
      <c r="B15" s="144">
        <f>'Step 3 - Hydrology'!B39</f>
        <v>0</v>
      </c>
      <c r="C15" s="250"/>
      <c r="D15" s="251"/>
      <c r="E15" s="252"/>
      <c r="F15" s="253">
        <f t="shared" ref="F15:F20" si="0">12*E15/(C$7*43560)</f>
        <v>0</v>
      </c>
      <c r="G15" s="146"/>
      <c r="H15" s="147"/>
    </row>
    <row r="16" spans="1:9" x14ac:dyDescent="0.2">
      <c r="A16" s="53" t="s">
        <v>128</v>
      </c>
      <c r="B16" s="144">
        <f>'Step 3 - Hydrology'!B40</f>
        <v>0</v>
      </c>
      <c r="C16" s="250"/>
      <c r="D16" s="251"/>
      <c r="E16" s="252"/>
      <c r="F16" s="253">
        <f t="shared" si="0"/>
        <v>0</v>
      </c>
      <c r="G16" s="146"/>
      <c r="H16" s="147"/>
    </row>
    <row r="17" spans="1:8" x14ac:dyDescent="0.2">
      <c r="A17" s="53" t="s">
        <v>129</v>
      </c>
      <c r="B17" s="144">
        <f>'Step 3 - Hydrology'!B41</f>
        <v>0</v>
      </c>
      <c r="C17" s="250"/>
      <c r="D17" s="251"/>
      <c r="E17" s="252"/>
      <c r="F17" s="253">
        <f t="shared" si="0"/>
        <v>0</v>
      </c>
      <c r="G17" s="146"/>
      <c r="H17" s="147"/>
    </row>
    <row r="18" spans="1:8" x14ac:dyDescent="0.2">
      <c r="A18" s="53" t="s">
        <v>130</v>
      </c>
      <c r="B18" s="144">
        <f>'Step 3 - Hydrology'!B42</f>
        <v>0</v>
      </c>
      <c r="C18" s="250"/>
      <c r="D18" s="251"/>
      <c r="E18" s="252"/>
      <c r="F18" s="253">
        <f t="shared" si="0"/>
        <v>0</v>
      </c>
      <c r="G18" s="146"/>
      <c r="H18" s="147"/>
    </row>
    <row r="19" spans="1:8" x14ac:dyDescent="0.2">
      <c r="A19" s="53" t="s">
        <v>131</v>
      </c>
      <c r="B19" s="144">
        <f>'Step 3 - Hydrology'!B43</f>
        <v>0</v>
      </c>
      <c r="C19" s="250"/>
      <c r="D19" s="251"/>
      <c r="E19" s="252"/>
      <c r="F19" s="253">
        <f t="shared" si="0"/>
        <v>0</v>
      </c>
    </row>
    <row r="20" spans="1:8" x14ac:dyDescent="0.2">
      <c r="A20" s="53" t="s">
        <v>132</v>
      </c>
      <c r="B20" s="144">
        <f>'Step 3 - Hydrology'!B44</f>
        <v>0</v>
      </c>
      <c r="C20" s="250"/>
      <c r="D20" s="251"/>
      <c r="E20" s="252"/>
      <c r="F20" s="253">
        <f t="shared" si="0"/>
        <v>0</v>
      </c>
    </row>
    <row r="21" spans="1:8" x14ac:dyDescent="0.2">
      <c r="D21" s="123"/>
      <c r="E21" s="153"/>
    </row>
    <row r="22" spans="1:8" x14ac:dyDescent="0.2">
      <c r="A22" s="241" t="s">
        <v>261</v>
      </c>
      <c r="B22" s="241"/>
      <c r="C22" s="241"/>
      <c r="D22" s="241"/>
      <c r="E22" s="241"/>
      <c r="F22" s="241"/>
      <c r="G22" s="241"/>
    </row>
    <row r="23" spans="1:8" ht="51" x14ac:dyDescent="0.2">
      <c r="A23" s="53" t="s">
        <v>133</v>
      </c>
      <c r="B23" s="254" t="s">
        <v>134</v>
      </c>
      <c r="C23" s="254" t="s">
        <v>142</v>
      </c>
      <c r="D23" s="254" t="s">
        <v>143</v>
      </c>
      <c r="E23" s="254" t="s">
        <v>135</v>
      </c>
      <c r="F23" s="254" t="s">
        <v>216</v>
      </c>
      <c r="G23" s="254" t="s">
        <v>144</v>
      </c>
    </row>
    <row r="24" spans="1:8" x14ac:dyDescent="0.2">
      <c r="A24" s="53"/>
      <c r="B24" s="254"/>
      <c r="C24" s="255"/>
      <c r="D24" s="254" t="s">
        <v>136</v>
      </c>
      <c r="E24" s="254"/>
      <c r="F24" s="254"/>
    </row>
    <row r="25" spans="1:8" x14ac:dyDescent="0.2">
      <c r="A25" s="53"/>
      <c r="B25" s="53"/>
      <c r="C25" s="53" t="s">
        <v>137</v>
      </c>
      <c r="D25" s="53" t="s">
        <v>137</v>
      </c>
      <c r="E25" s="53"/>
      <c r="F25" s="53"/>
    </row>
    <row r="26" spans="1:8" x14ac:dyDescent="0.2">
      <c r="A26" s="159" t="s">
        <v>138</v>
      </c>
      <c r="B26" s="159" t="s">
        <v>29</v>
      </c>
      <c r="C26" s="159" t="s">
        <v>139</v>
      </c>
      <c r="D26" s="159" t="s">
        <v>140</v>
      </c>
      <c r="E26" s="159" t="s">
        <v>124</v>
      </c>
      <c r="F26" s="159" t="s">
        <v>124</v>
      </c>
      <c r="G26" s="240"/>
    </row>
    <row r="27" spans="1:8" hidden="1" x14ac:dyDescent="0.2">
      <c r="A27" s="249" t="s">
        <v>74</v>
      </c>
      <c r="B27" s="256" t="str">
        <f>IF(B13="NA","NA",F13/'Step 3 - Hydrology'!B18)</f>
        <v>NA</v>
      </c>
      <c r="C27" s="257"/>
      <c r="D27" s="125" t="str">
        <f>IF(B27="NA","NA",1-C13/'Step 3 - Hydrology'!G18)</f>
        <v>NA</v>
      </c>
      <c r="E27" s="173" t="str">
        <f>'Step 3 - Hydrology'!G37</f>
        <v>NA</v>
      </c>
      <c r="F27" s="173" t="str">
        <f>IF(B13="NA","NA",E13)</f>
        <v>NA</v>
      </c>
      <c r="G27" s="151" t="str">
        <f>IF(B13="NA","NA",F27/E27)</f>
        <v>NA</v>
      </c>
    </row>
    <row r="28" spans="1:8" x14ac:dyDescent="0.2">
      <c r="A28" s="53" t="s">
        <v>141</v>
      </c>
      <c r="B28" s="256" t="e">
        <f>F14/'Step 3 - Hydrology'!B19</f>
        <v>#DIV/0!</v>
      </c>
      <c r="C28" s="257"/>
      <c r="D28" s="125" t="e">
        <f>1-C14/'Step 3 - Hydrology'!G19</f>
        <v>#DIV/0!</v>
      </c>
      <c r="E28" s="173" t="str">
        <f>'Step 3 - Hydrology'!G38</f>
        <v>NA</v>
      </c>
      <c r="F28" s="173">
        <f>E14</f>
        <v>0</v>
      </c>
      <c r="G28" s="151" t="e">
        <f>F28/E28</f>
        <v>#VALUE!</v>
      </c>
    </row>
    <row r="29" spans="1:8" x14ac:dyDescent="0.2">
      <c r="A29" s="53" t="s">
        <v>127</v>
      </c>
      <c r="B29" s="256" t="e">
        <f>F15/'Step 3 - Hydrology'!B20</f>
        <v>#DIV/0!</v>
      </c>
      <c r="C29" s="257"/>
      <c r="D29" s="125" t="e">
        <f>1-C15/'Step 3 - Hydrology'!G20</f>
        <v>#DIV/0!</v>
      </c>
      <c r="E29" s="173" t="e">
        <f>'Step 3 - Hydrology'!G39</f>
        <v>#DIV/0!</v>
      </c>
      <c r="F29" s="173">
        <f>E15</f>
        <v>0</v>
      </c>
      <c r="G29" s="151" t="e">
        <f t="shared" ref="G29:G34" si="1">F29/E29</f>
        <v>#DIV/0!</v>
      </c>
    </row>
    <row r="30" spans="1:8" x14ac:dyDescent="0.2">
      <c r="A30" s="53" t="s">
        <v>128</v>
      </c>
      <c r="B30" s="256" t="e">
        <f>F16/'Step 3 - Hydrology'!B21</f>
        <v>#DIV/0!</v>
      </c>
      <c r="C30" s="257"/>
      <c r="D30" s="125" t="e">
        <f>1-C16/'Step 3 - Hydrology'!G21</f>
        <v>#DIV/0!</v>
      </c>
      <c r="E30" s="173" t="e">
        <f>'Step 3 - Hydrology'!G40</f>
        <v>#DIV/0!</v>
      </c>
      <c r="F30" s="173">
        <f>E16</f>
        <v>0</v>
      </c>
      <c r="G30" s="151" t="e">
        <f t="shared" si="1"/>
        <v>#DIV/0!</v>
      </c>
    </row>
    <row r="31" spans="1:8" x14ac:dyDescent="0.2">
      <c r="A31" s="53" t="s">
        <v>129</v>
      </c>
      <c r="B31" s="256" t="e">
        <f>F17/'Step 3 - Hydrology'!B22</f>
        <v>#DIV/0!</v>
      </c>
      <c r="C31" s="257"/>
      <c r="D31" s="125" t="e">
        <f>1-C17/'Step 3 - Hydrology'!G22</f>
        <v>#DIV/0!</v>
      </c>
      <c r="E31" s="173" t="e">
        <f>'Step 3 - Hydrology'!G41</f>
        <v>#DIV/0!</v>
      </c>
      <c r="F31" s="173">
        <f>E17</f>
        <v>0</v>
      </c>
      <c r="G31" s="151" t="e">
        <f t="shared" si="1"/>
        <v>#DIV/0!</v>
      </c>
    </row>
    <row r="32" spans="1:8" x14ac:dyDescent="0.2">
      <c r="A32" s="53" t="s">
        <v>130</v>
      </c>
      <c r="B32" s="256" t="e">
        <f>F18/'Step 3 - Hydrology'!B23</f>
        <v>#DIV/0!</v>
      </c>
      <c r="C32" s="257"/>
      <c r="D32" s="125" t="e">
        <f>1-C18/'Step 3 - Hydrology'!G23</f>
        <v>#DIV/0!</v>
      </c>
      <c r="E32" s="173" t="e">
        <f>'Step 3 - Hydrology'!G42</f>
        <v>#DIV/0!</v>
      </c>
      <c r="F32" s="173">
        <f t="shared" ref="F32:F34" si="2">E18</f>
        <v>0</v>
      </c>
      <c r="G32" s="151" t="e">
        <f t="shared" si="1"/>
        <v>#DIV/0!</v>
      </c>
    </row>
    <row r="33" spans="1:9" x14ac:dyDescent="0.2">
      <c r="A33" s="53" t="s">
        <v>131</v>
      </c>
      <c r="B33" s="256" t="e">
        <f>F19/'Step 3 - Hydrology'!B24</f>
        <v>#DIV/0!</v>
      </c>
      <c r="C33" s="257"/>
      <c r="D33" s="125" t="e">
        <f>1-C19/'Step 3 - Hydrology'!G24</f>
        <v>#DIV/0!</v>
      </c>
      <c r="E33" s="173" t="e">
        <f>'Step 3 - Hydrology'!G43</f>
        <v>#DIV/0!</v>
      </c>
      <c r="F33" s="173">
        <f t="shared" si="2"/>
        <v>0</v>
      </c>
      <c r="G33" s="151" t="e">
        <f t="shared" si="1"/>
        <v>#DIV/0!</v>
      </c>
    </row>
    <row r="34" spans="1:9" x14ac:dyDescent="0.2">
      <c r="A34" s="53" t="s">
        <v>132</v>
      </c>
      <c r="B34" s="256" t="e">
        <f>F20/'Step 3 - Hydrology'!B25</f>
        <v>#DIV/0!</v>
      </c>
      <c r="C34" s="257"/>
      <c r="D34" s="125" t="e">
        <f>1-C20/'Step 3 - Hydrology'!G25</f>
        <v>#DIV/0!</v>
      </c>
      <c r="E34" s="173" t="e">
        <f>'Step 3 - Hydrology'!G44</f>
        <v>#DIV/0!</v>
      </c>
      <c r="F34" s="173">
        <f t="shared" si="2"/>
        <v>0</v>
      </c>
      <c r="G34" s="151" t="e">
        <f t="shared" si="1"/>
        <v>#DIV/0!</v>
      </c>
    </row>
    <row r="35" spans="1:9" x14ac:dyDescent="0.2">
      <c r="A35" s="258" t="s">
        <v>145</v>
      </c>
      <c r="B35" s="259"/>
      <c r="C35" s="153"/>
      <c r="D35" s="151"/>
      <c r="E35" s="171"/>
      <c r="F35" s="172"/>
      <c r="G35" s="173"/>
      <c r="H35" s="173"/>
    </row>
    <row r="36" spans="1:9" x14ac:dyDescent="0.2">
      <c r="A36" s="258"/>
      <c r="B36" s="259"/>
      <c r="C36" s="153"/>
      <c r="D36" s="151"/>
      <c r="E36" s="171"/>
      <c r="F36" s="172"/>
      <c r="G36" s="173"/>
      <c r="H36" s="173"/>
    </row>
    <row r="37" spans="1:9" x14ac:dyDescent="0.2">
      <c r="A37" s="258"/>
      <c r="B37" s="259"/>
      <c r="C37" s="153"/>
      <c r="D37" s="151"/>
      <c r="E37" s="171"/>
      <c r="F37" s="172"/>
      <c r="G37" s="173"/>
      <c r="H37" s="173"/>
    </row>
    <row r="38" spans="1:9" x14ac:dyDescent="0.2">
      <c r="A38" s="258"/>
      <c r="B38" s="259"/>
      <c r="C38" s="153"/>
      <c r="D38" s="151"/>
      <c r="E38" s="171"/>
      <c r="F38" s="172"/>
      <c r="G38" s="173"/>
      <c r="H38" s="173"/>
    </row>
    <row r="39" spans="1:9" x14ac:dyDescent="0.2">
      <c r="A39" s="258"/>
      <c r="B39" s="259"/>
      <c r="C39" s="153"/>
      <c r="D39" s="151"/>
      <c r="E39" s="171"/>
      <c r="F39" s="172"/>
      <c r="G39" s="173"/>
      <c r="H39" s="173"/>
    </row>
    <row r="40" spans="1:9" x14ac:dyDescent="0.2">
      <c r="A40" s="258"/>
      <c r="B40" s="259"/>
      <c r="C40" s="153"/>
      <c r="D40" s="151"/>
      <c r="E40" s="171"/>
      <c r="F40" s="172"/>
      <c r="G40" s="173"/>
      <c r="H40" s="173"/>
    </row>
    <row r="41" spans="1:9" ht="15.75" thickBot="1" x14ac:dyDescent="0.3">
      <c r="A41" s="184"/>
      <c r="B41" s="260"/>
      <c r="C41" s="261"/>
      <c r="D41" s="212"/>
      <c r="E41" s="262"/>
      <c r="F41" s="263"/>
      <c r="G41" s="202"/>
      <c r="H41" s="173"/>
    </row>
    <row r="42" spans="1:9" ht="15" x14ac:dyDescent="0.25">
      <c r="A42" s="41" t="s">
        <v>246</v>
      </c>
      <c r="B42" s="41"/>
      <c r="C42" s="41"/>
      <c r="D42" s="41"/>
      <c r="E42" s="41"/>
      <c r="F42" s="41"/>
      <c r="G42" s="41"/>
      <c r="H42" s="173"/>
      <c r="I42" s="27"/>
    </row>
    <row r="43" spans="1:9" ht="15" x14ac:dyDescent="0.25">
      <c r="A43" s="42" t="s">
        <v>247</v>
      </c>
      <c r="B43" s="42"/>
      <c r="C43" s="42"/>
      <c r="D43" s="42"/>
      <c r="E43" s="42"/>
      <c r="F43" s="42"/>
      <c r="G43" s="43" t="str">
        <f>'CL_1 - Site Screening'!J70</f>
        <v>IDALS: Issue Date: 08/03/2020</v>
      </c>
      <c r="H43" s="27"/>
    </row>
  </sheetData>
  <sheetProtection algorithmName="SHA-512" hashValue="Gt3goSP3ic/i1ORx0YaP6y5ngu9EuOfOlDT4G7LbkRQi1+mLhWtTSlz1qe+vANUtg/zA/Ut5+HovRXlK3lkB1g==" saltValue="S3T7K+KSkympQnemO5pJEg==" spinCount="100000" sheet="1" selectLockedCells="1"/>
  <mergeCells count="3">
    <mergeCell ref="B2:E2"/>
    <mergeCell ref="E7:G7"/>
    <mergeCell ref="A1:G1"/>
  </mergeCells>
  <conditionalFormatting sqref="G42:G43">
    <cfRule type="cellIs" dxfId="1" priority="1" operator="equal">
      <formula>"!"</formula>
    </cfRule>
    <cfRule type="cellIs" dxfId="0" priority="2" operator="equal">
      <formula>"OK"</formula>
    </cfRule>
  </conditionalFormatting>
  <printOptions horizontalCentered="1" verticalCentered="1"/>
  <pageMargins left="0.25" right="0.25" top="0.75" bottom="0.75" header="0.3" footer="0.3"/>
  <pageSetup orientation="portrait" r:id="rId1"/>
  <colBreaks count="1" manualBreakCount="1">
    <brk id="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DISCLAIMER</vt:lpstr>
      <vt:lpstr>CL_1 - Site Screening</vt:lpstr>
      <vt:lpstr>CL_2 - Design Summary</vt:lpstr>
      <vt:lpstr>DE_1 - Watershed Info</vt:lpstr>
      <vt:lpstr>Step 3 - Hydrology</vt:lpstr>
      <vt:lpstr>Step 4 - Pre-treat</vt:lpstr>
      <vt:lpstr>Step 5-7 Final Storage Volumes</vt:lpstr>
      <vt:lpstr>Step 9 - Results</vt:lpstr>
      <vt:lpstr>'CL_1 - Site Screening'!Print_Area</vt:lpstr>
      <vt:lpstr>'CL_2 - Design Summary'!Print_Area</vt:lpstr>
      <vt:lpstr>'DE_1 - Watershed Info'!Print_Area</vt:lpstr>
      <vt:lpstr>DISCLAIMER!Print_Area</vt:lpstr>
      <vt:lpstr>'Step 3 - Hydrology'!Print_Area</vt:lpstr>
      <vt:lpstr>'Step 4 - Pre-treat'!Print_Area</vt:lpstr>
      <vt:lpstr>'Step 5-7 Final Storage Volumes'!Print_Area</vt:lpstr>
      <vt:lpstr>'Step 9 - 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Pierce</dc:creator>
  <cp:lastModifiedBy>Griffin, Joe [DNR]</cp:lastModifiedBy>
  <cp:lastPrinted>2020-06-25T19:44:57Z</cp:lastPrinted>
  <dcterms:created xsi:type="dcterms:W3CDTF">2017-07-05T15:47:13Z</dcterms:created>
  <dcterms:modified xsi:type="dcterms:W3CDTF">2022-02-16T16:22:37Z</dcterms:modified>
</cp:coreProperties>
</file>